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02 - João Pedro Ferreira/"/>
    </mc:Choice>
  </mc:AlternateContent>
  <xr:revisionPtr revIDLastSave="69850" documentId="13_ncr:1_{F578A306-AD51-426D-BD00-598280D44A92}" xr6:coauthVersionLast="47" xr6:coauthVersionMax="47" xr10:uidLastSave="{576F9842-AC2B-4ABE-9E6D-1F8B51CEA885}"/>
  <bookViews>
    <workbookView xWindow="-108" yWindow="-108" windowWidth="23256" windowHeight="12456" tabRatio="731" firstSheet="9" activeTab="9"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Assumptions" sheetId="92" r:id="rId8"/>
    <sheet name="WACC" sheetId="6" r:id="rId9"/>
    <sheet name="FCFF" sheetId="78" r:id="rId10"/>
    <sheet name="Sensitivity" sheetId="91" r:id="rId11"/>
    <sheet name="IS" sheetId="74" r:id="rId12"/>
    <sheet name="BS" sheetId="76" r:id="rId13"/>
    <sheet name="CF" sheetId="77" r:id="rId14"/>
    <sheet name="Error Check" sheetId="79" r:id="rId15"/>
    <sheet name="Inputs" sheetId="83" r:id="rId16"/>
    <sheet name="Stock Data" sheetId="86" r:id="rId17"/>
    <sheet name="LBO" sheetId="65" r:id="rId18"/>
  </sheet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17">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9" hidden="1">{"'Sheet1'!$A$1:$H$145"}</definedName>
    <definedName name="HTML_Control" localSheetId="2" hidden="1">{"'Sheet1'!$A$1:$H$145"}</definedName>
    <definedName name="HTML_Control" localSheetId="11" hidden="1">{"'Sheet1'!$A$1:$H$145"}</definedName>
    <definedName name="HTML_Control" localSheetId="17" hidden="1">{"'Sheet1'!$A$1:$H$145"}</definedName>
    <definedName name="HTML_Control" localSheetId="4"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9">#REF!</definedName>
    <definedName name="Sectors" localSheetId="11">#REF!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4" i="78" l="1"/>
  <c r="AF35" i="78"/>
  <c r="Z35" i="78"/>
  <c r="T35" i="78"/>
  <c r="N103" i="78"/>
  <c r="D39" i="6"/>
  <c r="E39" i="6" s="1"/>
  <c r="C68" i="87"/>
  <c r="C69" i="87"/>
  <c r="AL166" i="78"/>
  <c r="F62" i="87"/>
  <c r="AL31" i="78"/>
  <c r="AJ31" i="78"/>
  <c r="D41" i="92"/>
  <c r="AF31" i="78"/>
  <c r="I23" i="92"/>
  <c r="Z166" i="78" l="1"/>
  <c r="AF166" i="78"/>
  <c r="AH76" i="78"/>
  <c r="B19" i="87"/>
  <c r="AE30" i="74"/>
  <c r="Y30" i="74"/>
  <c r="S30" i="74"/>
  <c r="Y85" i="78"/>
  <c r="Z85" i="78" s="1"/>
  <c r="AF59" i="78"/>
  <c r="AH87" i="78" l="1"/>
  <c r="P97" i="78"/>
  <c r="P130" i="78"/>
  <c r="AF161" i="78"/>
  <c r="J12" i="92"/>
  <c r="D23" i="92"/>
  <c r="E23" i="92"/>
  <c r="F23" i="92"/>
  <c r="G23" i="92"/>
  <c r="J20" i="92"/>
  <c r="AH146" i="78"/>
  <c r="D31" i="6"/>
  <c r="B34" i="92"/>
  <c r="B35" i="92"/>
  <c r="H10" i="92"/>
  <c r="H22" i="92" s="1"/>
  <c r="Y31" i="78"/>
  <c r="X31" i="78"/>
  <c r="D39" i="92"/>
  <c r="E39" i="92" s="1"/>
  <c r="F39" i="92" s="1"/>
  <c r="K9" i="92"/>
  <c r="L9" i="92" s="1"/>
  <c r="M9" i="92" s="1"/>
  <c r="G22" i="92"/>
  <c r="F22" i="92"/>
  <c r="E22" i="92"/>
  <c r="D22" i="92"/>
  <c r="C22" i="92"/>
  <c r="H21" i="92"/>
  <c r="G21" i="92"/>
  <c r="F21" i="92"/>
  <c r="E21" i="92"/>
  <c r="D21" i="92"/>
  <c r="I21" i="92" s="1"/>
  <c r="K20" i="92" s="1"/>
  <c r="L20" i="92" s="1"/>
  <c r="M20" i="92" s="1"/>
  <c r="I14" i="92"/>
  <c r="G17" i="92"/>
  <c r="G18" i="92" s="1"/>
  <c r="F17" i="92"/>
  <c r="F18" i="92" s="1"/>
  <c r="E17" i="92"/>
  <c r="E18" i="92" s="1"/>
  <c r="D17" i="92"/>
  <c r="D18" i="92" s="1"/>
  <c r="C17" i="92"/>
  <c r="C18" i="92" s="1"/>
  <c r="H15" i="92"/>
  <c r="G15" i="92"/>
  <c r="F15" i="92"/>
  <c r="E15" i="92"/>
  <c r="D15" i="92"/>
  <c r="N31" i="78"/>
  <c r="T31" i="78"/>
  <c r="G11" i="92"/>
  <c r="F11" i="92"/>
  <c r="E11" i="92"/>
  <c r="D11" i="92"/>
  <c r="F9" i="92"/>
  <c r="G9" i="92"/>
  <c r="D9" i="92"/>
  <c r="D50" i="92"/>
  <c r="E50" i="92"/>
  <c r="G50" i="92"/>
  <c r="H50" i="92"/>
  <c r="I50" i="92"/>
  <c r="J50" i="92"/>
  <c r="D53" i="92"/>
  <c r="E53" i="92"/>
  <c r="C54" i="92"/>
  <c r="D54" i="92"/>
  <c r="E54" i="92"/>
  <c r="F54" i="92"/>
  <c r="C55" i="92"/>
  <c r="D55" i="92"/>
  <c r="E55" i="92"/>
  <c r="J8" i="78"/>
  <c r="P8" i="78"/>
  <c r="V8" i="78"/>
  <c r="AB8" i="78"/>
  <c r="AH8" i="78"/>
  <c r="AJ8" i="78"/>
  <c r="AL8" i="78"/>
  <c r="X15" i="87"/>
  <c r="O14" i="87"/>
  <c r="N44" i="77"/>
  <c r="N43" i="77"/>
  <c r="Z25" i="77"/>
  <c r="AF42" i="74"/>
  <c r="T40" i="74"/>
  <c r="T38" i="74"/>
  <c r="T36" i="74"/>
  <c r="AF33" i="74"/>
  <c r="AF34" i="74"/>
  <c r="AF32" i="74"/>
  <c r="AF31" i="74"/>
  <c r="AF30" i="74"/>
  <c r="Z32" i="74"/>
  <c r="Z31" i="74"/>
  <c r="Z30" i="74"/>
  <c r="N58" i="78" s="1"/>
  <c r="T32" i="74"/>
  <c r="T31" i="74"/>
  <c r="T30" i="74"/>
  <c r="N32" i="74"/>
  <c r="N31" i="74"/>
  <c r="N30" i="74"/>
  <c r="H32" i="74"/>
  <c r="H31" i="74"/>
  <c r="H30" i="74"/>
  <c r="AL24" i="74"/>
  <c r="AK24" i="74"/>
  <c r="AJ24" i="74"/>
  <c r="AI24" i="74"/>
  <c r="AH24" i="74"/>
  <c r="AG24" i="74"/>
  <c r="AF24" i="74"/>
  <c r="AE24" i="74"/>
  <c r="AD24" i="74"/>
  <c r="AC24" i="74"/>
  <c r="AB24" i="74"/>
  <c r="AA24" i="74"/>
  <c r="Z24" i="74"/>
  <c r="Y24" i="74"/>
  <c r="X24" i="74"/>
  <c r="W24" i="74"/>
  <c r="V24" i="74"/>
  <c r="U24" i="74"/>
  <c r="T24" i="74"/>
  <c r="S24" i="74"/>
  <c r="R24" i="74"/>
  <c r="Q24" i="74"/>
  <c r="P24" i="74"/>
  <c r="Z21" i="74"/>
  <c r="T21" i="74"/>
  <c r="K17" i="3"/>
  <c r="J17" i="3"/>
  <c r="I17" i="3"/>
  <c r="H17" i="3"/>
  <c r="G17" i="3"/>
  <c r="F17" i="3"/>
  <c r="E17" i="3"/>
  <c r="D17" i="3"/>
  <c r="K15" i="3"/>
  <c r="J15" i="3"/>
  <c r="I15" i="3"/>
  <c r="H15" i="3"/>
  <c r="G15" i="3"/>
  <c r="F15" i="3"/>
  <c r="E15" i="3"/>
  <c r="D15" i="3"/>
  <c r="K13" i="3"/>
  <c r="K19" i="3" s="1"/>
  <c r="J13" i="3"/>
  <c r="J19" i="3" s="1"/>
  <c r="I13" i="3"/>
  <c r="I19" i="3" s="1"/>
  <c r="H13" i="3"/>
  <c r="H19" i="3" s="1"/>
  <c r="G13" i="3"/>
  <c r="G19" i="3" s="1"/>
  <c r="F13" i="3"/>
  <c r="F19" i="3" s="1"/>
  <c r="E13" i="3"/>
  <c r="E19" i="3" s="1"/>
  <c r="D13" i="3"/>
  <c r="D19" i="3" s="1"/>
  <c r="M17" i="3" l="1"/>
  <c r="H23" i="92"/>
  <c r="C26" i="92"/>
  <c r="H11" i="92"/>
  <c r="H17" i="92"/>
  <c r="H18" i="92" s="1"/>
  <c r="I22" i="92"/>
  <c r="K12" i="92"/>
  <c r="D20" i="3"/>
  <c r="E20" i="3"/>
  <c r="F20" i="3"/>
  <c r="G20" i="3"/>
  <c r="H20" i="3"/>
  <c r="I20" i="3"/>
  <c r="J20" i="3"/>
  <c r="K20" i="3"/>
  <c r="AJ53" i="78"/>
  <c r="AL53" i="78"/>
  <c r="AH53" i="78"/>
  <c r="J10" i="92" l="1"/>
  <c r="C40" i="92" s="1"/>
  <c r="C41" i="92" s="1"/>
  <c r="K10" i="92"/>
  <c r="L10" i="92"/>
  <c r="M10" i="92"/>
  <c r="D40" i="92"/>
  <c r="L12" i="92"/>
  <c r="M13" i="83"/>
  <c r="M12" i="92" l="1"/>
  <c r="E40" i="92"/>
  <c r="E41" i="92" s="1"/>
  <c r="H22" i="85"/>
  <c r="N10" i="92" l="1"/>
  <c r="F40" i="92"/>
  <c r="F41" i="92" s="1"/>
  <c r="AF99" i="78"/>
  <c r="M15" i="83"/>
  <c r="V14" i="87"/>
  <c r="W15" i="87" s="1"/>
  <c r="Z14" i="87" s="1"/>
  <c r="AD87" i="78"/>
  <c r="AE87" i="78"/>
  <c r="AJ146" i="78"/>
  <c r="H21" i="85" l="1"/>
  <c r="D30" i="6" l="1"/>
  <c r="E30" i="6" s="1"/>
  <c r="Z170" i="78"/>
  <c r="D13" i="6"/>
  <c r="D35" i="6" s="1"/>
  <c r="M16" i="83"/>
  <c r="J18" i="83"/>
  <c r="D28" i="6"/>
  <c r="AD31" i="78"/>
  <c r="AC31" i="78"/>
  <c r="AB31" i="78"/>
  <c r="AE31" i="78"/>
  <c r="AE76" i="78"/>
  <c r="AD76" i="78"/>
  <c r="D18" i="6"/>
  <c r="F30" i="6" l="1"/>
  <c r="E31" i="6"/>
  <c r="D14" i="6"/>
  <c r="E18" i="6"/>
  <c r="F18" i="6" s="1"/>
  <c r="G18" i="6" s="1"/>
  <c r="H18" i="6" s="1"/>
  <c r="G30" i="6" l="1"/>
  <c r="F31" i="6"/>
  <c r="K77" i="2"/>
  <c r="Z56" i="87"/>
  <c r="Z55" i="87"/>
  <c r="L55" i="87"/>
  <c r="Q28" i="77" a="1"/>
  <c r="AC28" i="77" a="1"/>
  <c r="L28" i="77" a="1"/>
  <c r="D28" i="77" a="1"/>
  <c r="E28" i="77" a="1"/>
  <c r="X28" i="77" a="1"/>
  <c r="Y28" i="77" a="1"/>
  <c r="V28" i="77" a="1"/>
  <c r="G31" i="6" l="1"/>
  <c r="H30" i="6"/>
  <c r="H31" i="6" s="1"/>
  <c r="Q28" i="77"/>
  <c r="V28" i="77"/>
  <c r="Y28" i="77"/>
  <c r="X28" i="77"/>
  <c r="E28" i="77"/>
  <c r="D28" i="77"/>
  <c r="L28" i="77"/>
  <c r="AC28" i="77"/>
  <c r="K28" i="77" a="1"/>
  <c r="K28" i="77" l="1"/>
  <c r="AX17" i="74"/>
  <c r="AX16" i="74"/>
  <c r="AX15" i="74"/>
  <c r="AX14" i="74"/>
  <c r="AX13" i="74"/>
  <c r="AV17" i="74"/>
  <c r="AV16" i="74"/>
  <c r="AV15" i="74"/>
  <c r="AV14" i="74"/>
  <c r="AV13" i="74"/>
  <c r="AT17" i="74"/>
  <c r="AT16" i="74"/>
  <c r="AT15" i="74"/>
  <c r="AT14" i="74"/>
  <c r="AT13" i="74"/>
  <c r="AQ16" i="74"/>
  <c r="AQ15" i="74"/>
  <c r="AQ14" i="74"/>
  <c r="AQ13" i="74"/>
  <c r="AP16" i="74"/>
  <c r="AP15" i="74"/>
  <c r="AP14" i="74"/>
  <c r="AP13" i="74"/>
  <c r="AR13" i="74" s="1"/>
  <c r="AO16" i="74"/>
  <c r="AR16" i="74" s="1"/>
  <c r="AO15" i="74"/>
  <c r="AO14" i="74"/>
  <c r="AO13" i="74"/>
  <c r="AO17" i="74"/>
  <c r="AP17" i="74"/>
  <c r="AQ17" i="74"/>
  <c r="AR17" i="74" s="1"/>
  <c r="AS17" i="74"/>
  <c r="AU17" i="74"/>
  <c r="AW17" i="74"/>
  <c r="AN17" i="74"/>
  <c r="AN16" i="74"/>
  <c r="AN15" i="74"/>
  <c r="AR15" i="74" s="1"/>
  <c r="AN14" i="74"/>
  <c r="AR14" i="74" s="1"/>
  <c r="AN13" i="74"/>
  <c r="AK17" i="74"/>
  <c r="AK16" i="74"/>
  <c r="AK15" i="74"/>
  <c r="AK14" i="74"/>
  <c r="AK13" i="74"/>
  <c r="AJ17" i="74"/>
  <c r="AJ16" i="74"/>
  <c r="AJ15" i="74"/>
  <c r="AJ14" i="74"/>
  <c r="AJ13" i="74"/>
  <c r="AH17" i="74"/>
  <c r="T60" i="77"/>
  <c r="Z60" i="77"/>
  <c r="AF60" i="77"/>
  <c r="T61" i="77"/>
  <c r="Z61" i="77"/>
  <c r="AF61" i="77"/>
  <c r="AF164" i="78"/>
  <c r="AE21" i="77"/>
  <c r="AD21" i="77"/>
  <c r="AC21" i="77"/>
  <c r="AB21" i="77"/>
  <c r="Y21" i="77"/>
  <c r="X21" i="77"/>
  <c r="V21" i="77"/>
  <c r="AF21" i="77"/>
  <c r="T21" i="77"/>
  <c r="C17" i="89"/>
  <c r="C27" i="89"/>
  <c r="AF21" i="74"/>
  <c r="H13" i="6"/>
  <c r="G13" i="6"/>
  <c r="F13" i="6"/>
  <c r="AF45" i="74"/>
  <c r="Z45" i="74"/>
  <c r="T45" i="74"/>
  <c r="N45" i="74"/>
  <c r="H45" i="74"/>
  <c r="D124" i="78"/>
  <c r="AF44" i="76"/>
  <c r="Z44" i="76"/>
  <c r="T44" i="76"/>
  <c r="N44" i="76"/>
  <c r="H44" i="76"/>
  <c r="AF38" i="76"/>
  <c r="Z38" i="76"/>
  <c r="T38" i="76"/>
  <c r="N38" i="76"/>
  <c r="H38" i="76"/>
  <c r="G28" i="77" a="1"/>
  <c r="AB28" i="77" a="1"/>
  <c r="S28" i="77" a="1"/>
  <c r="AE28" i="77" a="1"/>
  <c r="M28" i="77" a="1"/>
  <c r="AD28" i="77" a="1"/>
  <c r="P28" i="77" a="1"/>
  <c r="J28" i="77" a="1"/>
  <c r="AI28" i="77" a="1"/>
  <c r="W28" i="77" a="1"/>
  <c r="AH28" i="77" a="1"/>
  <c r="R28" i="77" a="1"/>
  <c r="F28" i="77" a="1"/>
  <c r="Z21" i="77" l="1"/>
  <c r="F28" i="77"/>
  <c r="R28" i="77"/>
  <c r="AH28" i="77"/>
  <c r="W28" i="77"/>
  <c r="AI28" i="77"/>
  <c r="J28" i="77"/>
  <c r="P28" i="77"/>
  <c r="AD28" i="77"/>
  <c r="M28" i="77"/>
  <c r="AE28" i="77"/>
  <c r="S28" i="77"/>
  <c r="AB28" i="77"/>
  <c r="G28" i="77"/>
  <c r="H28" i="77"/>
  <c r="AX34" i="74"/>
  <c r="AV34" i="74"/>
  <c r="AT34" i="74"/>
  <c r="AR34" i="74"/>
  <c r="AQ34" i="74"/>
  <c r="AP34" i="74"/>
  <c r="AO34" i="74"/>
  <c r="AN34" i="74"/>
  <c r="AL34" i="74"/>
  <c r="AK34" i="74"/>
  <c r="AJ34" i="74"/>
  <c r="AI34" i="74"/>
  <c r="AH34" i="74"/>
  <c r="C25" i="89"/>
  <c r="AE34" i="74"/>
  <c r="AD34" i="74"/>
  <c r="AC34" i="74"/>
  <c r="AB34" i="74"/>
  <c r="Z34" i="74"/>
  <c r="Y34" i="74"/>
  <c r="X34" i="74"/>
  <c r="W34" i="74"/>
  <c r="V34" i="74"/>
  <c r="T34" i="74"/>
  <c r="S34" i="74"/>
  <c r="R34" i="74"/>
  <c r="Q34" i="74"/>
  <c r="P34" i="74"/>
  <c r="N34" i="74"/>
  <c r="M34" i="74"/>
  <c r="L34" i="74"/>
  <c r="K34" i="74"/>
  <c r="J34" i="74"/>
  <c r="H34" i="74"/>
  <c r="G34" i="74"/>
  <c r="F34" i="74"/>
  <c r="E34" i="74"/>
  <c r="D34" i="74"/>
  <c r="AF28" i="77" l="1"/>
  <c r="Z28" i="77"/>
  <c r="T28" i="77"/>
  <c r="N28" i="77"/>
  <c r="B20" i="87" l="1"/>
  <c r="B21" i="87"/>
  <c r="B22" i="87"/>
  <c r="B23" i="87"/>
  <c r="B31" i="87"/>
  <c r="B32" i="87"/>
  <c r="B33" i="87"/>
  <c r="B34" i="87"/>
  <c r="B35" i="87"/>
  <c r="AS13" i="74" l="1"/>
  <c r="AU13" i="74"/>
  <c r="AW13" i="74"/>
  <c r="AS14" i="74"/>
  <c r="AU14" i="74"/>
  <c r="AW14" i="74"/>
  <c r="AS15" i="74"/>
  <c r="AU15" i="74"/>
  <c r="AW15" i="74"/>
  <c r="AS16" i="74"/>
  <c r="AU16" i="74"/>
  <c r="AW16" i="74"/>
  <c r="AY16" i="74"/>
  <c r="AM14" i="74"/>
  <c r="AM15" i="74"/>
  <c r="AH13" i="74"/>
  <c r="AL13" i="74" s="1"/>
  <c r="AI13" i="74"/>
  <c r="AM13" i="74"/>
  <c r="M12" i="3"/>
  <c r="AX24" i="74" l="1"/>
  <c r="AV24" i="74"/>
  <c r="AT24" i="74"/>
  <c r="AR24" i="74"/>
  <c r="AQ24" i="74"/>
  <c r="AP24" i="74"/>
  <c r="AO24" i="74"/>
  <c r="AN24" i="74"/>
  <c r="AF115" i="78"/>
  <c r="AI17" i="74" l="1"/>
  <c r="AL17" i="74" s="1"/>
  <c r="AI16" i="74"/>
  <c r="AH16" i="74"/>
  <c r="AL16" i="74" s="1"/>
  <c r="AI15" i="74"/>
  <c r="AH15" i="74"/>
  <c r="AL15" i="74" s="1"/>
  <c r="AL15" i="84" s="1"/>
  <c r="AH14" i="74"/>
  <c r="AL14" i="74" s="1"/>
  <c r="AL14" i="84" s="1"/>
  <c r="AI14" i="74"/>
  <c r="AX14" i="84"/>
  <c r="AX15" i="84"/>
  <c r="AX16" i="84"/>
  <c r="AX17" i="84"/>
  <c r="AX13" i="84"/>
  <c r="AV14" i="84"/>
  <c r="AV15" i="84"/>
  <c r="AV16" i="84"/>
  <c r="AV17" i="84"/>
  <c r="AV13" i="84"/>
  <c r="AT14" i="84"/>
  <c r="AT15" i="84"/>
  <c r="AT16" i="84"/>
  <c r="AT17" i="84"/>
  <c r="AT13" i="84"/>
  <c r="AR15" i="84"/>
  <c r="AR16" i="84"/>
  <c r="AR17" i="84"/>
  <c r="AR14" i="84"/>
  <c r="AR13" i="84"/>
  <c r="AL16" i="84"/>
  <c r="AL17" i="84"/>
  <c r="AL13" i="84"/>
  <c r="AM17" i="74"/>
  <c r="AM16" i="74"/>
  <c r="AZ13" i="84" l="1"/>
  <c r="AZ17" i="84"/>
  <c r="AZ15" i="84"/>
  <c r="AZ14" i="84"/>
  <c r="AZ16" i="84"/>
  <c r="AT18" i="84"/>
  <c r="AV18" i="84"/>
  <c r="AX18" i="84"/>
  <c r="W52" i="78" l="1"/>
  <c r="V52" i="78"/>
  <c r="S52" i="78"/>
  <c r="R52" i="78"/>
  <c r="Q52" i="78"/>
  <c r="P52" i="78"/>
  <c r="N52" i="78"/>
  <c r="M52" i="78"/>
  <c r="L52" i="78"/>
  <c r="K52" i="78"/>
  <c r="J52" i="78"/>
  <c r="H52" i="78"/>
  <c r="G52" i="78"/>
  <c r="F52" i="78"/>
  <c r="E52" i="78"/>
  <c r="D52" i="78"/>
  <c r="X38" i="91" l="1" a="1"/>
  <c r="X38" i="91" s="1"/>
  <c r="H14" i="84"/>
  <c r="J14" i="84"/>
  <c r="K14" i="84"/>
  <c r="L14" i="84"/>
  <c r="M14" i="84"/>
  <c r="N14" i="84"/>
  <c r="P14" i="84"/>
  <c r="Q14" i="84"/>
  <c r="R14" i="84"/>
  <c r="S14" i="84"/>
  <c r="T14" i="84"/>
  <c r="V14" i="84"/>
  <c r="W14" i="84"/>
  <c r="X14" i="84"/>
  <c r="Y14" i="84"/>
  <c r="Z14" i="84"/>
  <c r="AB14" i="84"/>
  <c r="AC14" i="84"/>
  <c r="AD14" i="84"/>
  <c r="AE14" i="84"/>
  <c r="AF14" i="84"/>
  <c r="H15" i="84"/>
  <c r="J15" i="84"/>
  <c r="K15" i="84"/>
  <c r="L15" i="84"/>
  <c r="M15" i="84"/>
  <c r="N15" i="84"/>
  <c r="P15" i="84"/>
  <c r="Q15" i="84"/>
  <c r="R15" i="84"/>
  <c r="S15" i="84"/>
  <c r="T15" i="84"/>
  <c r="V15" i="84"/>
  <c r="W15" i="84"/>
  <c r="X15" i="84"/>
  <c r="Y15" i="84"/>
  <c r="Z15" i="84"/>
  <c r="AB15" i="84"/>
  <c r="AC15" i="84"/>
  <c r="AD15" i="84"/>
  <c r="AE15" i="84"/>
  <c r="AF15" i="84"/>
  <c r="H16" i="84"/>
  <c r="J16" i="84"/>
  <c r="K16" i="84"/>
  <c r="L16" i="84"/>
  <c r="M16" i="84"/>
  <c r="N16" i="84"/>
  <c r="P16" i="84"/>
  <c r="Q16" i="84"/>
  <c r="R16" i="84"/>
  <c r="S16" i="84"/>
  <c r="T16" i="84"/>
  <c r="V16" i="84"/>
  <c r="W16" i="84"/>
  <c r="X16" i="84"/>
  <c r="Y16" i="84"/>
  <c r="Z16" i="84"/>
  <c r="AB16" i="84"/>
  <c r="AC16" i="84"/>
  <c r="AD16" i="84"/>
  <c r="AE16" i="84"/>
  <c r="AF16" i="84"/>
  <c r="H17" i="84"/>
  <c r="J17" i="84"/>
  <c r="K17" i="84"/>
  <c r="L17" i="84"/>
  <c r="M17" i="84"/>
  <c r="N17" i="84"/>
  <c r="P17" i="84"/>
  <c r="Q17" i="84"/>
  <c r="R17" i="84"/>
  <c r="S17" i="84"/>
  <c r="T17" i="84"/>
  <c r="V17" i="84"/>
  <c r="W17" i="84"/>
  <c r="X17" i="84"/>
  <c r="Y17" i="84"/>
  <c r="Z17" i="84"/>
  <c r="AB17" i="84"/>
  <c r="AC17" i="84"/>
  <c r="AD17" i="84"/>
  <c r="AE17" i="84"/>
  <c r="AF17" i="84"/>
  <c r="J13" i="84"/>
  <c r="K13" i="84"/>
  <c r="L13" i="84"/>
  <c r="M13" i="84"/>
  <c r="N13" i="84"/>
  <c r="P13" i="84"/>
  <c r="Q13" i="84"/>
  <c r="R13" i="84"/>
  <c r="S13" i="84"/>
  <c r="T13" i="84"/>
  <c r="V13" i="84"/>
  <c r="W13" i="84"/>
  <c r="X13" i="84"/>
  <c r="Y13" i="84"/>
  <c r="Z13" i="84"/>
  <c r="AB13" i="84"/>
  <c r="AC13" i="84"/>
  <c r="AD13" i="84"/>
  <c r="AE13" i="84"/>
  <c r="AF13" i="84"/>
  <c r="H13" i="84"/>
  <c r="E13" i="6" l="1"/>
  <c r="AB43" i="78"/>
  <c r="T52" i="78"/>
  <c r="X59" i="87"/>
  <c r="W59" i="87"/>
  <c r="T59" i="87"/>
  <c r="S59" i="87"/>
  <c r="L59" i="87"/>
  <c r="Q59" i="87"/>
  <c r="P59" i="87"/>
  <c r="O59" i="87"/>
  <c r="N59" i="87"/>
  <c r="M59" i="87"/>
  <c r="K59" i="87"/>
  <c r="J59" i="87"/>
  <c r="I59" i="87"/>
  <c r="X58" i="87"/>
  <c r="W58" i="87"/>
  <c r="S58" i="87"/>
  <c r="L58" i="87"/>
  <c r="Q58" i="87"/>
  <c r="P58" i="87"/>
  <c r="O58" i="87"/>
  <c r="N58" i="87"/>
  <c r="M58" i="87"/>
  <c r="K58" i="87"/>
  <c r="J58" i="87"/>
  <c r="I58" i="87"/>
  <c r="X56" i="87"/>
  <c r="W56" i="87"/>
  <c r="V56" i="87"/>
  <c r="T56" i="87"/>
  <c r="S56" i="87"/>
  <c r="L56" i="87"/>
  <c r="R56" i="87"/>
  <c r="Q56" i="87"/>
  <c r="P56" i="87"/>
  <c r="O56" i="87"/>
  <c r="N56" i="87"/>
  <c r="M56" i="87"/>
  <c r="K56" i="87"/>
  <c r="J56" i="87"/>
  <c r="I56" i="87"/>
  <c r="X55" i="87"/>
  <c r="W55" i="87"/>
  <c r="T55" i="87"/>
  <c r="S55" i="87"/>
  <c r="K55" i="87"/>
  <c r="Q55" i="87"/>
  <c r="P55" i="87"/>
  <c r="O55" i="87"/>
  <c r="N55" i="87"/>
  <c r="M55" i="87"/>
  <c r="J55" i="87"/>
  <c r="I55" i="87"/>
  <c r="X50" i="87"/>
  <c r="W50" i="87"/>
  <c r="S50" i="87"/>
  <c r="L50" i="87"/>
  <c r="Q50" i="87"/>
  <c r="P50" i="87"/>
  <c r="O50" i="87"/>
  <c r="N50" i="87"/>
  <c r="M50" i="87"/>
  <c r="K50" i="87"/>
  <c r="J50" i="87"/>
  <c r="I50" i="87"/>
  <c r="X49" i="87"/>
  <c r="W49" i="87"/>
  <c r="S49" i="87"/>
  <c r="T49" i="87"/>
  <c r="L49" i="87"/>
  <c r="Q49" i="87"/>
  <c r="P49" i="87"/>
  <c r="O49" i="87"/>
  <c r="N49" i="87"/>
  <c r="M49" i="87"/>
  <c r="K49" i="87"/>
  <c r="J49" i="87"/>
  <c r="I49" i="87"/>
  <c r="V59" i="87" l="1"/>
  <c r="V55" i="87"/>
  <c r="V58" i="87"/>
  <c r="H19" i="85"/>
  <c r="Y44" i="91" l="1" a="1"/>
  <c r="Y44" i="91" s="1"/>
  <c r="X44" i="91" a="1"/>
  <c r="X44" i="91" s="1"/>
  <c r="Y43" i="91" a="1"/>
  <c r="Y43" i="91" s="1"/>
  <c r="X43" i="91" a="1"/>
  <c r="X43" i="91" s="1"/>
  <c r="Y42" i="91" a="1"/>
  <c r="Y42" i="91" s="1"/>
  <c r="X42" i="91" a="1"/>
  <c r="X42" i="91" s="1"/>
  <c r="Y41" i="91" a="1"/>
  <c r="Y41" i="91" s="1"/>
  <c r="X41" i="91" a="1"/>
  <c r="X41" i="91" s="1"/>
  <c r="Y40" i="91" a="1"/>
  <c r="Y40" i="91" s="1"/>
  <c r="X40" i="91" a="1"/>
  <c r="X40" i="91" s="1"/>
  <c r="Y39" i="91" a="1"/>
  <c r="Y39" i="91" s="1"/>
  <c r="X39" i="91" a="1"/>
  <c r="X39" i="91" s="1"/>
  <c r="Y38" i="91" a="1"/>
  <c r="Y38" i="91" s="1"/>
  <c r="Z40" i="91" l="1"/>
  <c r="Z43" i="91"/>
  <c r="Z39" i="91"/>
  <c r="Z44" i="91"/>
  <c r="Z42" i="91"/>
  <c r="Z38" i="91"/>
  <c r="Z41" i="91"/>
  <c r="AD28" i="91" l="1" a="1"/>
  <c r="AD28" i="91" s="1"/>
  <c r="AS32" i="78"/>
  <c r="AT32" i="78" s="1"/>
  <c r="AU32" i="78" s="1"/>
  <c r="AV32" i="78" s="1"/>
  <c r="AW32" i="78" s="1"/>
  <c r="AX32" i="78" s="1"/>
  <c r="AY32" i="78" s="1"/>
  <c r="R161" i="78"/>
  <c r="AL43" i="78" l="1"/>
  <c r="AJ43" i="78"/>
  <c r="AH43" i="78"/>
  <c r="AE43" i="78"/>
  <c r="AE88" i="78" s="1"/>
  <c r="AD43" i="78"/>
  <c r="AC43" i="78"/>
  <c r="AL34" i="78"/>
  <c r="AL85" i="78" s="1"/>
  <c r="AJ34" i="78"/>
  <c r="AJ85" i="78" s="1"/>
  <c r="AH34" i="78"/>
  <c r="AH85" i="78" s="1"/>
  <c r="AE34" i="78"/>
  <c r="AD34" i="78"/>
  <c r="AC34" i="78"/>
  <c r="AB34" i="78"/>
  <c r="AL106" i="78"/>
  <c r="AL109" i="78" s="1"/>
  <c r="AL88" i="78" l="1"/>
  <c r="AL97" i="78"/>
  <c r="AF34" i="78"/>
  <c r="AF43" i="78"/>
  <c r="W112" i="78"/>
  <c r="J115" i="78"/>
  <c r="T115" i="78"/>
  <c r="V112" i="78"/>
  <c r="F112" i="78"/>
  <c r="T112" i="78"/>
  <c r="L112" i="78"/>
  <c r="L115" i="78"/>
  <c r="Q115" i="78"/>
  <c r="J112" i="78"/>
  <c r="D115" i="78"/>
  <c r="E115" i="78"/>
  <c r="M112" i="78"/>
  <c r="R115" i="78"/>
  <c r="D112" i="78"/>
  <c r="N112" i="78"/>
  <c r="M115" i="78"/>
  <c r="P115" i="78"/>
  <c r="W115" i="78"/>
  <c r="F115" i="78"/>
  <c r="V115" i="78"/>
  <c r="E112" i="78"/>
  <c r="H112" i="78"/>
  <c r="S112" i="78"/>
  <c r="Q112" i="78"/>
  <c r="P112" i="78"/>
  <c r="G115" i="78"/>
  <c r="R112" i="78"/>
  <c r="N115" i="78"/>
  <c r="G112" i="78"/>
  <c r="K115" i="78"/>
  <c r="S115" i="78"/>
  <c r="K112" i="78"/>
  <c r="H115" i="78"/>
  <c r="AB106" i="78"/>
  <c r="AB109" i="78" s="1"/>
  <c r="AC106" i="78"/>
  <c r="AC109" i="78" s="1"/>
  <c r="AD106" i="78"/>
  <c r="AD109" i="78" s="1"/>
  <c r="AE106" i="78"/>
  <c r="AE109" i="78" s="1"/>
  <c r="AH106" i="78"/>
  <c r="AH109" i="78" s="1"/>
  <c r="AJ106" i="78"/>
  <c r="AJ109" i="78" s="1"/>
  <c r="AF44" i="78" l="1"/>
  <c r="Z115" i="78"/>
  <c r="F20" i="85"/>
  <c r="H30" i="85" l="1"/>
  <c r="H31" i="85"/>
  <c r="H28" i="85" l="1"/>
  <c r="H27" i="85" l="1"/>
  <c r="H25" i="85"/>
  <c r="H26" i="85"/>
  <c r="J82" i="78" l="1"/>
  <c r="M82" i="78"/>
  <c r="D82" i="78"/>
  <c r="D83" i="78" s="1"/>
  <c r="V82" i="78"/>
  <c r="V83" i="78" s="1"/>
  <c r="Q82" i="78"/>
  <c r="E82" i="78"/>
  <c r="K82" i="78"/>
  <c r="P82" i="78"/>
  <c r="W82" i="78"/>
  <c r="F82" i="78"/>
  <c r="L82" i="78"/>
  <c r="G82" i="78"/>
  <c r="S82" i="78"/>
  <c r="R82" i="78"/>
  <c r="B7" i="87" l="1"/>
  <c r="S26" i="87"/>
  <c r="S25" i="87"/>
  <c r="W26" i="87" l="1"/>
  <c r="V26" i="87"/>
  <c r="V25" i="87"/>
  <c r="Z26" i="87"/>
  <c r="T26" i="87"/>
  <c r="X26" i="87"/>
  <c r="V50" i="87"/>
  <c r="V49" i="87"/>
  <c r="W25" i="87"/>
  <c r="X25" i="87"/>
  <c r="Z59" i="87"/>
  <c r="Z50" i="87"/>
  <c r="T25" i="87"/>
  <c r="Z49" i="87"/>
  <c r="Z58" i="87"/>
  <c r="Z25" i="87"/>
  <c r="T58" i="87"/>
  <c r="T50" i="87"/>
  <c r="Q26" i="87"/>
  <c r="Q25" i="87"/>
  <c r="P26" i="87"/>
  <c r="P25" i="87"/>
  <c r="O26" i="87"/>
  <c r="O25" i="87"/>
  <c r="N25" i="87"/>
  <c r="N26" i="87"/>
  <c r="M26" i="87"/>
  <c r="M25" i="87"/>
  <c r="L26" i="87"/>
  <c r="L25" i="87"/>
  <c r="K25" i="87"/>
  <c r="K26" i="87"/>
  <c r="J26" i="87"/>
  <c r="J25" i="87"/>
  <c r="I26" i="87"/>
  <c r="I25" i="87"/>
  <c r="O9" i="6"/>
  <c r="P9" i="6" s="1"/>
  <c r="Q9" i="6" s="1"/>
  <c r="R9" i="6" s="1"/>
  <c r="E9" i="6"/>
  <c r="F9" i="6" s="1"/>
  <c r="G9" i="6" s="1"/>
  <c r="H9" i="6" s="1"/>
  <c r="D16" i="6" l="1"/>
  <c r="D19" i="6" s="1"/>
  <c r="M15" i="3" l="1"/>
  <c r="M13" i="3"/>
  <c r="M16" i="3"/>
  <c r="M14"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N17" i="79"/>
  <c r="AF13" i="79"/>
  <c r="AF17" i="79"/>
  <c r="AL16" i="79"/>
  <c r="AR15" i="79"/>
  <c r="N14" i="79"/>
  <c r="T13" i="79"/>
  <c r="T17" i="79"/>
  <c r="Z16" i="79"/>
  <c r="AF15" i="79"/>
  <c r="AR13" i="79"/>
  <c r="AR17" i="79"/>
  <c r="AF16" i="79"/>
  <c r="H17" i="79"/>
  <c r="N16" i="79"/>
  <c r="T16" i="79"/>
  <c r="N15" i="79"/>
  <c r="T14" i="79"/>
  <c r="Z13" i="79"/>
  <c r="Z17" i="79"/>
  <c r="AL15" i="79"/>
  <c r="Z15" i="79"/>
  <c r="AR16" i="79"/>
  <c r="T15" i="79"/>
  <c r="N13" i="79"/>
  <c r="AL17" i="79"/>
  <c r="AR14" i="79"/>
  <c r="AL13" i="79"/>
  <c r="AL14" i="79"/>
  <c r="AF14" i="79"/>
  <c r="Z14" i="79"/>
  <c r="C194" i="66" l="1"/>
  <c r="C191" i="66"/>
  <c r="C195" i="66" l="1"/>
  <c r="C190" i="66"/>
  <c r="L59" i="65"/>
  <c r="L108" i="65" s="1"/>
  <c r="K59" i="65"/>
  <c r="K102" i="65" s="1"/>
  <c r="J59" i="65"/>
  <c r="J108" i="65" s="1"/>
  <c r="I59" i="65"/>
  <c r="I71" i="65" s="1"/>
  <c r="I120" i="65" s="1"/>
  <c r="H59" i="65"/>
  <c r="H71" i="65" s="1"/>
  <c r="H120" i="65" s="1"/>
  <c r="G112" i="65"/>
  <c r="F112" i="65"/>
  <c r="E112" i="65"/>
  <c r="C196" i="66" l="1"/>
  <c r="C189" i="6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C198" i="66" l="1"/>
  <c r="C187" i="66"/>
  <c r="C199" i="66" l="1"/>
  <c r="C186" i="66"/>
  <c r="C200" i="66" l="1"/>
  <c r="C185" i="66"/>
  <c r="C201" i="66" l="1"/>
  <c r="C184" i="66"/>
  <c r="C202" i="66" l="1"/>
  <c r="C183" i="66"/>
  <c r="C203" i="66" l="1"/>
  <c r="C182" i="66"/>
  <c r="C181" i="66" l="1"/>
  <c r="C204" i="66"/>
  <c r="C205" i="66" l="1"/>
  <c r="C180" i="66"/>
  <c r="C206" i="66" l="1"/>
  <c r="C179" i="66"/>
  <c r="E14" i="65"/>
  <c r="C207" i="66" l="1"/>
  <c r="C178" i="66"/>
  <c r="AD18" i="84"/>
  <c r="AD68" i="79"/>
  <c r="R18" i="84"/>
  <c r="R68" i="79"/>
  <c r="F18" i="84"/>
  <c r="F68" i="79"/>
  <c r="X18" i="84"/>
  <c r="X68" i="79"/>
  <c r="L18" i="84"/>
  <c r="L68" i="79"/>
  <c r="AL146" i="78"/>
  <c r="AE146" i="78"/>
  <c r="AD146" i="78"/>
  <c r="AC146" i="78"/>
  <c r="AB146" i="78"/>
  <c r="Y146" i="78"/>
  <c r="X146" i="78"/>
  <c r="X147" i="78" s="1"/>
  <c r="AB147" i="78" l="1"/>
  <c r="AD147" i="78"/>
  <c r="AC147" i="78"/>
  <c r="Y147" i="78"/>
  <c r="C208" i="66"/>
  <c r="C177" i="66"/>
  <c r="C209" i="66" l="1"/>
  <c r="C176" i="66"/>
  <c r="C210" i="66" l="1"/>
  <c r="C175" i="66"/>
  <c r="C211" i="66" l="1"/>
  <c r="C174" i="66"/>
  <c r="C212" i="66" l="1"/>
  <c r="C173" i="66"/>
  <c r="C213" i="66" l="1"/>
  <c r="C172" i="66"/>
  <c r="C214" i="66" l="1"/>
  <c r="C171" i="66"/>
  <c r="C215" i="66" l="1"/>
  <c r="C170" i="66"/>
  <c r="C169" i="66" l="1"/>
  <c r="C216" i="66"/>
  <c r="C217" i="66" l="1"/>
  <c r="C168" i="66"/>
  <c r="C218" i="66" l="1"/>
  <c r="C167" i="66"/>
  <c r="AF83" i="78"/>
  <c r="C219" i="66" l="1"/>
  <c r="C166" i="66"/>
  <c r="Z80" i="78"/>
  <c r="AF80" i="78"/>
  <c r="W55" i="78"/>
  <c r="V55" i="78"/>
  <c r="R65" i="78"/>
  <c r="R64" i="78"/>
  <c r="T55" i="78"/>
  <c r="G83" i="65" s="1"/>
  <c r="S55" i="78"/>
  <c r="R55" i="78"/>
  <c r="Q55" i="78"/>
  <c r="P55" i="78"/>
  <c r="G80" i="65"/>
  <c r="L65" i="78"/>
  <c r="L64" i="78"/>
  <c r="N55" i="78"/>
  <c r="F83" i="65" s="1"/>
  <c r="M55" i="78"/>
  <c r="L55" i="78"/>
  <c r="K55" i="78"/>
  <c r="J55" i="78"/>
  <c r="F80" i="65"/>
  <c r="C220" i="66" l="1"/>
  <c r="C165" i="66"/>
  <c r="AX68" i="79"/>
  <c r="AT68" i="79"/>
  <c r="AE32" i="78"/>
  <c r="AB70" i="78"/>
  <c r="AB76" i="78"/>
  <c r="AC70" i="78"/>
  <c r="AC76" i="78"/>
  <c r="AD70" i="78"/>
  <c r="AE70" i="78"/>
  <c r="AL32" i="78"/>
  <c r="AY35" i="78" s="1"/>
  <c r="AJ58" i="78"/>
  <c r="AJ76" i="78"/>
  <c r="AJ70" i="78"/>
  <c r="AL76" i="78"/>
  <c r="AL58" i="78"/>
  <c r="AL70" i="78"/>
  <c r="AH58" i="78"/>
  <c r="AH70" i="78"/>
  <c r="AJ32" i="78"/>
  <c r="AX35" i="78" s="1"/>
  <c r="H55" i="78"/>
  <c r="E83" i="65" s="1"/>
  <c r="G55" i="78"/>
  <c r="F55" i="78"/>
  <c r="E55" i="78"/>
  <c r="E80" i="65"/>
  <c r="D55" i="78"/>
  <c r="AD139" i="78"/>
  <c r="AF139" i="78" s="1"/>
  <c r="X139" i="78"/>
  <c r="Z139" i="78" s="1"/>
  <c r="AD118" i="78"/>
  <c r="AF118" i="78" s="1"/>
  <c r="X118" i="78"/>
  <c r="Y118" i="78" s="1"/>
  <c r="R118" i="78"/>
  <c r="Q118" i="78" s="1"/>
  <c r="L118" i="78"/>
  <c r="N118" i="78" s="1"/>
  <c r="F118" i="78"/>
  <c r="E118" i="78" s="1"/>
  <c r="D118" i="78"/>
  <c r="AD24" i="78"/>
  <c r="AF24" i="78" s="1"/>
  <c r="X24" i="78"/>
  <c r="Y24" i="78" s="1"/>
  <c r="R24" i="78"/>
  <c r="T24" i="78" s="1"/>
  <c r="L24" i="78"/>
  <c r="K24" i="78" s="1"/>
  <c r="D24" i="78"/>
  <c r="F24" i="78"/>
  <c r="AL139" i="78"/>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4" i="79"/>
  <c r="H15" i="79"/>
  <c r="H16" i="79"/>
  <c r="C221" i="66" l="1"/>
  <c r="C164" i="66"/>
  <c r="AR18" i="79"/>
  <c r="AP171" i="79"/>
  <c r="AP18" i="84"/>
  <c r="AP68" i="79"/>
  <c r="AQ18" i="84"/>
  <c r="AQ68" i="79"/>
  <c r="AV68" i="79"/>
  <c r="AO18" i="84"/>
  <c r="AO68" i="79"/>
  <c r="AN18" i="84"/>
  <c r="AN68" i="79"/>
  <c r="AD32" i="78"/>
  <c r="AJ18" i="84"/>
  <c r="AJ68" i="79"/>
  <c r="AK18" i="84"/>
  <c r="AK68" i="79"/>
  <c r="AK171" i="79"/>
  <c r="AC134" i="78"/>
  <c r="AO171" i="79"/>
  <c r="AL134" i="78"/>
  <c r="AX171" i="79"/>
  <c r="AF70" i="78"/>
  <c r="AJ134" i="78"/>
  <c r="AV171" i="79"/>
  <c r="AE134" i="78"/>
  <c r="AQ171" i="79"/>
  <c r="AF109" i="78"/>
  <c r="AR139" i="79" s="1"/>
  <c r="AB134" i="78"/>
  <c r="AN171" i="79"/>
  <c r="AB97" i="78"/>
  <c r="AB130" i="78" s="1"/>
  <c r="AT171" i="79"/>
  <c r="AX139" i="79"/>
  <c r="AJ171" i="79"/>
  <c r="AB73" i="78"/>
  <c r="AB88" i="78"/>
  <c r="AH134" i="78"/>
  <c r="AD134" i="78"/>
  <c r="AF106" i="78"/>
  <c r="AJ73" i="78"/>
  <c r="AV98" i="79" s="1"/>
  <c r="AJ88" i="78"/>
  <c r="AE97" i="78"/>
  <c r="AE130" i="78" s="1"/>
  <c r="AE73" i="78"/>
  <c r="AD97" i="78"/>
  <c r="AD130" i="78" s="1"/>
  <c r="AD88" i="78"/>
  <c r="AF88" i="78" s="1"/>
  <c r="AF89" i="78" s="1"/>
  <c r="AD73" i="78"/>
  <c r="AC97" i="78"/>
  <c r="AC130" i="78" s="1"/>
  <c r="AC88" i="78"/>
  <c r="AL73" i="78"/>
  <c r="AH32" i="78"/>
  <c r="AW35" i="78" s="1"/>
  <c r="AC73" i="78"/>
  <c r="AH73" i="78"/>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AH147" i="78"/>
  <c r="AJ147" i="78"/>
  <c r="AL147" i="78"/>
  <c r="AE147" i="78"/>
  <c r="AL103" i="78" l="1"/>
  <c r="C222" i="66"/>
  <c r="C163" i="66"/>
  <c r="AR18" i="84"/>
  <c r="AF110" i="78"/>
  <c r="AT139" i="79"/>
  <c r="AR68" i="79"/>
  <c r="AV139" i="79"/>
  <c r="AF71" i="78"/>
  <c r="AV109" i="79"/>
  <c r="AT131" i="79"/>
  <c r="AT109" i="79"/>
  <c r="AX138" i="79"/>
  <c r="AF134" i="78"/>
  <c r="AT98" i="79"/>
  <c r="AO98" i="79"/>
  <c r="AO109" i="79"/>
  <c r="AK98" i="79"/>
  <c r="AP109" i="79"/>
  <c r="AP98" i="79"/>
  <c r="AF73" i="78"/>
  <c r="AF74" i="78" s="1"/>
  <c r="AQ98" i="79"/>
  <c r="AN109" i="79"/>
  <c r="AN98" i="79"/>
  <c r="AR21" i="79"/>
  <c r="AJ109" i="79"/>
  <c r="AQ71" i="79"/>
  <c r="AF107" i="78"/>
  <c r="AF97" i="78"/>
  <c r="C223" i="66" l="1"/>
  <c r="C162" i="66"/>
  <c r="C161" i="66" s="1"/>
  <c r="C160" i="66" s="1"/>
  <c r="C159" i="66" s="1"/>
  <c r="C158" i="66" s="1"/>
  <c r="C157" i="66" s="1"/>
  <c r="C156" i="66" s="1"/>
  <c r="C155" i="66" s="1"/>
  <c r="C154" i="66" s="1"/>
  <c r="D97" i="79"/>
  <c r="AV131" i="79"/>
  <c r="AR109" i="79"/>
  <c r="AR131" i="79"/>
  <c r="AV134" i="79"/>
  <c r="AQ109" i="79"/>
  <c r="AK109" i="79"/>
  <c r="AV128" i="79"/>
  <c r="AR128" i="79"/>
  <c r="AV71" i="79"/>
  <c r="AT128" i="79"/>
  <c r="AR30" i="79"/>
  <c r="AX71" i="79"/>
  <c r="AV132" i="79"/>
  <c r="AR138" i="79"/>
  <c r="AR171" i="79"/>
  <c r="AT138" i="79"/>
  <c r="AV138" i="79"/>
  <c r="AT133" i="79"/>
  <c r="AL109" i="79"/>
  <c r="AR98" i="79"/>
  <c r="AP71" i="79"/>
  <c r="AO71" i="79"/>
  <c r="AR27" i="79"/>
  <c r="AK71" i="79"/>
  <c r="AJ71" i="79"/>
  <c r="AF98" i="78"/>
  <c r="AF130" i="78"/>
  <c r="D98" i="79"/>
  <c r="C224" i="66" l="1"/>
  <c r="AR134" i="79"/>
  <c r="AT134" i="79"/>
  <c r="AV133" i="79"/>
  <c r="AR133" i="79"/>
  <c r="AT132" i="79"/>
  <c r="AR132" i="79"/>
  <c r="AR24" i="79"/>
  <c r="AR22" i="79"/>
  <c r="AN71" i="79"/>
  <c r="AT71" i="79"/>
  <c r="C225" i="66" l="1"/>
  <c r="E68" i="79"/>
  <c r="G68" i="79"/>
  <c r="G18" i="84"/>
  <c r="E18" i="84"/>
  <c r="H18" i="84"/>
  <c r="H80" i="79"/>
  <c r="H87" i="79"/>
  <c r="AR29" i="79"/>
  <c r="AR23" i="79"/>
  <c r="AR71" i="79"/>
  <c r="R73" i="78"/>
  <c r="R70" i="78"/>
  <c r="H77" i="79"/>
  <c r="H71" i="79"/>
  <c r="H86" i="79"/>
  <c r="H83" i="79"/>
  <c r="AD97" i="79"/>
  <c r="C226" i="66" l="1"/>
  <c r="H125" i="79"/>
  <c r="C227" i="66" l="1"/>
  <c r="N125" i="79"/>
  <c r="C228" i="66" l="1"/>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AL128" i="79"/>
  <c r="L97" i="78"/>
  <c r="L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D130" i="78" s="1"/>
  <c r="T127" i="79"/>
  <c r="H94" i="78"/>
  <c r="E125" i="65" s="1"/>
  <c r="H129" i="79"/>
  <c r="N129" i="79"/>
  <c r="C230" i="66" l="1"/>
  <c r="D22" i="6"/>
  <c r="AL165" i="78"/>
  <c r="Z165" i="78"/>
  <c r="AF165" i="78"/>
  <c r="N128" i="78"/>
  <c r="V130" i="78"/>
  <c r="Z128" i="79"/>
  <c r="N97" i="78"/>
  <c r="N130" i="78" s="1"/>
  <c r="AF128" i="79"/>
  <c r="T97" i="78"/>
  <c r="T130" i="78" s="1"/>
  <c r="T128" i="78"/>
  <c r="H128" i="78"/>
  <c r="T128" i="79"/>
  <c r="H97" i="78"/>
  <c r="AL129" i="79"/>
  <c r="AF129" i="79"/>
  <c r="Z129" i="79"/>
  <c r="T129" i="79"/>
  <c r="H131" i="79"/>
  <c r="N131" i="79"/>
  <c r="C231" i="66" l="1"/>
  <c r="H130" i="78"/>
  <c r="H132" i="79"/>
  <c r="N132" i="79"/>
  <c r="C232" i="66" l="1"/>
  <c r="AF131" i="79"/>
  <c r="Z131" i="79"/>
  <c r="T131" i="79"/>
  <c r="AF132" i="79"/>
  <c r="Z132" i="79"/>
  <c r="T132" i="79"/>
  <c r="H133" i="79"/>
  <c r="N133" i="79"/>
  <c r="C233" i="66" l="1"/>
  <c r="J168" i="79"/>
  <c r="K168" i="79"/>
  <c r="M168" i="79"/>
  <c r="L168" i="79"/>
  <c r="F168" i="79"/>
  <c r="E168" i="79"/>
  <c r="D168" i="79"/>
  <c r="G168" i="79"/>
  <c r="AF134" i="79"/>
  <c r="T134" i="79"/>
  <c r="Z133" i="79"/>
  <c r="H134" i="79"/>
  <c r="Z134" i="79"/>
  <c r="N134" i="79"/>
  <c r="T133" i="79"/>
  <c r="C234" i="66" l="1"/>
  <c r="S109" i="78"/>
  <c r="Q109" i="78"/>
  <c r="P109" i="78"/>
  <c r="P106" i="78"/>
  <c r="Q106" i="78"/>
  <c r="J106" i="78"/>
  <c r="W109" i="78"/>
  <c r="V106" i="78"/>
  <c r="M106" i="78"/>
  <c r="V109" i="78"/>
  <c r="K106" i="78"/>
  <c r="K109" i="78"/>
  <c r="W106" i="78"/>
  <c r="M109" i="78"/>
  <c r="L106" i="78"/>
  <c r="L109" i="78"/>
  <c r="S106" i="78"/>
  <c r="R109" i="78"/>
  <c r="R106" i="78"/>
  <c r="J109" i="78"/>
  <c r="AF133" i="79"/>
  <c r="D132" i="78"/>
  <c r="D109" i="78"/>
  <c r="X168" i="79"/>
  <c r="G106" i="78"/>
  <c r="AE168" i="79"/>
  <c r="AD168" i="79"/>
  <c r="E109" i="78"/>
  <c r="AH168" i="79"/>
  <c r="Y168" i="79"/>
  <c r="S168" i="79"/>
  <c r="G109" i="78"/>
  <c r="F106"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D134" i="78" l="1"/>
  <c r="C235" i="66"/>
  <c r="W134" i="78"/>
  <c r="K110" i="78"/>
  <c r="S134" i="78"/>
  <c r="R134" i="78"/>
  <c r="J110" i="78"/>
  <c r="L110" i="78"/>
  <c r="P134" i="78"/>
  <c r="M134" i="78"/>
  <c r="P110" i="78"/>
  <c r="Q110" i="78"/>
  <c r="R110" i="78"/>
  <c r="L134" i="78"/>
  <c r="Z139" i="79"/>
  <c r="N109" i="78"/>
  <c r="M110" i="78"/>
  <c r="AF139" i="79"/>
  <c r="T109" i="78"/>
  <c r="K134" i="78"/>
  <c r="V110" i="78"/>
  <c r="V134" i="78"/>
  <c r="Z138" i="79"/>
  <c r="N106" i="78"/>
  <c r="W110" i="78"/>
  <c r="J134" i="78"/>
  <c r="Q134" i="78"/>
  <c r="AF138" i="79"/>
  <c r="T106" i="78"/>
  <c r="S110" i="78"/>
  <c r="E110" i="78"/>
  <c r="F110" i="78"/>
  <c r="D110" i="78"/>
  <c r="G134" i="78"/>
  <c r="G110" i="78"/>
  <c r="F134" i="78"/>
  <c r="E134" i="78"/>
  <c r="T139" i="79"/>
  <c r="H109" i="78"/>
  <c r="E131" i="65" s="1"/>
  <c r="T138" i="79"/>
  <c r="T168" i="79"/>
  <c r="AF135" i="79"/>
  <c r="AF168" i="79"/>
  <c r="Z135" i="79"/>
  <c r="Z168" i="79"/>
  <c r="H146" i="79"/>
  <c r="H145" i="79"/>
  <c r="M171" i="79"/>
  <c r="L171" i="79"/>
  <c r="K171" i="79"/>
  <c r="J171" i="79"/>
  <c r="C236" i="66" l="1"/>
  <c r="G131" i="65"/>
  <c r="F131" i="65"/>
  <c r="AL171" i="79"/>
  <c r="AL138" i="79"/>
  <c r="N134" i="78"/>
  <c r="T134" i="78"/>
  <c r="N110" i="78"/>
  <c r="T110" i="78"/>
  <c r="H134" i="78"/>
  <c r="H110" i="78"/>
  <c r="N146" i="79"/>
  <c r="H171" i="79"/>
  <c r="N145" i="79"/>
  <c r="S171" i="79"/>
  <c r="R171" i="79"/>
  <c r="Q171" i="79"/>
  <c r="P171" i="79"/>
  <c r="C237" i="66" l="1"/>
  <c r="N171" i="79"/>
  <c r="T146" i="79"/>
  <c r="Y171" i="79"/>
  <c r="X171" i="79"/>
  <c r="W171" i="79"/>
  <c r="V171" i="79"/>
  <c r="T145" i="79"/>
  <c r="C238" i="66" l="1"/>
  <c r="T171" i="79"/>
  <c r="Z146" i="79"/>
  <c r="Z145" i="79"/>
  <c r="AE171" i="79"/>
  <c r="AD171" i="79"/>
  <c r="AC171" i="79"/>
  <c r="AB171" i="79"/>
  <c r="C239" i="66" l="1"/>
  <c r="Z171" i="79"/>
  <c r="AF146" i="79"/>
  <c r="AL146" i="79"/>
  <c r="AF145" i="79"/>
  <c r="AI171" i="79"/>
  <c r="AL145" i="79"/>
  <c r="C240" i="66" l="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H155" i="79"/>
  <c r="H154" i="79"/>
  <c r="M174" i="79"/>
  <c r="L174" i="79"/>
  <c r="K174" i="79"/>
  <c r="J174" i="79"/>
  <c r="C242" i="66" l="1"/>
  <c r="N155" i="79"/>
  <c r="H174" i="79"/>
  <c r="N154" i="79"/>
  <c r="S174" i="79"/>
  <c r="R174" i="79"/>
  <c r="Q174" i="79"/>
  <c r="P174" i="79"/>
  <c r="C243" i="66" l="1"/>
  <c r="N174" i="79"/>
  <c r="T155" i="79"/>
  <c r="T154" i="79"/>
  <c r="Y174" i="79"/>
  <c r="X174" i="79"/>
  <c r="W174" i="79"/>
  <c r="V174" i="79"/>
  <c r="C244" i="66" l="1"/>
  <c r="T174" i="79"/>
  <c r="Z155" i="79"/>
  <c r="Z154" i="79"/>
  <c r="AE174" i="79"/>
  <c r="AD174" i="79"/>
  <c r="AC174" i="79"/>
  <c r="AB174" i="79"/>
  <c r="C245" i="66" l="1"/>
  <c r="Z174" i="79"/>
  <c r="AF155" i="79"/>
  <c r="AL155" i="79"/>
  <c r="AF154" i="79"/>
  <c r="AI174" i="79"/>
  <c r="AL154" i="79"/>
  <c r="C246" i="66" l="1"/>
  <c r="H97" i="79"/>
  <c r="G177" i="79"/>
  <c r="D177" i="79"/>
  <c r="E177" i="79"/>
  <c r="F177" i="79"/>
  <c r="AF174" i="79"/>
  <c r="AH174" i="79"/>
  <c r="R176" i="79"/>
  <c r="R177" i="79"/>
  <c r="AH176" i="79"/>
  <c r="AH177" i="79"/>
  <c r="K176" i="79"/>
  <c r="K177" i="79"/>
  <c r="L176" i="79"/>
  <c r="L177"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Z159" i="79"/>
  <c r="Z176" i="79"/>
  <c r="Z177" i="79"/>
  <c r="AF159" i="79"/>
  <c r="AF176" i="79"/>
  <c r="AF177" i="79"/>
  <c r="N159" i="79"/>
  <c r="N176" i="79"/>
  <c r="N177" i="79"/>
  <c r="T159" i="79"/>
  <c r="T176" i="79"/>
  <c r="T177" i="79"/>
  <c r="J97" i="79"/>
  <c r="K97" i="79"/>
  <c r="M97" i="79"/>
  <c r="L97" i="79"/>
  <c r="H159" i="79"/>
  <c r="H176" i="79"/>
  <c r="N97" i="79"/>
  <c r="C248" i="66" l="1"/>
  <c r="Q97" i="79"/>
  <c r="P97" i="79"/>
  <c r="R97" i="79"/>
  <c r="S97" i="79"/>
  <c r="T97" i="79"/>
  <c r="C249" i="66" l="1"/>
  <c r="X97" i="79"/>
  <c r="Y97" i="79"/>
  <c r="W97" i="79"/>
  <c r="V97" i="79"/>
  <c r="Z97" i="79"/>
  <c r="C250" i="66" l="1"/>
  <c r="AB97" i="79"/>
  <c r="AE97" i="79"/>
  <c r="AC97" i="79"/>
  <c r="AF97" i="79"/>
  <c r="C251" i="66" l="1"/>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L131" i="79"/>
  <c r="H98" i="79"/>
  <c r="G98" i="79"/>
  <c r="L98" i="79"/>
  <c r="K98" i="79"/>
  <c r="J98" i="79"/>
  <c r="C253" i="66" l="1"/>
  <c r="N98" i="79"/>
  <c r="M98" i="79"/>
  <c r="C254" i="66" l="1"/>
  <c r="R98" i="79"/>
  <c r="F76" i="78"/>
  <c r="Q98" i="79"/>
  <c r="E76" i="78"/>
  <c r="H76" i="78"/>
  <c r="E108" i="65" s="1"/>
  <c r="G76" i="78"/>
  <c r="P98" i="79"/>
  <c r="D76" i="78"/>
  <c r="S98" i="79"/>
  <c r="C255" i="66" l="1"/>
  <c r="V98" i="79"/>
  <c r="J76" i="78"/>
  <c r="W98" i="79"/>
  <c r="K76" i="78"/>
  <c r="X98" i="79"/>
  <c r="L76" i="78"/>
  <c r="N76" i="78"/>
  <c r="F108" i="65" s="1"/>
  <c r="M76" i="78"/>
  <c r="T98" i="79"/>
  <c r="Y98" i="79"/>
  <c r="C256" i="66" l="1"/>
  <c r="Z98" i="79"/>
  <c r="T76" i="78"/>
  <c r="G108" i="65" s="1"/>
  <c r="S76" i="78"/>
  <c r="AB98" i="79"/>
  <c r="P76" i="78"/>
  <c r="AD98" i="79"/>
  <c r="R76" i="78"/>
  <c r="AC98" i="79"/>
  <c r="Q76" i="78"/>
  <c r="AE98" i="79"/>
  <c r="C257" i="66" l="1"/>
  <c r="AF98" i="79"/>
  <c r="J83" i="78"/>
  <c r="W83" i="78"/>
  <c r="Q83" i="78"/>
  <c r="R83" i="78"/>
  <c r="R79" i="78"/>
  <c r="R53" i="78" s="1"/>
  <c r="P83" i="78"/>
  <c r="K79" i="78"/>
  <c r="K53" i="78" s="1"/>
  <c r="S83" i="78"/>
  <c r="K83" i="78"/>
  <c r="L79" i="78"/>
  <c r="L53" i="78" s="1"/>
  <c r="W79" i="78"/>
  <c r="W53" i="78" s="1"/>
  <c r="P79" i="78"/>
  <c r="P53" i="78" s="1"/>
  <c r="V79" i="78"/>
  <c r="V53" i="78" s="1"/>
  <c r="X53" i="78" s="1"/>
  <c r="M83" i="78"/>
  <c r="M79" i="78"/>
  <c r="M53" i="78" s="1"/>
  <c r="J79" i="78"/>
  <c r="J53" i="78" s="1"/>
  <c r="S79" i="78"/>
  <c r="S53" i="78" s="1"/>
  <c r="L83" i="78"/>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53" i="78" s="1"/>
  <c r="T82" i="78"/>
  <c r="N79" i="78"/>
  <c r="F103" i="79"/>
  <c r="E103" i="79"/>
  <c r="D103" i="79"/>
  <c r="Y53" i="78" l="1"/>
  <c r="X52" i="78"/>
  <c r="C258" i="66"/>
  <c r="Z83" i="78"/>
  <c r="E56" i="78"/>
  <c r="E83" i="78"/>
  <c r="F114" i="65"/>
  <c r="F84" i="65" s="1"/>
  <c r="N83" i="78"/>
  <c r="F115" i="65" s="1"/>
  <c r="G56" i="78"/>
  <c r="G83" i="78"/>
  <c r="E114" i="65"/>
  <c r="E84" i="65" s="1"/>
  <c r="H83" i="78"/>
  <c r="E115" i="65" s="1"/>
  <c r="D56" i="78"/>
  <c r="F56" i="78"/>
  <c r="F83" i="78"/>
  <c r="G114" i="65"/>
  <c r="H83" i="65" s="1"/>
  <c r="T83" i="78"/>
  <c r="G115" i="65" s="1"/>
  <c r="N53" i="78"/>
  <c r="F81" i="65" s="1"/>
  <c r="F111" i="65"/>
  <c r="G81" i="65"/>
  <c r="G111" i="65"/>
  <c r="H80" i="65" s="1"/>
  <c r="H53" i="78"/>
  <c r="L56" i="78"/>
  <c r="L95" i="78"/>
  <c r="T56" i="78"/>
  <c r="T95" i="78"/>
  <c r="G126" i="65" s="1"/>
  <c r="P56" i="78"/>
  <c r="P95" i="78"/>
  <c r="Q56" i="78"/>
  <c r="Q95" i="78"/>
  <c r="M56" i="78"/>
  <c r="M95" i="78"/>
  <c r="N56" i="78"/>
  <c r="N95" i="78"/>
  <c r="F126" i="65" s="1"/>
  <c r="K56" i="78"/>
  <c r="K95" i="78"/>
  <c r="S56" i="78"/>
  <c r="S95" i="78"/>
  <c r="R56" i="78"/>
  <c r="R95" i="78"/>
  <c r="X55" i="78"/>
  <c r="W56" i="78"/>
  <c r="W95"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C259" i="66" l="1"/>
  <c r="G84" i="65"/>
  <c r="H77" i="65"/>
  <c r="N103" i="79"/>
  <c r="M103" i="79"/>
  <c r="R103" i="79"/>
  <c r="Q103" i="79"/>
  <c r="P103" i="79"/>
  <c r="C260" i="66" l="1"/>
  <c r="T103" i="79"/>
  <c r="S103" i="79"/>
  <c r="X103" i="79"/>
  <c r="W103" i="79"/>
  <c r="V103" i="79"/>
  <c r="C261" i="66" l="1"/>
  <c r="AL102" i="79"/>
  <c r="AJ74" i="79"/>
  <c r="Z103" i="79"/>
  <c r="Y103" i="79"/>
  <c r="AD103" i="79"/>
  <c r="AC103" i="79"/>
  <c r="AB103" i="79"/>
  <c r="C262" i="66" l="1"/>
  <c r="AN102" i="79"/>
  <c r="AF103" i="79"/>
  <c r="AE103" i="79"/>
  <c r="AI103" i="79"/>
  <c r="AH103" i="79"/>
  <c r="C263" i="66" l="1"/>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AL133" i="79"/>
  <c r="G109" i="79"/>
  <c r="H109" i="79"/>
  <c r="L109" i="79"/>
  <c r="K109" i="79"/>
  <c r="J109" i="79"/>
  <c r="C265" i="66" l="1"/>
  <c r="AP102" i="79"/>
  <c r="N109" i="79"/>
  <c r="M109" i="79"/>
  <c r="C266" i="66" l="1"/>
  <c r="Q109" i="79"/>
  <c r="E88" i="78"/>
  <c r="R109" i="79"/>
  <c r="F88" i="78"/>
  <c r="F103" i="78" s="1"/>
  <c r="F132" i="78" s="1"/>
  <c r="H88" i="78"/>
  <c r="E120" i="65" s="1"/>
  <c r="G88" i="78"/>
  <c r="G103" i="78" s="1"/>
  <c r="G132" i="78" s="1"/>
  <c r="P109" i="79"/>
  <c r="D88" i="78"/>
  <c r="S109" i="79"/>
  <c r="E103" i="78" l="1"/>
  <c r="C267" i="66"/>
  <c r="AQ102" i="79"/>
  <c r="X109" i="79"/>
  <c r="L88" i="78"/>
  <c r="V109" i="79"/>
  <c r="J88" i="78"/>
  <c r="J103" i="78" s="1"/>
  <c r="N88" i="78"/>
  <c r="F120" i="65" s="1"/>
  <c r="M88" i="78"/>
  <c r="M103" i="78" s="1"/>
  <c r="M132" i="78" s="1"/>
  <c r="W109" i="79"/>
  <c r="K88" i="78"/>
  <c r="K103" i="78" s="1"/>
  <c r="K132" i="78" s="1"/>
  <c r="T109" i="79"/>
  <c r="Y109" i="79"/>
  <c r="J132" i="78" l="1"/>
  <c r="L103" i="78"/>
  <c r="H103" i="78"/>
  <c r="E132" i="78"/>
  <c r="C268" i="66"/>
  <c r="AR102" i="79"/>
  <c r="Z109" i="79"/>
  <c r="AB109" i="79"/>
  <c r="P88" i="78"/>
  <c r="P103" i="78" s="1"/>
  <c r="AC109" i="79"/>
  <c r="Q88" i="78"/>
  <c r="Q103" i="78" s="1"/>
  <c r="Q132" i="78" s="1"/>
  <c r="AD109" i="79"/>
  <c r="R88" i="78"/>
  <c r="R103" i="78" s="1"/>
  <c r="R132" i="78" s="1"/>
  <c r="T88" i="78"/>
  <c r="G120" i="65" s="1"/>
  <c r="S88" i="78"/>
  <c r="S103" i="78" s="1"/>
  <c r="S132" i="78" s="1"/>
  <c r="AE109" i="79"/>
  <c r="T103" i="78" l="1"/>
  <c r="P132" i="78"/>
  <c r="E128" i="65"/>
  <c r="H132" i="78"/>
  <c r="L132" i="78"/>
  <c r="C269" i="66"/>
  <c r="AF109" i="79"/>
  <c r="AT102" i="79"/>
  <c r="Z164" i="78"/>
  <c r="AL164" i="78"/>
  <c r="AI109" i="79"/>
  <c r="W88" i="78"/>
  <c r="AH109" i="79"/>
  <c r="V88" i="78"/>
  <c r="V103" i="78" s="1"/>
  <c r="V132" i="78" s="1"/>
  <c r="F112" i="79"/>
  <c r="E112" i="79"/>
  <c r="D112" i="79"/>
  <c r="W103" i="78" l="1"/>
  <c r="N132" i="78"/>
  <c r="F128" i="65"/>
  <c r="T132" i="78"/>
  <c r="G128" i="65"/>
  <c r="C28" i="6"/>
  <c r="C270" i="66"/>
  <c r="AV102" i="79"/>
  <c r="H112" i="79"/>
  <c r="G112" i="79"/>
  <c r="L112" i="79"/>
  <c r="K112" i="79"/>
  <c r="J112" i="79"/>
  <c r="W132" i="78" l="1"/>
  <c r="W136" i="78"/>
  <c r="C271" i="66"/>
  <c r="N112" i="79"/>
  <c r="AJ176" i="79"/>
  <c r="AL134" i="79"/>
  <c r="AJ168" i="79"/>
  <c r="M112" i="79"/>
  <c r="R112" i="79"/>
  <c r="Q112" i="79"/>
  <c r="P112" i="79"/>
  <c r="C272" i="66" l="1"/>
  <c r="T112" i="79"/>
  <c r="S112" i="79"/>
  <c r="X112" i="79"/>
  <c r="W112" i="79"/>
  <c r="V112" i="79"/>
  <c r="C273" i="66" l="1"/>
  <c r="Z112" i="79"/>
  <c r="Y112" i="79"/>
  <c r="AD112" i="79"/>
  <c r="AC112" i="79"/>
  <c r="AB112" i="79"/>
  <c r="C274" i="66" l="1"/>
  <c r="AF112" i="79"/>
  <c r="AE112" i="79"/>
  <c r="AI112" i="79"/>
  <c r="AH112" i="79"/>
  <c r="C275" i="66" l="1"/>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G116" i="79"/>
  <c r="H116" i="79"/>
  <c r="L116" i="79"/>
  <c r="K116" i="79"/>
  <c r="J116" i="79"/>
  <c r="C277" i="66" l="1"/>
  <c r="N116" i="79"/>
  <c r="M116" i="79"/>
  <c r="R116" i="79"/>
  <c r="Q116" i="79"/>
  <c r="P116" i="79"/>
  <c r="C278" i="66" l="1"/>
  <c r="T116" i="79"/>
  <c r="S116" i="79"/>
  <c r="X116" i="79"/>
  <c r="W116" i="79"/>
  <c r="V116" i="79"/>
  <c r="C279" i="66" l="1"/>
  <c r="Z116" i="79"/>
  <c r="Y116" i="79"/>
  <c r="AD116" i="79"/>
  <c r="AC116" i="79"/>
  <c r="AB116" i="79"/>
  <c r="C43" i="6"/>
  <c r="C44" i="6" s="1"/>
  <c r="C280" i="66" l="1"/>
  <c r="AF116" i="79"/>
  <c r="AE116" i="79"/>
  <c r="AI116" i="79"/>
  <c r="AH116" i="79"/>
  <c r="C281" i="66" l="1"/>
  <c r="F31" i="78"/>
  <c r="F32"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64" i="78"/>
  <c r="V18" i="84"/>
  <c r="Q64" i="78"/>
  <c r="Y18" i="84"/>
  <c r="K65" i="78"/>
  <c r="Q65" i="78"/>
  <c r="W64" i="78"/>
  <c r="Q68" i="79"/>
  <c r="W65" i="78"/>
  <c r="X65" i="78" s="1"/>
  <c r="Y65" i="78" s="1"/>
  <c r="T64" i="78"/>
  <c r="N49" i="78"/>
  <c r="N50" i="78" s="1"/>
  <c r="P18" i="84"/>
  <c r="M18" i="84"/>
  <c r="F97" i="65"/>
  <c r="AE18" i="84"/>
  <c r="G94" i="65"/>
  <c r="F91" i="65"/>
  <c r="N34" i="78"/>
  <c r="S65" i="78"/>
  <c r="N43" i="78"/>
  <c r="F71" i="65" s="1"/>
  <c r="F89" i="65"/>
  <c r="AC68" i="79"/>
  <c r="P64" i="78"/>
  <c r="S64" i="78"/>
  <c r="N18" i="84"/>
  <c r="K68" i="79"/>
  <c r="M65" i="78"/>
  <c r="M64" i="78"/>
  <c r="N46" i="78"/>
  <c r="N61" i="78"/>
  <c r="S18" i="84"/>
  <c r="D31" i="78"/>
  <c r="D71" i="78" s="1"/>
  <c r="G31" i="78"/>
  <c r="G71" i="78" s="1"/>
  <c r="AB18" i="84"/>
  <c r="S68" i="79"/>
  <c r="AB68" i="79"/>
  <c r="T104" i="78"/>
  <c r="G129" i="65" s="1"/>
  <c r="K18" i="84"/>
  <c r="P68" i="79"/>
  <c r="Z68" i="79"/>
  <c r="N87" i="79"/>
  <c r="Y68" i="79"/>
  <c r="F59" i="65"/>
  <c r="Z18" i="84"/>
  <c r="E31" i="78"/>
  <c r="Q18" i="84"/>
  <c r="W68" i="79"/>
  <c r="W18" i="84"/>
  <c r="H104" i="78"/>
  <c r="E129" i="65" s="1"/>
  <c r="Z86" i="79"/>
  <c r="Z87" i="79"/>
  <c r="Z77" i="79"/>
  <c r="Z74" i="79"/>
  <c r="N77" i="79"/>
  <c r="N83" i="79"/>
  <c r="N124" i="78"/>
  <c r="N86" i="79"/>
  <c r="Z71" i="79"/>
  <c r="F94" i="65"/>
  <c r="Z83" i="79"/>
  <c r="V68" i="79"/>
  <c r="Z18" i="79"/>
  <c r="AC18" i="84"/>
  <c r="N68" i="79"/>
  <c r="N71" i="79"/>
  <c r="Z80" i="79"/>
  <c r="M68" i="79"/>
  <c r="N80" i="79"/>
  <c r="AE68" i="79"/>
  <c r="AI68" i="79"/>
  <c r="AI18" i="84"/>
  <c r="G97" i="65"/>
  <c r="E97" i="65"/>
  <c r="T65" i="78"/>
  <c r="G89" i="65"/>
  <c r="D18" i="84"/>
  <c r="E89" i="65"/>
  <c r="E94" i="65"/>
  <c r="T34" i="78"/>
  <c r="D24" i="6"/>
  <c r="E91" i="65"/>
  <c r="H49" i="78"/>
  <c r="H50" i="78" s="1"/>
  <c r="H18" i="79"/>
  <c r="T18" i="84"/>
  <c r="D68" i="79"/>
  <c r="H58" i="78"/>
  <c r="T58" i="78"/>
  <c r="T68" i="79"/>
  <c r="T18" i="79"/>
  <c r="AF18" i="79"/>
  <c r="AF68" i="79"/>
  <c r="H124" i="78"/>
  <c r="T80" i="79"/>
  <c r="AF18" i="84"/>
  <c r="AF80" i="79"/>
  <c r="T124" i="78"/>
  <c r="G91" i="65"/>
  <c r="N18" i="79"/>
  <c r="J18" i="84"/>
  <c r="J68" i="79"/>
  <c r="AH18" i="84"/>
  <c r="AH68" i="79"/>
  <c r="J65" i="78"/>
  <c r="V65" i="78"/>
  <c r="J64" i="78"/>
  <c r="V64" i="78"/>
  <c r="T61" i="78"/>
  <c r="G59" i="65"/>
  <c r="T43" i="78"/>
  <c r="G71" i="65" s="1"/>
  <c r="T46" i="78"/>
  <c r="N104" i="78"/>
  <c r="F129" i="65" s="1"/>
  <c r="F71" i="78"/>
  <c r="F107" i="78"/>
  <c r="F77" i="78"/>
  <c r="AF77" i="79"/>
  <c r="H34" i="78"/>
  <c r="H64" i="78"/>
  <c r="AF87" i="79"/>
  <c r="AF86" i="79"/>
  <c r="H43" i="78"/>
  <c r="AF83" i="79"/>
  <c r="H46" i="78"/>
  <c r="H65" i="78"/>
  <c r="H31" i="78"/>
  <c r="E59" i="65" s="1"/>
  <c r="E60" i="65" s="1"/>
  <c r="T77" i="79"/>
  <c r="H61" i="78"/>
  <c r="T71" i="79"/>
  <c r="T74" i="79"/>
  <c r="AF71" i="79"/>
  <c r="T87" i="79"/>
  <c r="T86" i="79"/>
  <c r="T83" i="79"/>
  <c r="AF74" i="79"/>
  <c r="H40" i="78" l="1"/>
  <c r="E68" i="65" s="1"/>
  <c r="D25" i="6"/>
  <c r="E65" i="65"/>
  <c r="H38" i="78"/>
  <c r="G65" i="65"/>
  <c r="G66" i="65" s="1"/>
  <c r="T38" i="78"/>
  <c r="F65" i="65"/>
  <c r="N38" i="78"/>
  <c r="T86" i="78"/>
  <c r="G118" i="65" s="1"/>
  <c r="N86" i="78"/>
  <c r="F118" i="65" s="1"/>
  <c r="H86" i="78"/>
  <c r="G62" i="65"/>
  <c r="G63" i="65" s="1"/>
  <c r="T40" i="78"/>
  <c r="G68" i="65" s="1"/>
  <c r="G69" i="65" s="1"/>
  <c r="F62" i="65"/>
  <c r="F63" i="65" s="1"/>
  <c r="N40" i="78"/>
  <c r="F68" i="65" s="1"/>
  <c r="F69" i="65" s="1"/>
  <c r="E71" i="78"/>
  <c r="E32" i="78"/>
  <c r="E74" i="65"/>
  <c r="E75" i="65" s="1"/>
  <c r="H47" i="78"/>
  <c r="G86" i="65"/>
  <c r="G87" i="65" s="1"/>
  <c r="AT33" i="78"/>
  <c r="F86" i="65"/>
  <c r="F87" i="65" s="1"/>
  <c r="AS33" i="78"/>
  <c r="E86" i="65"/>
  <c r="E87" i="65" s="1"/>
  <c r="AR33" i="78"/>
  <c r="F74" i="65"/>
  <c r="C283" i="66"/>
  <c r="D104" i="78"/>
  <c r="D107" i="78"/>
  <c r="G95" i="65"/>
  <c r="N122" i="78"/>
  <c r="N126" i="78" s="1"/>
  <c r="G104" i="78"/>
  <c r="F95" i="65"/>
  <c r="F77" i="65"/>
  <c r="F78" i="65" s="1"/>
  <c r="D32" i="78"/>
  <c r="D77" i="78"/>
  <c r="G77" i="78"/>
  <c r="F106" i="65"/>
  <c r="AJ87" i="79"/>
  <c r="N98" i="78"/>
  <c r="N89" i="78"/>
  <c r="F121" i="65" s="1"/>
  <c r="G107" i="78"/>
  <c r="G32" i="78"/>
  <c r="F104" i="78"/>
  <c r="E107" i="78"/>
  <c r="E104" i="78"/>
  <c r="E77" i="78"/>
  <c r="N107" i="78"/>
  <c r="F132" i="65" s="1"/>
  <c r="N77" i="78"/>
  <c r="F109" i="65" s="1"/>
  <c r="F92" i="65"/>
  <c r="N71" i="78"/>
  <c r="F103" i="65" s="1"/>
  <c r="F72" i="65"/>
  <c r="N62" i="78"/>
  <c r="N44" i="78"/>
  <c r="N59" i="78"/>
  <c r="F98" i="65"/>
  <c r="N35" i="78"/>
  <c r="E24" i="6"/>
  <c r="G106" i="65"/>
  <c r="E77" i="65"/>
  <c r="E78" i="65" s="1"/>
  <c r="E95" i="65"/>
  <c r="G60" i="65"/>
  <c r="H60" i="65"/>
  <c r="E118" i="65"/>
  <c r="E62" i="65"/>
  <c r="G98" i="65"/>
  <c r="G92" i="65"/>
  <c r="E98" i="65"/>
  <c r="H89" i="78"/>
  <c r="E121" i="65" s="1"/>
  <c r="E71" i="65"/>
  <c r="E72" i="65" s="1"/>
  <c r="G74" i="65"/>
  <c r="G75" i="65" s="1"/>
  <c r="G72" i="65"/>
  <c r="E92" i="65"/>
  <c r="F60" i="65"/>
  <c r="E69" i="65"/>
  <c r="Z65" i="78"/>
  <c r="AL87" i="79" s="1"/>
  <c r="AB65" i="78"/>
  <c r="AK87" i="79"/>
  <c r="T59" i="78"/>
  <c r="X58" i="78"/>
  <c r="X85" i="78" s="1"/>
  <c r="T89" i="78"/>
  <c r="G121" i="65" s="1"/>
  <c r="T44" i="78"/>
  <c r="T98" i="78"/>
  <c r="M32" i="78"/>
  <c r="M71" i="78"/>
  <c r="M107" i="78"/>
  <c r="M104" i="78"/>
  <c r="M77" i="78"/>
  <c r="T107" i="78"/>
  <c r="G132" i="65" s="1"/>
  <c r="T71" i="78"/>
  <c r="G103" i="65" s="1"/>
  <c r="T32" i="78"/>
  <c r="AT35" i="78" s="1"/>
  <c r="T77" i="78"/>
  <c r="G109" i="65" s="1"/>
  <c r="J32" i="78"/>
  <c r="J104" i="78"/>
  <c r="J107" i="78"/>
  <c r="J71" i="78"/>
  <c r="J77" i="78"/>
  <c r="K32" i="78"/>
  <c r="K77" i="78"/>
  <c r="K107" i="78"/>
  <c r="K104" i="78"/>
  <c r="K71" i="78"/>
  <c r="L32" i="78"/>
  <c r="L71" i="78"/>
  <c r="L104" i="78"/>
  <c r="L77" i="78"/>
  <c r="L107" i="78"/>
  <c r="T122" i="78"/>
  <c r="T126" i="78" s="1"/>
  <c r="T62" i="78"/>
  <c r="H107" i="78"/>
  <c r="E132" i="65" s="1"/>
  <c r="N32" i="78"/>
  <c r="AS35" i="78" s="1"/>
  <c r="E106" i="65"/>
  <c r="H98" i="78"/>
  <c r="H71" i="78"/>
  <c r="E103" i="65" s="1"/>
  <c r="H77" i="78"/>
  <c r="E109" i="65" s="1"/>
  <c r="H44" i="78"/>
  <c r="H59" i="78"/>
  <c r="H122" i="78"/>
  <c r="H126" i="78" s="1"/>
  <c r="H62" i="78"/>
  <c r="H32" i="78"/>
  <c r="AR35" i="78" s="1"/>
  <c r="H41" i="78"/>
  <c r="H35" i="78"/>
  <c r="T41" i="78" l="1"/>
  <c r="F24" i="6"/>
  <c r="D29" i="6"/>
  <c r="F66" i="65"/>
  <c r="N41" i="78"/>
  <c r="T47" i="78"/>
  <c r="F75" i="65"/>
  <c r="N47" i="78"/>
  <c r="Y43" i="78"/>
  <c r="Y106" i="78"/>
  <c r="Y70" i="78"/>
  <c r="Y76" i="78"/>
  <c r="Z76" i="78" s="1"/>
  <c r="Y58" i="78"/>
  <c r="H136" i="78"/>
  <c r="AR34" i="78" s="1"/>
  <c r="H113" i="78"/>
  <c r="T136" i="78"/>
  <c r="AT34" i="78" s="1"/>
  <c r="T113" i="78"/>
  <c r="N136" i="78"/>
  <c r="AS34" i="78" s="1"/>
  <c r="N113" i="78"/>
  <c r="C284" i="66"/>
  <c r="G24" i="6"/>
  <c r="E63" i="65"/>
  <c r="E66" i="65"/>
  <c r="AC65" i="78"/>
  <c r="W31" i="78"/>
  <c r="AC32" i="78"/>
  <c r="V31" i="78"/>
  <c r="AB32" i="78"/>
  <c r="R32" i="78"/>
  <c r="R77" i="78"/>
  <c r="R107" i="78"/>
  <c r="R104" i="78"/>
  <c r="R71" i="78"/>
  <c r="S32" i="78"/>
  <c r="S107" i="78"/>
  <c r="S71" i="78"/>
  <c r="S77" i="78"/>
  <c r="S104" i="78"/>
  <c r="P32" i="78"/>
  <c r="P77" i="78"/>
  <c r="P71" i="78"/>
  <c r="P104" i="78"/>
  <c r="P107" i="78"/>
  <c r="Q32" i="78"/>
  <c r="Q104" i="78"/>
  <c r="Q71" i="78"/>
  <c r="Q107" i="78"/>
  <c r="Q77" i="78"/>
  <c r="Z70" i="78" l="1"/>
  <c r="Y109" i="78"/>
  <c r="Y134" i="78" s="1"/>
  <c r="Y88" i="78"/>
  <c r="Y97" i="78"/>
  <c r="Y130" i="78" s="1"/>
  <c r="C285" i="66"/>
  <c r="H24" i="6"/>
  <c r="AD65" i="78"/>
  <c r="AO87" i="79"/>
  <c r="AN87" i="79"/>
  <c r="V32" i="78"/>
  <c r="V104" i="78"/>
  <c r="V107" i="78"/>
  <c r="V77" i="78"/>
  <c r="V71" i="78"/>
  <c r="W32" i="78"/>
  <c r="W104" i="78"/>
  <c r="W71" i="78"/>
  <c r="W107" i="78"/>
  <c r="W77" i="78"/>
  <c r="H21" i="79"/>
  <c r="Z88" i="78" l="1"/>
  <c r="C286" i="66"/>
  <c r="AE65" i="78"/>
  <c r="D34" i="78"/>
  <c r="G34" i="78"/>
  <c r="F34" i="78"/>
  <c r="E34" i="78"/>
  <c r="T21" i="79"/>
  <c r="N21" i="79"/>
  <c r="C287" i="66" l="1"/>
  <c r="AL18" i="84"/>
  <c r="AL68" i="79"/>
  <c r="AL18" i="79"/>
  <c r="F74" i="78"/>
  <c r="AP87" i="79"/>
  <c r="AF65" i="78"/>
  <c r="AQ87" i="79"/>
  <c r="E35" i="78"/>
  <c r="G35" i="78"/>
  <c r="G74" i="78"/>
  <c r="E74" i="78"/>
  <c r="F35" i="78"/>
  <c r="W34" i="78"/>
  <c r="Q34" i="78"/>
  <c r="W38" i="78"/>
  <c r="L34" i="78"/>
  <c r="K37" i="78"/>
  <c r="M34" i="78"/>
  <c r="J34" i="78"/>
  <c r="R37" i="78"/>
  <c r="J37" i="78"/>
  <c r="R34" i="78"/>
  <c r="R40" i="78" s="1"/>
  <c r="K34" i="78"/>
  <c r="P37" i="78"/>
  <c r="S34" i="78"/>
  <c r="L37" i="78"/>
  <c r="L38" i="78" s="1"/>
  <c r="P34" i="78"/>
  <c r="P40" i="78" s="1"/>
  <c r="M37" i="78"/>
  <c r="V34" i="78"/>
  <c r="S37" i="78"/>
  <c r="Q37" i="78"/>
  <c r="Q38" i="78" s="1"/>
  <c r="D74" i="78"/>
  <c r="D35" i="78"/>
  <c r="E37" i="78"/>
  <c r="D37" i="78"/>
  <c r="F37" i="78"/>
  <c r="G37" i="78"/>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K40" i="78" l="1"/>
  <c r="S38" i="78"/>
  <c r="J38" i="78"/>
  <c r="M38" i="78"/>
  <c r="V40" i="78"/>
  <c r="V38" i="78"/>
  <c r="P38" i="78"/>
  <c r="R38" i="78"/>
  <c r="K38" i="78"/>
  <c r="G38" i="78"/>
  <c r="G40" i="78"/>
  <c r="G41" i="78" s="1"/>
  <c r="F38" i="78"/>
  <c r="F40" i="78"/>
  <c r="F41" i="78" s="1"/>
  <c r="D38" i="78"/>
  <c r="D40" i="78"/>
  <c r="D41" i="78" s="1"/>
  <c r="E38" i="78"/>
  <c r="E40" i="78"/>
  <c r="E41" i="78" s="1"/>
  <c r="S40" i="78"/>
  <c r="S41" i="78" s="1"/>
  <c r="J40" i="78"/>
  <c r="J41" i="78" s="1"/>
  <c r="M40" i="78"/>
  <c r="L40" i="78"/>
  <c r="Q40" i="78"/>
  <c r="Q41" i="78" s="1"/>
  <c r="W40" i="78"/>
  <c r="W41" i="78" s="1"/>
  <c r="AJ102" i="79"/>
  <c r="AJ77" i="79"/>
  <c r="C288" i="66"/>
  <c r="AJ86" i="79"/>
  <c r="AH65" i="78"/>
  <c r="AR60" i="79"/>
  <c r="P41" i="78"/>
  <c r="K41" i="78"/>
  <c r="M41" i="78"/>
  <c r="R41" i="78"/>
  <c r="L41" i="78"/>
  <c r="V74" i="78"/>
  <c r="V35" i="78"/>
  <c r="P35" i="78"/>
  <c r="P74" i="78"/>
  <c r="R35" i="78"/>
  <c r="R74" i="78"/>
  <c r="J74" i="78"/>
  <c r="J35" i="78"/>
  <c r="M74" i="78"/>
  <c r="M35" i="78"/>
  <c r="L74" i="78"/>
  <c r="L35" i="78"/>
  <c r="K35" i="78"/>
  <c r="K74" i="78"/>
  <c r="Q35" i="78"/>
  <c r="Q74" i="78"/>
  <c r="S74" i="78"/>
  <c r="S35" i="78"/>
  <c r="W35" i="78"/>
  <c r="W74" i="78"/>
  <c r="D43" i="78"/>
  <c r="D44" i="78" s="1"/>
  <c r="E43" i="78"/>
  <c r="E44" i="78" s="1"/>
  <c r="F43" i="78"/>
  <c r="F44" i="78" s="1"/>
  <c r="G43" i="78"/>
  <c r="G44" i="78" s="1"/>
  <c r="H27" i="79"/>
  <c r="AI71" i="79"/>
  <c r="AH71" i="79"/>
  <c r="AE71" i="79"/>
  <c r="AD71" i="79"/>
  <c r="AC71" i="79"/>
  <c r="AF24" i="79"/>
  <c r="AB71" i="79"/>
  <c r="Y71" i="79"/>
  <c r="X71" i="79"/>
  <c r="W71" i="79"/>
  <c r="Z24" i="79"/>
  <c r="V71" i="79"/>
  <c r="N27" i="79"/>
  <c r="T27" i="79"/>
  <c r="V36" i="78" l="1"/>
  <c r="C289" i="66"/>
  <c r="AJ65" i="78"/>
  <c r="AL21" i="79"/>
  <c r="AR87" i="79"/>
  <c r="E98" i="78"/>
  <c r="E89" i="78"/>
  <c r="F98" i="78"/>
  <c r="F89" i="78"/>
  <c r="D98" i="78"/>
  <c r="D89" i="78"/>
  <c r="G98" i="78"/>
  <c r="G89" i="78"/>
  <c r="J49" i="78"/>
  <c r="J50" i="78" s="1"/>
  <c r="Q43" i="78"/>
  <c r="K49" i="78"/>
  <c r="K50" i="78" s="1"/>
  <c r="K43" i="78"/>
  <c r="J43" i="78"/>
  <c r="M43" i="78"/>
  <c r="V49" i="78"/>
  <c r="W49" i="78"/>
  <c r="W50" i="78" s="1"/>
  <c r="Q49" i="78"/>
  <c r="S49" i="78"/>
  <c r="S50" i="78" s="1"/>
  <c r="M49" i="78"/>
  <c r="M50" i="78" s="1"/>
  <c r="P49" i="78"/>
  <c r="P50" i="78" s="1"/>
  <c r="L43" i="78"/>
  <c r="W43" i="78"/>
  <c r="R49" i="78"/>
  <c r="R50" i="78" s="1"/>
  <c r="V43" i="78"/>
  <c r="S43" i="78"/>
  <c r="R43" i="78"/>
  <c r="L49" i="78"/>
  <c r="L50" i="78" s="1"/>
  <c r="P43" i="78"/>
  <c r="V41" i="78"/>
  <c r="E46" i="78"/>
  <c r="E47" i="78" s="1"/>
  <c r="G49" i="78"/>
  <c r="G50" i="78" s="1"/>
  <c r="F49" i="78"/>
  <c r="F50" i="78" s="1"/>
  <c r="D49" i="78"/>
  <c r="D50" i="78" s="1"/>
  <c r="G46" i="78"/>
  <c r="G47" i="78" s="1"/>
  <c r="E49" i="78"/>
  <c r="E50" i="78" s="1"/>
  <c r="F46" i="78"/>
  <c r="F47" i="78" s="1"/>
  <c r="D46" i="78"/>
  <c r="D47" i="78" s="1"/>
  <c r="T29" i="79"/>
  <c r="N29" i="79"/>
  <c r="H29" i="79"/>
  <c r="T28" i="79"/>
  <c r="N28" i="79"/>
  <c r="AF28" i="79"/>
  <c r="Z28" i="79"/>
  <c r="AF27" i="79"/>
  <c r="Z27" i="79"/>
  <c r="H28" i="79"/>
  <c r="Q50" i="78" l="1"/>
  <c r="T49" i="78"/>
  <c r="AK102" i="79"/>
  <c r="C290" i="66"/>
  <c r="AL23" i="79"/>
  <c r="AT87" i="79"/>
  <c r="AL65" i="78"/>
  <c r="AX87" i="79" s="1"/>
  <c r="AV87" i="79"/>
  <c r="W46" i="78"/>
  <c r="W47" i="78" s="1"/>
  <c r="R46" i="78"/>
  <c r="R47" i="78" s="1"/>
  <c r="M46" i="78"/>
  <c r="M47" i="78" s="1"/>
  <c r="Q46" i="78"/>
  <c r="Q47" i="78" s="1"/>
  <c r="L46" i="78"/>
  <c r="L47" i="78" s="1"/>
  <c r="P46" i="78"/>
  <c r="P47" i="78" s="1"/>
  <c r="S46" i="78"/>
  <c r="S47" i="78" s="1"/>
  <c r="V46" i="78"/>
  <c r="V47" i="78" s="1"/>
  <c r="J46" i="78"/>
  <c r="J47" i="78" s="1"/>
  <c r="K46" i="78"/>
  <c r="K47" i="78" s="1"/>
  <c r="S98" i="78"/>
  <c r="S44" i="78"/>
  <c r="S89" i="78"/>
  <c r="V44" i="78"/>
  <c r="V89" i="78"/>
  <c r="V98" i="78"/>
  <c r="W89" i="78"/>
  <c r="W44" i="78"/>
  <c r="W98" i="78"/>
  <c r="M89" i="78"/>
  <c r="M44" i="78"/>
  <c r="M98" i="78"/>
  <c r="J44" i="78"/>
  <c r="J89" i="78"/>
  <c r="J98" i="78"/>
  <c r="K98" i="78"/>
  <c r="K44" i="78"/>
  <c r="K89" i="78"/>
  <c r="L89" i="78"/>
  <c r="L44" i="78"/>
  <c r="L98" i="78"/>
  <c r="V50" i="78"/>
  <c r="Q44" i="78"/>
  <c r="Q98" i="78"/>
  <c r="Q89" i="78"/>
  <c r="P89" i="78"/>
  <c r="P98" i="78"/>
  <c r="P44" i="78"/>
  <c r="R89" i="78"/>
  <c r="R44" i="78"/>
  <c r="R98" i="78"/>
  <c r="AF29" i="79"/>
  <c r="Z29" i="79"/>
  <c r="W45" i="78" l="1"/>
  <c r="W90" i="78"/>
  <c r="T50" i="78"/>
  <c r="G77" i="65"/>
  <c r="C291" i="66"/>
  <c r="AK86" i="79"/>
  <c r="AL27" i="79"/>
  <c r="AL24" i="79"/>
  <c r="AL71" i="79"/>
  <c r="G78" i="65" l="1"/>
  <c r="E11" i="65"/>
  <c r="C292" i="66"/>
  <c r="AL29" i="79"/>
  <c r="T31" i="79"/>
  <c r="C293" i="66" l="1"/>
  <c r="T30" i="79"/>
  <c r="Z31" i="79"/>
  <c r="C294" i="66" l="1"/>
  <c r="AN86" i="79"/>
  <c r="Z30" i="79"/>
  <c r="AF31" i="79"/>
  <c r="C295" i="66" l="1"/>
  <c r="AF30" i="79"/>
  <c r="C296" i="66" l="1"/>
  <c r="M61" i="78"/>
  <c r="L61" i="78"/>
  <c r="Q61" i="78"/>
  <c r="P58" i="78"/>
  <c r="Q58" i="78"/>
  <c r="V61" i="78"/>
  <c r="V122" i="78" s="1"/>
  <c r="R61" i="78"/>
  <c r="R58" i="78"/>
  <c r="S58" i="78"/>
  <c r="M58" i="78"/>
  <c r="P61" i="78"/>
  <c r="J61" i="78"/>
  <c r="L58" i="78"/>
  <c r="W61" i="78"/>
  <c r="W122" i="78" s="1"/>
  <c r="J58" i="78"/>
  <c r="K61" i="78"/>
  <c r="S61" i="78"/>
  <c r="K58" i="78"/>
  <c r="W58" i="78"/>
  <c r="V58" i="78"/>
  <c r="D58" i="78"/>
  <c r="F61" i="78"/>
  <c r="F122" i="78" s="1"/>
  <c r="G58" i="78"/>
  <c r="E61" i="78"/>
  <c r="E122" i="78" s="1"/>
  <c r="F58" i="78"/>
  <c r="E58" i="78"/>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V86" i="78" l="1"/>
  <c r="W59" i="78"/>
  <c r="W86" i="78"/>
  <c r="P59" i="78"/>
  <c r="P86" i="78"/>
  <c r="R59" i="78"/>
  <c r="R86" i="78"/>
  <c r="S59" i="78"/>
  <c r="S86" i="78"/>
  <c r="Q59" i="78"/>
  <c r="Q86" i="78"/>
  <c r="K59" i="78"/>
  <c r="K86" i="78"/>
  <c r="J59" i="78"/>
  <c r="J86" i="78"/>
  <c r="M59" i="78"/>
  <c r="M86" i="78"/>
  <c r="L59" i="78"/>
  <c r="L86" i="78"/>
  <c r="F59" i="78"/>
  <c r="F86" i="78"/>
  <c r="G59" i="78"/>
  <c r="G86" i="78"/>
  <c r="E59" i="78"/>
  <c r="E86" i="78"/>
  <c r="D59" i="78"/>
  <c r="D86" i="78"/>
  <c r="C297" i="66"/>
  <c r="F62" i="78"/>
  <c r="AO86" i="79"/>
  <c r="E62" i="78"/>
  <c r="W62" i="78"/>
  <c r="P122" i="78"/>
  <c r="P62" i="78"/>
  <c r="R122" i="78"/>
  <c r="R62" i="78"/>
  <c r="V62" i="78"/>
  <c r="K122" i="78"/>
  <c r="K62" i="78"/>
  <c r="J122" i="78"/>
  <c r="J62" i="78"/>
  <c r="Q122" i="78"/>
  <c r="Q62" i="78"/>
  <c r="L122" i="78"/>
  <c r="L62" i="78"/>
  <c r="S122" i="78"/>
  <c r="S62" i="78"/>
  <c r="V59" i="78"/>
  <c r="M122" i="78"/>
  <c r="M62" i="78"/>
  <c r="G122" i="78"/>
  <c r="D62" i="78"/>
  <c r="H40" i="79"/>
  <c r="N41" i="79"/>
  <c r="N40" i="79"/>
  <c r="S60" i="78" l="1"/>
  <c r="C298" i="66"/>
  <c r="AL30" i="79"/>
  <c r="T41" i="79"/>
  <c r="T40" i="79"/>
  <c r="C299" i="66" l="1"/>
  <c r="Z41" i="79"/>
  <c r="C300" i="66" l="1"/>
  <c r="AP86" i="79"/>
  <c r="Z40" i="79"/>
  <c r="AF41" i="79"/>
  <c r="C301" i="66" l="1"/>
  <c r="AF40" i="79"/>
  <c r="AL41" i="79"/>
  <c r="AL40" i="79"/>
  <c r="C302" i="66" l="1"/>
  <c r="J124" i="78"/>
  <c r="J126" i="78" s="1"/>
  <c r="P124" i="78"/>
  <c r="P126" i="78" s="1"/>
  <c r="R124" i="78"/>
  <c r="R126" i="78" s="1"/>
  <c r="L124" i="78"/>
  <c r="L126" i="78" s="1"/>
  <c r="M124" i="78"/>
  <c r="M126" i="78" s="1"/>
  <c r="W124" i="78"/>
  <c r="W126" i="78" s="1"/>
  <c r="Q124" i="78"/>
  <c r="Q126" i="78" s="1"/>
  <c r="V124" i="78"/>
  <c r="S124" i="78"/>
  <c r="S126" i="78" s="1"/>
  <c r="K124" i="78"/>
  <c r="K126" i="78" s="1"/>
  <c r="E124" i="78"/>
  <c r="E126" i="78" s="1"/>
  <c r="F124" i="78"/>
  <c r="F126" i="78" s="1"/>
  <c r="G124" i="78"/>
  <c r="G126" i="78" s="1"/>
  <c r="D126" i="78"/>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6" i="78" l="1"/>
  <c r="G113" i="78"/>
  <c r="E136" i="78"/>
  <c r="E113" i="78"/>
  <c r="R136" i="78"/>
  <c r="R113" i="78"/>
  <c r="D136" i="78"/>
  <c r="D113" i="78"/>
  <c r="K136" i="78"/>
  <c r="K113" i="78"/>
  <c r="L136" i="78"/>
  <c r="L113" i="78"/>
  <c r="S136" i="78"/>
  <c r="S113" i="78"/>
  <c r="Q136" i="78"/>
  <c r="Q113" i="78"/>
  <c r="M136" i="78"/>
  <c r="M113" i="78"/>
  <c r="J136" i="78"/>
  <c r="J113" i="78"/>
  <c r="F136" i="78"/>
  <c r="F113" i="78"/>
  <c r="W113" i="78"/>
  <c r="P136" i="78"/>
  <c r="P113" i="78"/>
  <c r="C303" i="66"/>
  <c r="AQ86" i="79"/>
  <c r="V126" i="78"/>
  <c r="Z124" i="78"/>
  <c r="D33" i="6" s="1"/>
  <c r="H46" i="79"/>
  <c r="N47" i="79"/>
  <c r="D80" i="79"/>
  <c r="M80" i="79"/>
  <c r="L80" i="79"/>
  <c r="K80" i="79"/>
  <c r="D17" i="6" l="1"/>
  <c r="V136" i="78"/>
  <c r="V113" i="78"/>
  <c r="C304" i="66"/>
  <c r="AR86" i="79"/>
  <c r="AR59" i="79"/>
  <c r="T47" i="79"/>
  <c r="N46" i="79"/>
  <c r="J80" i="79"/>
  <c r="S80" i="79"/>
  <c r="R80" i="79"/>
  <c r="Q80" i="79"/>
  <c r="C305" i="66" l="1"/>
  <c r="AT86" i="79"/>
  <c r="Z47" i="79"/>
  <c r="T46" i="79"/>
  <c r="P80" i="79"/>
  <c r="Y80" i="79"/>
  <c r="X80" i="79"/>
  <c r="W80" i="79"/>
  <c r="C306" i="66" l="1"/>
  <c r="AV86" i="79"/>
  <c r="AF47" i="79"/>
  <c r="Z46" i="79"/>
  <c r="V80" i="79"/>
  <c r="AE80" i="79"/>
  <c r="AD80" i="79"/>
  <c r="AC80" i="79"/>
  <c r="C307" i="66" l="1"/>
  <c r="AL47" i="79"/>
  <c r="AF46" i="79"/>
  <c r="AB80" i="79"/>
  <c r="AI80" i="79"/>
  <c r="C308" i="66" l="1"/>
  <c r="Z50" i="79"/>
  <c r="AL50" i="79"/>
  <c r="N50" i="79"/>
  <c r="H50" i="79"/>
  <c r="T50" i="79"/>
  <c r="AF50" i="79"/>
  <c r="AL46" i="79"/>
  <c r="AH80" i="79"/>
  <c r="C309" i="66" l="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L173" i="65"/>
  <c r="E100" i="65"/>
  <c r="E123" i="65"/>
  <c r="F57" i="65"/>
  <c r="G57" i="65" s="1"/>
  <c r="F38" i="65"/>
  <c r="G38" i="65" s="1"/>
  <c r="H38" i="65" s="1"/>
  <c r="I38" i="65" s="1"/>
  <c r="J38" i="65" s="1"/>
  <c r="K38" i="65" s="1"/>
  <c r="L38" i="65" s="1"/>
  <c r="C311" i="66" l="1"/>
  <c r="G123" i="65"/>
  <c r="H57" i="65"/>
  <c r="G100" i="65"/>
  <c r="F123" i="65"/>
  <c r="F100" i="65"/>
  <c r="C312" i="66" l="1"/>
  <c r="H123" i="65"/>
  <c r="I57" i="65"/>
  <c r="H134" i="65"/>
  <c r="H142" i="65" s="1"/>
  <c r="H100" i="65"/>
  <c r="C313" i="66" l="1"/>
  <c r="I123" i="65"/>
  <c r="J57" i="65"/>
  <c r="I134" i="65"/>
  <c r="I142" i="65" s="1"/>
  <c r="I100" i="65"/>
  <c r="C314" i="66" l="1"/>
  <c r="J100" i="65"/>
  <c r="J123" i="65"/>
  <c r="K57" i="65"/>
  <c r="J134" i="65"/>
  <c r="J142" i="65" s="1"/>
  <c r="C315" i="66" l="1"/>
  <c r="K100" i="65"/>
  <c r="L57" i="65"/>
  <c r="K123" i="65"/>
  <c r="K134" i="65"/>
  <c r="K142" i="65" s="1"/>
  <c r="C316" i="66" l="1"/>
  <c r="L100" i="65"/>
  <c r="L123" i="65"/>
  <c r="L134" i="65"/>
  <c r="L142" i="65" s="1"/>
  <c r="C317" i="66" l="1"/>
  <c r="C318" i="66" l="1"/>
  <c r="C319" i="66" l="1"/>
  <c r="C320" i="66" l="1"/>
  <c r="C321" i="66" l="1"/>
  <c r="C322" i="66" l="1"/>
  <c r="C323" i="66" l="1"/>
  <c r="C324" i="66" l="1"/>
  <c r="C325" i="66" l="1"/>
  <c r="D59" i="65"/>
  <c r="C326" i="66" l="1"/>
  <c r="C327" i="66" l="1"/>
  <c r="J27" i="65"/>
  <c r="C328" i="66" l="1"/>
  <c r="E13" i="65"/>
  <c r="C329" i="66" l="1"/>
  <c r="H62" i="65"/>
  <c r="L11" i="65"/>
  <c r="E15" i="65"/>
  <c r="J28" i="65" s="1"/>
  <c r="L13" i="65"/>
  <c r="L12" i="65"/>
  <c r="E17" i="65"/>
  <c r="J30" i="65" s="1"/>
  <c r="K30" i="65" s="1"/>
  <c r="K27" i="65"/>
  <c r="C330" i="66" l="1"/>
  <c r="H65" i="65"/>
  <c r="H68" i="65" s="1"/>
  <c r="H117" i="65"/>
  <c r="H105" i="65"/>
  <c r="H139" i="65"/>
  <c r="C29" i="65"/>
  <c r="G160" i="65"/>
  <c r="H157" i="65" s="1"/>
  <c r="H158" i="65" s="1"/>
  <c r="K28" i="65"/>
  <c r="J34" i="65"/>
  <c r="C27" i="65"/>
  <c r="G148" i="65"/>
  <c r="C28" i="65"/>
  <c r="G154" i="65"/>
  <c r="H151" i="65" s="1"/>
  <c r="H152" i="65" s="1"/>
  <c r="H128" i="65" l="1"/>
  <c r="H138" i="65" s="1"/>
  <c r="C331" i="66"/>
  <c r="H74" i="65"/>
  <c r="H114" i="65" s="1"/>
  <c r="I83" i="65" s="1"/>
  <c r="H69" i="65"/>
  <c r="H111" i="65"/>
  <c r="H125" i="65"/>
  <c r="I62" i="65"/>
  <c r="I139" i="65"/>
  <c r="H145" i="65"/>
  <c r="G166" i="65"/>
  <c r="D27" i="65"/>
  <c r="C30" i="65"/>
  <c r="D29" i="65"/>
  <c r="L30" i="65"/>
  <c r="L34" i="65"/>
  <c r="K34" i="65"/>
  <c r="C34" i="65"/>
  <c r="E27" i="65" s="1"/>
  <c r="L27" i="65"/>
  <c r="D28" i="65"/>
  <c r="L28" i="65"/>
  <c r="H129" i="65" l="1"/>
  <c r="C332" i="66"/>
  <c r="H86" i="65"/>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J114" i="65"/>
  <c r="K83" i="65" s="1"/>
  <c r="K77" i="65" s="1"/>
  <c r="K125" i="65" s="1"/>
  <c r="H98" i="65"/>
  <c r="H136" i="65"/>
  <c r="H140" i="65" s="1"/>
  <c r="L128" i="65"/>
  <c r="L129" i="65" s="1"/>
  <c r="K128" i="65"/>
  <c r="K129" i="65" s="1"/>
  <c r="J86" i="65"/>
  <c r="J137" i="65"/>
  <c r="K138" i="65" l="1"/>
  <c r="C336" i="66"/>
  <c r="L138" i="65"/>
  <c r="J126" i="65"/>
  <c r="J78" i="65"/>
  <c r="K114" i="65"/>
  <c r="K126" i="65" s="1"/>
  <c r="K86" i="65"/>
  <c r="K137" i="65"/>
  <c r="H147" i="65"/>
  <c r="C337" i="66" l="1"/>
  <c r="L83" i="65"/>
  <c r="L77" i="65" s="1"/>
  <c r="L125" i="65" s="1"/>
  <c r="K78" i="65"/>
  <c r="H153" i="65"/>
  <c r="H148" i="65"/>
  <c r="C338" i="66" l="1"/>
  <c r="L114" i="65"/>
  <c r="L78" i="65" s="1"/>
  <c r="L86" i="65"/>
  <c r="L172" i="65" s="1"/>
  <c r="L174" i="65" s="1"/>
  <c r="L137" i="65"/>
  <c r="I145" i="65"/>
  <c r="H154" i="65"/>
  <c r="I151" i="65" s="1"/>
  <c r="I152" i="65" s="1"/>
  <c r="H159" i="65"/>
  <c r="C339" i="66" l="1"/>
  <c r="L126" i="65"/>
  <c r="H160" i="65"/>
  <c r="I157" i="65" s="1"/>
  <c r="I158" i="65" s="1"/>
  <c r="H165" i="65"/>
  <c r="I146" i="65"/>
  <c r="C340" i="66" l="1"/>
  <c r="I164" i="65"/>
  <c r="I89" i="65" s="1"/>
  <c r="H166" i="65"/>
  <c r="I163" i="65"/>
  <c r="C341" i="66" l="1"/>
  <c r="I91" i="65"/>
  <c r="C342" i="66" l="1"/>
  <c r="I94" i="65"/>
  <c r="I97" i="65" s="1"/>
  <c r="I92" i="65"/>
  <c r="C343" i="66" l="1"/>
  <c r="I98" i="65"/>
  <c r="I136" i="65"/>
  <c r="I140" i="65" s="1"/>
  <c r="I147" i="65" s="1"/>
  <c r="I153" i="65" s="1"/>
  <c r="I154" i="65" s="1"/>
  <c r="J151" i="65" s="1"/>
  <c r="J152" i="65" s="1"/>
  <c r="C344" i="66" l="1"/>
  <c r="I159" i="65"/>
  <c r="I160" i="65" s="1"/>
  <c r="J157" i="65" s="1"/>
  <c r="J158" i="65" s="1"/>
  <c r="I148" i="65"/>
  <c r="C345" i="66" l="1"/>
  <c r="I165" i="65"/>
  <c r="J145" i="65"/>
  <c r="I166" i="65"/>
  <c r="C346" i="66" l="1"/>
  <c r="J163" i="65"/>
  <c r="J146" i="65"/>
  <c r="J164" i="65" s="1"/>
  <c r="J89" i="65" s="1"/>
  <c r="C347" i="66" l="1"/>
  <c r="J91" i="65"/>
  <c r="C348" i="66" l="1"/>
  <c r="J94" i="65"/>
  <c r="J97" i="65" s="1"/>
  <c r="J92" i="65"/>
  <c r="C349" i="66" l="1"/>
  <c r="J98" i="65"/>
  <c r="J136" i="65"/>
  <c r="J140" i="65" s="1"/>
  <c r="C350" i="66" l="1"/>
  <c r="J147" i="65"/>
  <c r="C351" i="66" l="1"/>
  <c r="J153" i="65"/>
  <c r="J148" i="65"/>
  <c r="C352" i="66" l="1"/>
  <c r="K145" i="65"/>
  <c r="J154" i="65"/>
  <c r="K151" i="65" s="1"/>
  <c r="K152" i="65" s="1"/>
  <c r="J159" i="65"/>
  <c r="C353" i="66" l="1"/>
  <c r="J160" i="65"/>
  <c r="K157" i="65" s="1"/>
  <c r="K158" i="65" s="1"/>
  <c r="J165" i="65"/>
  <c r="K146" i="65"/>
  <c r="C354" i="66" l="1"/>
  <c r="K164" i="65"/>
  <c r="K89" i="65" s="1"/>
  <c r="K163" i="65"/>
  <c r="J166" i="65"/>
  <c r="C355" i="66" l="1"/>
  <c r="K91" i="65"/>
  <c r="C356" i="66" l="1"/>
  <c r="K94" i="65"/>
  <c r="K97" i="65" s="1"/>
  <c r="K92" i="65"/>
  <c r="C357" i="66" l="1"/>
  <c r="K98" i="65"/>
  <c r="K136" i="65"/>
  <c r="K140" i="65" s="1"/>
  <c r="C358" i="66" l="1"/>
  <c r="K147" i="65"/>
  <c r="K153" i="65" s="1"/>
  <c r="K154" i="65" s="1"/>
  <c r="L151" i="65" s="1"/>
  <c r="L152" i="65" s="1"/>
  <c r="C359" i="66" l="1"/>
  <c r="K148" i="65"/>
  <c r="L145" i="65" s="1"/>
  <c r="L146" i="65" s="1"/>
  <c r="K159" i="65"/>
  <c r="C360" i="66" l="1"/>
  <c r="K165" i="65"/>
  <c r="K160" i="65"/>
  <c r="C361" i="66" l="1"/>
  <c r="L157" i="65"/>
  <c r="K166" i="65"/>
  <c r="C362" i="66" l="1"/>
  <c r="L163" i="65"/>
  <c r="L158" i="65"/>
  <c r="L164" i="65" s="1"/>
  <c r="C363" i="66" l="1"/>
  <c r="L89" i="65"/>
  <c r="L91" i="65" s="1"/>
  <c r="C364" i="66" l="1"/>
  <c r="L94" i="65"/>
  <c r="L97" i="65" s="1"/>
  <c r="L98" i="65" s="1"/>
  <c r="L92" i="65"/>
  <c r="C365" i="66" l="1"/>
  <c r="L136" i="65"/>
  <c r="L140" i="65" s="1"/>
  <c r="L147" i="65" s="1"/>
  <c r="C366" i="66" l="1"/>
  <c r="L153" i="65"/>
  <c r="L148" i="65"/>
  <c r="C367" i="66" l="1"/>
  <c r="L154" i="65"/>
  <c r="L159" i="65"/>
  <c r="C368" i="66" l="1"/>
  <c r="L160" i="65"/>
  <c r="L166" i="65" s="1"/>
  <c r="L175" i="65" s="1"/>
  <c r="L176" i="65" s="1"/>
  <c r="L180" i="65" s="1"/>
  <c r="L165" i="65"/>
  <c r="C369" i="66" l="1"/>
  <c r="L16" i="65"/>
  <c r="L181" i="65"/>
  <c r="L17" i="65" s="1"/>
  <c r="C370" i="66" l="1"/>
  <c r="C371" i="66" l="1"/>
  <c r="C372" i="66" l="1"/>
  <c r="C373" i="66" l="1"/>
  <c r="C374" i="66" l="1"/>
  <c r="C375" i="66" l="1"/>
  <c r="C376" i="66" l="1"/>
  <c r="AJ101" i="79"/>
  <c r="AJ103" i="79"/>
  <c r="C377" i="66" l="1"/>
  <c r="C378" i="66" l="1"/>
  <c r="AK101" i="79"/>
  <c r="AK103" i="79"/>
  <c r="C379" i="66" l="1"/>
  <c r="AK168" i="79"/>
  <c r="AK74" i="79"/>
  <c r="AL77" i="79" l="1"/>
  <c r="C380" i="66"/>
  <c r="AL168" i="79"/>
  <c r="AL127" i="79"/>
  <c r="AN103" i="79"/>
  <c r="AN101" i="79"/>
  <c r="AL101" i="79"/>
  <c r="AL103" i="79"/>
  <c r="AK77" i="79"/>
  <c r="AL28" i="79"/>
  <c r="AL33" i="79" l="1"/>
  <c r="C381" i="66"/>
  <c r="AN168" i="79"/>
  <c r="AN74" i="79"/>
  <c r="AL74" i="79"/>
  <c r="AL31" i="79"/>
  <c r="C382" i="66" l="1"/>
  <c r="AO74" i="79"/>
  <c r="AN77" i="79"/>
  <c r="C383" i="66" l="1"/>
  <c r="AO168" i="79"/>
  <c r="AP101" i="79"/>
  <c r="AP103" i="79"/>
  <c r="AO101" i="79"/>
  <c r="AO103" i="79"/>
  <c r="AP77" i="79"/>
  <c r="AP74" i="79"/>
  <c r="C384" i="66" l="1"/>
  <c r="AQ101" i="79"/>
  <c r="AR101" i="79"/>
  <c r="AP168" i="79"/>
  <c r="C385" i="66" l="1"/>
  <c r="AR103" i="79"/>
  <c r="AQ103" i="79"/>
  <c r="AT77" i="79" l="1"/>
  <c r="C386" i="66"/>
  <c r="AV127" i="79"/>
  <c r="AR28" i="79"/>
  <c r="AQ74" i="79"/>
  <c r="AT103" i="79"/>
  <c r="AT74" i="79" l="1"/>
  <c r="AR77" i="79"/>
  <c r="C387" i="66"/>
  <c r="AR127" i="79"/>
  <c r="AT127" i="79"/>
  <c r="AR168" i="79"/>
  <c r="AQ77" i="79"/>
  <c r="AT101" i="79"/>
  <c r="AR33" i="79" l="1"/>
  <c r="AR74" i="79"/>
  <c r="C388" i="66"/>
  <c r="AR31" i="79"/>
  <c r="AV101" i="79"/>
  <c r="C389" i="66" l="1"/>
  <c r="AV103" i="79"/>
  <c r="AV77" i="79"/>
  <c r="AV74" i="79"/>
  <c r="AX74" i="79" l="1"/>
  <c r="C390" i="66"/>
  <c r="AX77" i="79" l="1"/>
  <c r="C391" i="66"/>
  <c r="C392" i="66" l="1"/>
  <c r="C393" i="66" l="1"/>
  <c r="C394" i="66" l="1"/>
  <c r="H87" i="65"/>
  <c r="I87" i="65"/>
  <c r="J87" i="65"/>
  <c r="K87" i="65"/>
  <c r="L87" i="65"/>
  <c r="C395" i="66" l="1"/>
  <c r="C396" i="66" l="1"/>
  <c r="C397" i="66" l="1"/>
  <c r="C398" i="66" l="1"/>
  <c r="C399" i="66" l="1"/>
  <c r="C400" i="66" l="1"/>
  <c r="C401" i="66" l="1"/>
  <c r="C402" i="66" l="1"/>
  <c r="C403" i="66" l="1"/>
  <c r="C404" i="66" l="1"/>
  <c r="C405" i="66" l="1"/>
  <c r="C406" i="66" l="1"/>
  <c r="C407" i="66" l="1"/>
  <c r="C408" i="66" l="1"/>
  <c r="C409" i="66" l="1"/>
  <c r="C410" i="66" l="1"/>
  <c r="C411" i="66" l="1"/>
  <c r="C412" i="66" l="1"/>
  <c r="C413" i="66" l="1"/>
  <c r="C414" i="66" l="1"/>
  <c r="C415" i="66" l="1"/>
  <c r="C416" i="66" l="1"/>
  <c r="C417" i="66" l="1"/>
  <c r="C418" i="66" l="1"/>
  <c r="C419" i="66" l="1"/>
  <c r="C420" i="66" l="1"/>
  <c r="C421" i="66" l="1"/>
  <c r="C422" i="66" l="1"/>
  <c r="C423" i="66" l="1"/>
  <c r="C424" i="66" l="1"/>
  <c r="C425" i="66" l="1"/>
  <c r="C426" i="66" l="1"/>
  <c r="C427" i="66" l="1"/>
  <c r="C428" i="66" l="1"/>
  <c r="C429" i="66" l="1"/>
  <c r="C430" i="66" l="1"/>
  <c r="C431" i="66" l="1"/>
  <c r="C432" i="66" l="1"/>
  <c r="C433" i="66" l="1"/>
  <c r="C434" i="66" l="1"/>
  <c r="C435" i="66" l="1"/>
  <c r="C436" i="66" l="1"/>
  <c r="C437" i="66" l="1"/>
  <c r="C438" i="66" l="1"/>
  <c r="C439" i="66" l="1"/>
  <c r="C440" i="66" l="1"/>
  <c r="C441" i="66" l="1"/>
  <c r="C442" i="66" l="1"/>
  <c r="C443" i="66" l="1"/>
  <c r="C444" i="66" l="1"/>
  <c r="C445" i="66" l="1"/>
  <c r="C446" i="66" l="1"/>
  <c r="C447" i="66" l="1"/>
  <c r="C448" i="66" l="1"/>
  <c r="C449" i="66" l="1"/>
  <c r="C450" i="66" l="1"/>
  <c r="C451" i="66" l="1"/>
  <c r="C452" i="66" l="1"/>
  <c r="C453" i="66" l="1"/>
  <c r="C454" i="66" l="1"/>
  <c r="C455" i="66" l="1"/>
  <c r="C456" i="66" l="1"/>
  <c r="C457" i="66" l="1"/>
  <c r="C458" i="66" l="1"/>
  <c r="C459" i="66" l="1"/>
  <c r="C460" i="66" l="1"/>
  <c r="C461" i="66" l="1"/>
  <c r="C462" i="66" l="1"/>
  <c r="C463" i="66" l="1"/>
  <c r="C464" i="66" l="1"/>
  <c r="C465" i="66" l="1"/>
  <c r="C466" i="66" l="1"/>
  <c r="C467" i="66" l="1"/>
  <c r="C468" i="66" l="1"/>
  <c r="C469" i="66" l="1"/>
  <c r="C470" i="66" l="1"/>
  <c r="C471" i="66" l="1"/>
  <c r="C472" i="66" l="1"/>
  <c r="C473" i="66" l="1"/>
  <c r="C474" i="66" l="1"/>
  <c r="C475" i="66" l="1"/>
  <c r="C476" i="66" l="1"/>
  <c r="C477" i="66" l="1"/>
  <c r="C478" i="66" l="1"/>
  <c r="C479" i="66" l="1"/>
  <c r="C480" i="66" l="1"/>
  <c r="C481" i="66" l="1"/>
  <c r="C482" i="66" l="1"/>
  <c r="C483" i="66" l="1"/>
  <c r="C484" i="66" l="1"/>
  <c r="C485" i="66" l="1"/>
  <c r="C486" i="66" l="1"/>
  <c r="C487" i="66" l="1"/>
  <c r="C488" i="66" l="1"/>
  <c r="C489" i="66" l="1"/>
  <c r="C490" i="66" l="1"/>
  <c r="C491" i="66" l="1"/>
  <c r="C492" i="66" l="1"/>
  <c r="C493" i="66" l="1"/>
  <c r="C494" i="66" l="1"/>
  <c r="C495" i="66" l="1"/>
  <c r="C496" i="66" l="1"/>
  <c r="C497" i="66" l="1"/>
  <c r="C498" i="66" l="1"/>
  <c r="C499" i="66" l="1"/>
  <c r="C500" i="66" l="1"/>
  <c r="C501" i="66" l="1"/>
  <c r="C502" i="66" l="1"/>
  <c r="C503" i="66" l="1"/>
  <c r="C504" i="66" l="1"/>
  <c r="C505" i="66" l="1"/>
  <c r="C506" i="66" l="1"/>
  <c r="C507" i="66" l="1"/>
  <c r="C508" i="66" l="1"/>
  <c r="C509" i="66" l="1"/>
  <c r="C510" i="66" l="1"/>
  <c r="C511" i="66" l="1"/>
  <c r="C512" i="66" l="1"/>
  <c r="C513" i="66" l="1"/>
  <c r="C514" i="66" l="1"/>
  <c r="C515" i="66" l="1"/>
  <c r="C516" i="66" l="1"/>
  <c r="C517" i="66" l="1"/>
  <c r="C518" i="66" l="1"/>
  <c r="C519" i="66" l="1"/>
  <c r="C520" i="66" l="1"/>
  <c r="C521" i="66" l="1"/>
  <c r="C522" i="66" l="1"/>
  <c r="C523" i="66" l="1"/>
  <c r="C524" i="66" l="1"/>
  <c r="C525" i="66" l="1"/>
  <c r="C526" i="66" l="1"/>
  <c r="C527" i="66" l="1"/>
  <c r="C528" i="66" l="1"/>
  <c r="C529" i="66" l="1"/>
  <c r="C530" i="66" l="1"/>
  <c r="C531" i="66" l="1"/>
  <c r="C532" i="66" l="1"/>
  <c r="C533" i="66" l="1"/>
  <c r="C534" i="66" l="1"/>
  <c r="C535" i="66" l="1"/>
  <c r="C536" i="66" l="1"/>
  <c r="C537" i="66" l="1"/>
  <c r="C538" i="66" l="1"/>
  <c r="C539" i="66" l="1"/>
  <c r="C540" i="66" l="1"/>
  <c r="C541" i="66" l="1"/>
  <c r="C542" i="66" l="1"/>
  <c r="C543" i="66" l="1"/>
  <c r="C544" i="66" l="1"/>
  <c r="C545" i="66" l="1"/>
  <c r="C546" i="66" l="1"/>
  <c r="C547" i="66" l="1"/>
  <c r="C548" i="66" l="1"/>
  <c r="C549" i="66" l="1"/>
  <c r="C550" i="66" l="1"/>
  <c r="C551" i="66" l="1"/>
  <c r="C552" i="66" l="1"/>
  <c r="C553" i="66" l="1"/>
  <c r="C554" i="66" l="1"/>
  <c r="C555" i="66" l="1"/>
  <c r="C556" i="66" l="1"/>
  <c r="C557" i="66" l="1"/>
  <c r="C558" i="66" l="1"/>
  <c r="D558" i="66" l="1"/>
  <c r="D557" i="66" l="1"/>
  <c r="D556" i="66" l="1"/>
  <c r="D555" i="66" l="1"/>
  <c r="D554" i="66" l="1"/>
  <c r="D553" i="66" l="1"/>
  <c r="D552" i="66" l="1"/>
  <c r="D551" i="66" l="1"/>
  <c r="D550" i="66" l="1"/>
  <c r="D549" i="66" l="1"/>
  <c r="D548" i="66" l="1"/>
  <c r="D547" i="66" l="1"/>
  <c r="D546" i="66" l="1"/>
  <c r="D545" i="66" l="1"/>
  <c r="D544" i="66" l="1"/>
  <c r="D543" i="66" l="1"/>
  <c r="D542" i="66" l="1"/>
  <c r="D541" i="66" l="1"/>
  <c r="D540" i="66" l="1"/>
  <c r="D539" i="66" l="1"/>
  <c r="D538" i="66" l="1"/>
  <c r="D537" i="66" l="1"/>
  <c r="D536" i="66" l="1"/>
  <c r="D535" i="66" l="1"/>
  <c r="D534" i="66" l="1"/>
  <c r="D533" i="66" l="1"/>
  <c r="D532" i="66" l="1"/>
  <c r="D531" i="66" l="1"/>
  <c r="D530" i="66" l="1"/>
  <c r="D529" i="66" l="1"/>
  <c r="D528" i="66" l="1"/>
  <c r="D527" i="66" l="1"/>
  <c r="D526" i="66" l="1"/>
  <c r="D525" i="66" l="1"/>
  <c r="D524" i="66" l="1"/>
  <c r="D523" i="66" l="1"/>
  <c r="D522" i="66" l="1"/>
  <c r="D521" i="66" l="1"/>
  <c r="D520" i="66" l="1"/>
  <c r="D519" i="66" l="1"/>
  <c r="D518" i="66" l="1"/>
  <c r="D517" i="66" l="1"/>
  <c r="D516" i="66" l="1"/>
  <c r="D515" i="66" l="1"/>
  <c r="D514" i="66" l="1"/>
  <c r="D513" i="66" l="1"/>
  <c r="D512" i="66" l="1"/>
  <c r="D511" i="66" l="1"/>
  <c r="D510" i="66" l="1"/>
  <c r="D509" i="66" l="1"/>
  <c r="D508" i="66" l="1"/>
  <c r="D507" i="66" l="1"/>
  <c r="D506" i="66" l="1"/>
  <c r="D505" i="66" l="1"/>
  <c r="D504" i="66" l="1"/>
  <c r="D503" i="66" l="1"/>
  <c r="D502" i="66" l="1"/>
  <c r="D501" i="66" l="1"/>
  <c r="D500" i="66" l="1"/>
  <c r="D499" i="66" l="1"/>
  <c r="D498" i="66" l="1"/>
  <c r="D497" i="66" l="1"/>
  <c r="D496" i="66" l="1"/>
  <c r="D495" i="66" l="1"/>
  <c r="D494" i="66" l="1"/>
  <c r="D493" i="66" l="1"/>
  <c r="D492" i="66" l="1"/>
  <c r="D491" i="66" l="1"/>
  <c r="D490" i="66" l="1"/>
  <c r="D489" i="66" l="1"/>
  <c r="D488" i="66" l="1"/>
  <c r="D487" i="66" l="1"/>
  <c r="D486" i="66" l="1"/>
  <c r="D485" i="66" l="1"/>
  <c r="D484" i="66" l="1"/>
  <c r="D483" i="66" l="1"/>
  <c r="D482" i="66" l="1"/>
  <c r="D481" i="66" l="1"/>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l="1"/>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6" i="66" l="1"/>
  <c r="D375" i="66" l="1"/>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l="1"/>
  <c r="D275" i="66" l="1"/>
  <c r="D274" i="66" l="1"/>
  <c r="D273" i="66" l="1"/>
  <c r="D272" i="66" l="1"/>
  <c r="D271" i="66" l="1"/>
  <c r="D270" i="66" l="1"/>
  <c r="D269" i="66" l="1"/>
  <c r="D268" i="66" l="1"/>
  <c r="D267" i="66" l="1"/>
  <c r="D266" i="66" l="1"/>
  <c r="D265" i="66" l="1"/>
  <c r="D264" i="66" l="1"/>
  <c r="D263" i="66" l="1"/>
  <c r="D262" i="66" l="1"/>
  <c r="D261" i="66" l="1"/>
  <c r="D260" i="66" l="1"/>
  <c r="D259" i="66" l="1"/>
  <c r="D258" i="66" l="1"/>
  <c r="D257" i="66" l="1"/>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l="1"/>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0" i="66" l="1"/>
  <c r="D201" i="66"/>
  <c r="D199" i="66" l="1"/>
  <c r="D198" i="66" l="1"/>
  <c r="D197" i="66" l="1"/>
  <c r="D196" i="66" l="1"/>
  <c r="D195" i="66" l="1"/>
  <c r="D193" i="66" l="1"/>
  <c r="E193" i="66" s="1"/>
  <c r="D194" i="66"/>
  <c r="AF170" i="78" l="1"/>
  <c r="AL170" i="78"/>
  <c r="H20" i="85" l="1"/>
  <c r="D23" i="6" l="1"/>
  <c r="E25" i="6"/>
  <c r="F25" i="6"/>
  <c r="G25" i="6" l="1"/>
  <c r="Y149" i="78" l="1"/>
  <c r="X149" i="78"/>
  <c r="H25" i="6"/>
  <c r="Y150" i="78" l="1"/>
  <c r="X150" i="78"/>
  <c r="AQ168" i="79" l="1"/>
  <c r="AO77" i="79"/>
  <c r="AX86" i="79"/>
  <c r="AL86" i="79"/>
  <c r="AL139" i="79"/>
  <c r="AJ98" i="79"/>
  <c r="X106" i="78"/>
  <c r="X70" i="78"/>
  <c r="X43" i="78"/>
  <c r="Z43" i="78" s="1"/>
  <c r="Z89" i="78" s="1"/>
  <c r="X76" i="78"/>
  <c r="X103" i="78" s="1"/>
  <c r="X32" i="78"/>
  <c r="Z32" i="78"/>
  <c r="AU35" i="78" s="1"/>
  <c r="Z58" i="78" l="1"/>
  <c r="Z59" i="78" s="1"/>
  <c r="Z71" i="78"/>
  <c r="Z77" i="78"/>
  <c r="AF32" i="78"/>
  <c r="AV35" i="78" s="1"/>
  <c r="X97" i="78"/>
  <c r="X88" i="78"/>
  <c r="Z106" i="78"/>
  <c r="X109" i="78"/>
  <c r="Z97" i="78" l="1"/>
  <c r="Z109" i="78"/>
  <c r="Z110" i="78" s="1"/>
  <c r="X134" i="78"/>
  <c r="Z107" i="78"/>
  <c r="X130" i="78"/>
  <c r="Z134" i="78" l="1"/>
  <c r="Z98" i="78"/>
  <c r="Z130" i="78"/>
  <c r="AB58" i="78" l="1"/>
  <c r="AB85" i="78" s="1"/>
  <c r="AE58" i="78"/>
  <c r="AD58" i="78"/>
  <c r="AD85" i="78" s="1"/>
  <c r="AE85" i="78" s="1"/>
  <c r="AC58" i="78"/>
  <c r="AC85" i="78" s="1"/>
  <c r="AF85" i="78" l="1"/>
  <c r="AE103" i="78"/>
  <c r="AE132" i="78" s="1"/>
  <c r="AD103" i="78"/>
  <c r="AD104" i="78" s="1"/>
  <c r="AC103" i="78"/>
  <c r="AC104" i="78" s="1"/>
  <c r="AF58" i="78"/>
  <c r="AF86" i="78" l="1"/>
  <c r="AL132" i="78"/>
  <c r="AD132" i="78"/>
  <c r="AE104" i="78"/>
  <c r="AC132" i="78"/>
  <c r="H68" i="79"/>
  <c r="H13" i="79"/>
  <c r="N30" i="79"/>
  <c r="N31" i="79"/>
  <c r="N74" i="79"/>
  <c r="H30" i="79"/>
  <c r="H31" i="79"/>
  <c r="H74" i="79"/>
  <c r="P176" i="79"/>
  <c r="T135" i="79"/>
  <c r="P168" i="79"/>
  <c r="AL98" i="79"/>
  <c r="Y34" i="78"/>
  <c r="X34" i="78"/>
  <c r="AL104" i="78" l="1"/>
  <c r="Z34" i="78"/>
  <c r="Y73" i="78"/>
  <c r="AB103" i="78" s="1"/>
  <c r="AF103" i="78" s="1"/>
  <c r="X73" i="78"/>
  <c r="X132" i="78" s="1"/>
  <c r="AB132" i="78" l="1"/>
  <c r="Y103" i="78"/>
  <c r="Y132" i="78" s="1"/>
  <c r="X104" i="78"/>
  <c r="Z73" i="78"/>
  <c r="Z74" i="78" s="1"/>
  <c r="Z103" i="78" l="1"/>
  <c r="Z132" i="78" s="1"/>
  <c r="Y104" i="78"/>
  <c r="AB104" i="78"/>
  <c r="Z104" i="78" l="1"/>
  <c r="X49" i="78"/>
  <c r="X94" i="78" s="1"/>
  <c r="X79" i="78"/>
  <c r="Y52" i="78" s="1"/>
  <c r="X40" i="78"/>
  <c r="X46" i="78" s="1"/>
  <c r="X38" i="78"/>
  <c r="X82" i="78" l="1"/>
  <c r="X50" i="78" s="1"/>
  <c r="Z52" i="78"/>
  <c r="X41" i="78"/>
  <c r="X61" i="78"/>
  <c r="X128" i="78"/>
  <c r="X95" i="78" l="1"/>
  <c r="X122" i="78"/>
  <c r="X126" i="78" s="1"/>
  <c r="X62" i="78"/>
  <c r="Y55" i="78"/>
  <c r="X136" i="78" l="1"/>
  <c r="X152" i="78" s="1"/>
  <c r="Z55" i="78"/>
  <c r="Y49" i="78"/>
  <c r="X112" i="78"/>
  <c r="Z49" i="78" l="1"/>
  <c r="F52" i="92" s="1"/>
  <c r="AF37" i="78"/>
  <c r="AH38" i="78"/>
  <c r="AH40" i="78"/>
  <c r="AH41" i="78" s="1"/>
  <c r="AE40" i="78"/>
  <c r="AE41" i="78" s="1"/>
  <c r="Z37" i="78"/>
  <c r="AE38" i="78"/>
  <c r="Y94" i="78"/>
  <c r="Z94" i="78" s="1"/>
  <c r="AJ38" i="78"/>
  <c r="AJ40" i="78"/>
  <c r="AC38" i="78"/>
  <c r="AC40" i="78"/>
  <c r="AC41" i="78" s="1"/>
  <c r="AB38" i="78"/>
  <c r="AB40" i="78"/>
  <c r="AB41" i="78" s="1"/>
  <c r="AL38" i="78"/>
  <c r="AL40" i="78"/>
  <c r="AL41" i="78" s="1"/>
  <c r="Y79" i="78"/>
  <c r="AD38" i="78"/>
  <c r="AD40" i="78"/>
  <c r="AD41" i="78" s="1"/>
  <c r="Y38" i="78"/>
  <c r="Y40" i="78"/>
  <c r="Z40" i="78" s="1"/>
  <c r="Z41" i="78" s="1"/>
  <c r="AH46" i="78" l="1"/>
  <c r="Z128" i="78"/>
  <c r="AB52" i="78"/>
  <c r="AE46" i="78"/>
  <c r="Y41" i="78"/>
  <c r="Y128" i="78"/>
  <c r="Y46" i="78"/>
  <c r="Z79" i="78"/>
  <c r="AJ46" i="78"/>
  <c r="AJ41" i="78"/>
  <c r="AL46" i="78"/>
  <c r="AF40" i="78"/>
  <c r="AF41" i="78" s="1"/>
  <c r="AB46" i="78"/>
  <c r="AD46" i="78"/>
  <c r="AC46" i="78"/>
  <c r="Z46" i="78" l="1"/>
  <c r="Z47" i="78" s="1"/>
  <c r="Y82" i="78"/>
  <c r="AF46" i="78"/>
  <c r="AF47" i="78" s="1"/>
  <c r="Y61" i="78"/>
  <c r="AB79" i="78"/>
  <c r="AC52" i="78" l="1"/>
  <c r="AC79" i="78" s="1"/>
  <c r="Z61" i="78"/>
  <c r="F51" i="92" s="1"/>
  <c r="F53" i="92" s="1"/>
  <c r="F55" i="92" s="1"/>
  <c r="Y122" i="78"/>
  <c r="Y126" i="78" s="1"/>
  <c r="Z126" i="78" s="1"/>
  <c r="Z136" i="78" s="1"/>
  <c r="Y62" i="78"/>
  <c r="AB55" i="78"/>
  <c r="AB82" i="78" s="1"/>
  <c r="Z82" i="78"/>
  <c r="Y95" i="78"/>
  <c r="Y50" i="78"/>
  <c r="P14" i="87" l="1"/>
  <c r="Y136" i="78"/>
  <c r="Y152" i="78" s="1"/>
  <c r="Z56" i="78"/>
  <c r="Z50" i="78"/>
  <c r="Z95" i="78"/>
  <c r="AC55" i="78"/>
  <c r="AC49" i="78" s="1"/>
  <c r="Y112" i="78"/>
  <c r="Z112" i="78" s="1"/>
  <c r="AB49" i="78"/>
  <c r="AU33" i="78"/>
  <c r="Z62" i="78"/>
  <c r="Z122" i="78"/>
  <c r="T14" i="87" s="1"/>
  <c r="AD52" i="78"/>
  <c r="AD79" i="78" s="1"/>
  <c r="D41" i="6" l="1"/>
  <c r="AU34" i="78"/>
  <c r="AE52" i="78"/>
  <c r="AE79" i="78" s="1"/>
  <c r="AF79" i="78" s="1"/>
  <c r="Z113" i="78"/>
  <c r="D42" i="6"/>
  <c r="AB50" i="78"/>
  <c r="AB94" i="78"/>
  <c r="AB61" i="78"/>
  <c r="AC94" i="78"/>
  <c r="AC61" i="78"/>
  <c r="AC82" i="78"/>
  <c r="AC50" i="78" s="1"/>
  <c r="D43" i="6" l="1"/>
  <c r="D44" i="6" s="1"/>
  <c r="AC128" i="78"/>
  <c r="AC95" i="78"/>
  <c r="AC122" i="78"/>
  <c r="AC126" i="78" s="1"/>
  <c r="AC136" i="78" s="1"/>
  <c r="AC62" i="78"/>
  <c r="AB62" i="78"/>
  <c r="AB122" i="78"/>
  <c r="AB126" i="78" s="1"/>
  <c r="AF52" i="78"/>
  <c r="AB128" i="78"/>
  <c r="AB95" i="78"/>
  <c r="AD55" i="78"/>
  <c r="AB136" i="78" l="1"/>
  <c r="D45" i="6"/>
  <c r="AB112" i="78"/>
  <c r="AD49" i="78"/>
  <c r="AC112" i="78"/>
  <c r="AD82" i="78"/>
  <c r="AE55" i="78" l="1"/>
  <c r="AE82" i="78" s="1"/>
  <c r="AF82" i="78" s="1"/>
  <c r="AD94" i="78"/>
  <c r="AD50" i="78"/>
  <c r="AD61" i="78"/>
  <c r="AD95" i="78" l="1"/>
  <c r="AD128" i="78"/>
  <c r="AH55" i="78"/>
  <c r="AE49" i="78"/>
  <c r="AF55" i="78"/>
  <c r="AF56" i="78" s="1"/>
  <c r="AD62" i="78"/>
  <c r="AD122" i="78"/>
  <c r="AD126" i="78" s="1"/>
  <c r="AD136" i="78" s="1"/>
  <c r="AE50" i="78" l="1"/>
  <c r="AE94" i="78"/>
  <c r="AE61" i="78"/>
  <c r="AF49" i="78"/>
  <c r="G52" i="92" s="1"/>
  <c r="AD112" i="78"/>
  <c r="AH82" i="78"/>
  <c r="AF50" i="78" l="1"/>
  <c r="AE122" i="78"/>
  <c r="AE126" i="78" s="1"/>
  <c r="AE62" i="78"/>
  <c r="AF61" i="78"/>
  <c r="G51" i="92" s="1"/>
  <c r="G53" i="92" s="1"/>
  <c r="G54" i="92" s="1"/>
  <c r="G56" i="92" s="1"/>
  <c r="AJ55" i="78"/>
  <c r="AE128" i="78"/>
  <c r="AE95" i="78"/>
  <c r="AF94" i="78"/>
  <c r="AE136" i="78" l="1"/>
  <c r="AF126" i="78"/>
  <c r="Q14" i="87"/>
  <c r="E28" i="6"/>
  <c r="AF62" i="78"/>
  <c r="AF122" i="78"/>
  <c r="AE112" i="78"/>
  <c r="AF112" i="78" s="1"/>
  <c r="AJ82" i="78"/>
  <c r="AF128" i="78"/>
  <c r="AF95" i="78"/>
  <c r="E35" i="6" l="1"/>
  <c r="E14" i="6" s="1"/>
  <c r="AV33" i="78"/>
  <c r="AL55" i="78"/>
  <c r="AL82" i="78" s="1"/>
  <c r="E42" i="6"/>
  <c r="AF113" i="78"/>
  <c r="E41" i="6"/>
  <c r="E29" i="6" l="1"/>
  <c r="E19" i="6"/>
  <c r="E17" i="6"/>
  <c r="E43" i="6"/>
  <c r="E44" i="6" s="1"/>
  <c r="E45" i="6" l="1"/>
  <c r="AJ97" i="78" l="1"/>
  <c r="AJ130" i="78" s="1"/>
  <c r="AL130" i="78"/>
  <c r="AH97" i="78"/>
  <c r="AH130" i="78" s="1"/>
  <c r="X100" i="78" l="1"/>
  <c r="X101" i="78" s="1"/>
  <c r="X64" i="78" l="1"/>
  <c r="Y100" i="78" l="1"/>
  <c r="Y101" i="78" l="1"/>
  <c r="Z100" i="78"/>
  <c r="Y64" i="78" l="1"/>
  <c r="Z64" i="78" s="1"/>
  <c r="Z101" i="78"/>
  <c r="AB100" i="78" l="1"/>
  <c r="AB101" i="78" s="1"/>
  <c r="AB64" i="78" l="1"/>
  <c r="AC100" i="78" l="1"/>
  <c r="AC101" i="78" l="1"/>
  <c r="AC64" i="78" l="1"/>
  <c r="AF101" i="78"/>
  <c r="AD64" i="78" l="1"/>
  <c r="AD100" i="78"/>
  <c r="AE64" i="78" l="1"/>
  <c r="AH100" i="78" s="1"/>
  <c r="AH101" i="78" s="1"/>
  <c r="AH64" i="78" s="1"/>
  <c r="AJ100" i="78" s="1"/>
  <c r="AJ101" i="78" s="1"/>
  <c r="AE100" i="78"/>
  <c r="AF100" i="78" s="1"/>
  <c r="AF64" i="78" l="1"/>
  <c r="AJ64" i="78" s="1"/>
  <c r="AL100" i="78" s="1"/>
  <c r="AL101" i="78" s="1"/>
  <c r="AL64" i="78" s="1"/>
  <c r="AF168" i="78" s="1"/>
  <c r="AH88" i="78"/>
  <c r="AJ103" i="78" s="1"/>
  <c r="AJ132" i="78" s="1"/>
  <c r="Z168" i="78" l="1"/>
  <c r="AL168" i="78"/>
  <c r="AJ104" i="78" l="1"/>
  <c r="H33" i="6"/>
  <c r="G33" i="6"/>
  <c r="AH52" i="78" l="1"/>
  <c r="AH49" i="78" s="1"/>
  <c r="H52" i="92" s="1"/>
  <c r="AH79" i="78" l="1"/>
  <c r="AJ52" i="78" s="1"/>
  <c r="AJ49" i="78" s="1"/>
  <c r="AJ94" i="78" s="1"/>
  <c r="AH94" i="78"/>
  <c r="AH61" i="78"/>
  <c r="H51" i="92" s="1"/>
  <c r="H53" i="92" s="1"/>
  <c r="H54" i="92" s="1"/>
  <c r="H56" i="92" s="1"/>
  <c r="AH50" i="78" l="1"/>
  <c r="AJ61" i="78"/>
  <c r="AJ79" i="78"/>
  <c r="AL52" i="78" s="1"/>
  <c r="AL49" i="78" s="1"/>
  <c r="AL61" i="78" s="1"/>
  <c r="AH122" i="78"/>
  <c r="AH126" i="78" s="1"/>
  <c r="AH62" i="78"/>
  <c r="F28" i="6"/>
  <c r="AH128" i="78"/>
  <c r="AH95" i="78"/>
  <c r="AJ128" i="78"/>
  <c r="AL122" i="78" l="1"/>
  <c r="AJ122" i="78"/>
  <c r="AJ126" i="78" s="1"/>
  <c r="AJ136" i="78" s="1"/>
  <c r="I51" i="92"/>
  <c r="I53" i="92" s="1"/>
  <c r="I54" i="92" s="1"/>
  <c r="I56" i="92" s="1"/>
  <c r="G28" i="6" s="1"/>
  <c r="G35" i="6" s="1"/>
  <c r="F35" i="6"/>
  <c r="F14" i="6" s="1"/>
  <c r="AJ95" i="78"/>
  <c r="AJ62" i="78"/>
  <c r="AL62" i="78"/>
  <c r="AL94" i="78"/>
  <c r="AL128" i="78" s="1"/>
  <c r="AL79" i="78"/>
  <c r="AL50" i="78" s="1"/>
  <c r="AJ50" i="78"/>
  <c r="F41" i="6"/>
  <c r="AW33" i="78"/>
  <c r="AX33" i="78"/>
  <c r="J51" i="92" l="1"/>
  <c r="J53" i="92" s="1"/>
  <c r="J54" i="92" s="1"/>
  <c r="J56" i="92" s="1"/>
  <c r="H28" i="6" s="1"/>
  <c r="H35" i="6" s="1"/>
  <c r="H14" i="6" s="1"/>
  <c r="AL126" i="78"/>
  <c r="F29" i="6"/>
  <c r="F39" i="6" s="1"/>
  <c r="H41" i="6"/>
  <c r="G29" i="6"/>
  <c r="G14" i="6"/>
  <c r="F17" i="6"/>
  <c r="F19" i="6"/>
  <c r="Z161" i="78"/>
  <c r="AY33" i="78"/>
  <c r="AL95" i="78"/>
  <c r="AH112" i="78"/>
  <c r="F42" i="6" s="1"/>
  <c r="F43" i="6" s="1"/>
  <c r="F44" i="6" s="1"/>
  <c r="G41" i="6"/>
  <c r="AJ112" i="78"/>
  <c r="G42" i="6" s="1"/>
  <c r="AX34" i="78"/>
  <c r="H29" i="6" l="1"/>
  <c r="G39" i="6"/>
  <c r="H39" i="6"/>
  <c r="AL149" i="78" s="1"/>
  <c r="AL136" i="78"/>
  <c r="AL112" i="78"/>
  <c r="H42" i="6" s="1"/>
  <c r="G17" i="6"/>
  <c r="G19" i="6"/>
  <c r="G43" i="6"/>
  <c r="G44" i="6" s="1"/>
  <c r="F45" i="6"/>
  <c r="AL161" i="78" l="1"/>
  <c r="AY34" i="78"/>
  <c r="AL159" i="78"/>
  <c r="AJ149" i="78"/>
  <c r="H17" i="6"/>
  <c r="H19" i="6"/>
  <c r="H43" i="6"/>
  <c r="H44" i="6" s="1"/>
  <c r="G45" i="6"/>
  <c r="H45" i="6" l="1"/>
  <c r="F33" i="6" l="1"/>
  <c r="E33" i="6"/>
  <c r="AB149" i="78" s="1"/>
  <c r="AH149" i="78" l="1"/>
  <c r="AB150" i="78"/>
  <c r="AB152" i="78" s="1"/>
  <c r="AE149" i="78"/>
  <c r="D40" i="6"/>
  <c r="AD149" i="78"/>
  <c r="AC149" i="78"/>
  <c r="AL150" i="78" l="1"/>
  <c r="AL152" i="78" s="1"/>
  <c r="AD150" i="78"/>
  <c r="AD152" i="78" s="1"/>
  <c r="AE150" i="78"/>
  <c r="AE152" i="78" s="1"/>
  <c r="AC150" i="78"/>
  <c r="AC152" i="78" s="1"/>
  <c r="AJ150" i="78"/>
  <c r="AJ152" i="78" s="1"/>
  <c r="AH150" i="78"/>
  <c r="AL162" i="78" l="1"/>
  <c r="Z162" i="78"/>
  <c r="AF162" i="78"/>
  <c r="AF76" i="78" l="1"/>
  <c r="AH103" i="78" s="1"/>
  <c r="AH104" i="78" l="1"/>
  <c r="AH132" i="78"/>
  <c r="AH136" i="78" s="1"/>
  <c r="AW34" i="78" l="1"/>
  <c r="AH152" i="78"/>
  <c r="AL163" i="78" s="1"/>
  <c r="Z86" i="78" l="1"/>
  <c r="AF104" i="78"/>
  <c r="AF132" i="78"/>
  <c r="AF136" i="78" s="1"/>
  <c r="AL167" i="78" l="1"/>
  <c r="AL169" i="78" s="1"/>
  <c r="AF163" i="78"/>
  <c r="AF167" i="78" s="1"/>
  <c r="AF169" i="78" s="1"/>
  <c r="Z163" i="78"/>
  <c r="Z167" i="78" s="1"/>
  <c r="Z169" i="78" s="1"/>
  <c r="AV34" i="78"/>
  <c r="T34" i="91" l="1"/>
  <c r="Z171" i="78"/>
  <c r="AQ48" i="78" s="1"/>
  <c r="AF171" i="78"/>
  <c r="AR48" i="78" s="1"/>
  <c r="T35" i="91"/>
  <c r="H13" i="85"/>
  <c r="L160" i="66"/>
  <c r="T33" i="91"/>
  <c r="AL171" i="78"/>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H14" i="85" l="1"/>
  <c r="R162" i="78"/>
  <c r="R163" i="78" s="1"/>
  <c r="AS48" i="78"/>
  <c r="R164"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(Student) Ferreira, João Pedro</author>
  </authors>
  <commentList>
    <comment ref="K35" authorId="0" shapeId="0" xr:uid="{B906B8A4-9926-4CD4-80DC-4ED4C473AE9F}">
      <text>
        <r>
          <rPr>
            <b/>
            <sz val="9"/>
            <color indexed="81"/>
            <rFont val="Tahoma"/>
            <family val="2"/>
          </rPr>
          <t>(Student) Ferreira, João Pedro:</t>
        </r>
        <r>
          <rPr>
            <sz val="9"/>
            <color indexed="81"/>
            <rFont val="Tahoma"/>
            <family val="2"/>
          </rPr>
          <t xml:space="preserve">
could be from operational changes rather than efficiency improvements
</t>
        </r>
      </text>
    </comment>
    <comment ref="I39" authorId="0" shapeId="0" xr:uid="{F1AD349D-7753-4CC3-82E3-BA4842428BF7}">
      <text>
        <r>
          <rPr>
            <b/>
            <sz val="9"/>
            <color indexed="81"/>
            <rFont val="Tahoma"/>
            <family val="2"/>
          </rPr>
          <t>(Student) Ferreira, João Pedro:</t>
        </r>
        <r>
          <rPr>
            <sz val="9"/>
            <color indexed="81"/>
            <rFont val="Tahoma"/>
            <family val="2"/>
          </rPr>
          <t xml:space="preserve">
Either through recycling, composting or CDRU conversion</t>
        </r>
      </text>
    </comment>
    <comment ref="K59" authorId="0" shapeId="0" xr:uid="{378B3FED-0EEC-439E-8917-6CDD2259F30C}">
      <text>
        <r>
          <rPr>
            <b/>
            <sz val="9"/>
            <color indexed="81"/>
            <rFont val="Tahoma"/>
            <family val="2"/>
          </rPr>
          <t>(Student) Ferreira, João Pedro:</t>
        </r>
        <r>
          <rPr>
            <sz val="9"/>
            <color indexed="81"/>
            <rFont val="Tahoma"/>
            <family val="2"/>
          </rPr>
          <t xml:space="preserve">
Compare high turnover rate
</t>
        </r>
      </text>
    </comment>
    <comment ref="H61" authorId="0" shapeId="0" xr:uid="{A6B7DEE2-66B5-4039-B894-A841BA7F2024}">
      <text>
        <r>
          <rPr>
            <b/>
            <sz val="9"/>
            <color indexed="81"/>
            <rFont val="Tahoma"/>
            <family val="2"/>
          </rPr>
          <t>(Student) Ferreira, João Pedro:</t>
        </r>
        <r>
          <rPr>
            <sz val="9"/>
            <color indexed="81"/>
            <rFont val="Tahoma"/>
            <family val="2"/>
          </rPr>
          <t xml:space="preserve">
maybe yellow
</t>
        </r>
      </text>
    </comment>
    <comment ref="K67" authorId="0" shapeId="0" xr:uid="{77DDAE84-8BE6-49B5-A64C-41831F4E4545}">
      <text>
        <r>
          <rPr>
            <b/>
            <sz val="9"/>
            <color indexed="81"/>
            <rFont val="Tahoma"/>
            <family val="2"/>
          </rPr>
          <t>(Student) Ferreira, João Pedro:</t>
        </r>
        <r>
          <rPr>
            <sz val="9"/>
            <color indexed="81"/>
            <rFont val="Tahoma"/>
            <family val="2"/>
          </rPr>
          <t xml:space="preserve">
48 operating projects
10 projects under development
785 suppliers
87 employees
30 million annual mall visitors
means&gt;
Remarkably effective compliance (possible but rare)
Selective disclosure (reporting only material/public cases)
Definitional gaming ("violations" narrowly defined)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João Pedro Carocinho Morgado Baioa</author>
  </authors>
  <commentList>
    <comment ref="I21" authorId="0" shapeId="0" xr:uid="{11F4EADE-CE55-4CA9-91E1-D8729E6BC725}">
      <text>
        <r>
          <rPr>
            <sz val="11"/>
            <color theme="1"/>
            <rFont val="Arial"/>
            <family val="2"/>
          </rPr>
          <t>João Pedro Carocinho Morgado Baioa:
Revenue Growth Rate 11.96%in the last 5 years. And has a 9.2% Forward Annual Dividend Rate.
Source: Simply Wall street and Yahoo Finance</t>
        </r>
      </text>
    </comment>
    <comment ref="K21" authorId="0" shapeId="0" xr:uid="{22BBE226-2537-463E-81BC-DB394B7B9FF9}">
      <text>
        <r>
          <rPr>
            <sz val="11"/>
            <color theme="1"/>
            <rFont val="Arial"/>
            <family val="2"/>
          </rPr>
          <t>João Pedro Carocinho Morgado Baioa:
Revenue Growth Rate of 14.6%, although earnings are expected to drop 6.3%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(Student) Ferreira, João Pedro</author>
    <author>Madalena</author>
  </authors>
  <commentList>
    <comment ref="X52" authorId="0" shapeId="0" xr:uid="{B7BB6D0B-11B0-4388-A09D-03A3549638E0}">
      <text>
        <r>
          <rPr>
            <b/>
            <sz val="9"/>
            <color indexed="81"/>
            <rFont val="Tahoma"/>
            <family val="2"/>
          </rPr>
          <t>(Student) Ferreira, João Pedro:</t>
        </r>
        <r>
          <rPr>
            <sz val="9"/>
            <color indexed="81"/>
            <rFont val="Tahoma"/>
            <family val="2"/>
          </rPr>
          <t xml:space="preserve">
can be as last year with no amort
check later
</t>
        </r>
      </text>
    </comment>
    <comment ref="Y52" authorId="0" shapeId="0" xr:uid="{312D6B49-8B43-4C1F-8B4B-350363DCD775}">
      <text>
        <r>
          <rPr>
            <b/>
            <sz val="9"/>
            <color indexed="81"/>
            <rFont val="Tahoma"/>
            <family val="2"/>
          </rPr>
          <t>(Student) Ferreira, João Pedro:</t>
        </r>
        <r>
          <rPr>
            <sz val="9"/>
            <color indexed="81"/>
            <rFont val="Tahoma"/>
            <family val="2"/>
          </rPr>
          <t xml:space="preserve">
can be as last year with no amort
check later
</t>
        </r>
      </text>
    </comment>
    <comment ref="AN161" authorId="1" shapeId="0" xr:uid="{C74592AD-379A-44EB-A1A8-F76BCC837B9E}">
      <text>
        <r>
          <rPr>
            <b/>
            <sz val="9"/>
            <color indexed="81"/>
            <rFont val="Tahoma"/>
            <charset val="1"/>
          </rPr>
          <t>Madalena:</t>
        </r>
        <r>
          <rPr>
            <sz val="9"/>
            <color indexed="81"/>
            <rFont val="Tahoma"/>
            <charset val="1"/>
          </rPr>
          <t xml:space="preserve">
Terminal Value would have to be this for a normalish -20% downside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<sst xmlns="http://schemas.openxmlformats.org/spreadsheetml/2006/main" count="2172" uniqueCount="837">
  <si>
    <t>TODAY</t>
  </si>
  <si>
    <t>Analysts</t>
  </si>
  <si>
    <t>LIS – Equity Research</t>
  </si>
  <si>
    <t>Stock Performance</t>
  </si>
  <si>
    <t>João Pedro Ferreira, Quantitative Research Head</t>
  </si>
  <si>
    <t>Recommendation:</t>
  </si>
  <si>
    <t>Strong Sell</t>
  </si>
  <si>
    <t>Bsc in Finance, ISEG – Ulisboa</t>
  </si>
  <si>
    <t>Target Price (FCFF):</t>
  </si>
  <si>
    <t>joao@aln.iseg.ulisboa.pt</t>
  </si>
  <si>
    <t>Downside:</t>
  </si>
  <si>
    <t>José Gonçalves, Analyst</t>
  </si>
  <si>
    <t>Bsc in Management, ISEG – Ulisboa</t>
  </si>
  <si>
    <t>Ticker</t>
  </si>
  <si>
    <t>HBRE3</t>
  </si>
  <si>
    <t>l64272@aln.iseg.ulisboa.pt</t>
  </si>
  <si>
    <t>Stock Exchange</t>
  </si>
  <si>
    <t>BRL</t>
  </si>
  <si>
    <t>João Baiôa, Analyst</t>
  </si>
  <si>
    <t>Bsc in MAEG, ISEG – Ulisboa</t>
  </si>
  <si>
    <t>Current Price</t>
  </si>
  <si>
    <t>l61773@aln.iseg.ulisboa.pt</t>
  </si>
  <si>
    <t>Beta</t>
  </si>
  <si>
    <t>% of 52-Week High</t>
  </si>
  <si>
    <t>100-Day Moving Average</t>
  </si>
  <si>
    <t>Reviewed by:</t>
  </si>
  <si>
    <t>Avg Vol (1 month)</t>
  </si>
  <si>
    <t>Madalena Silva, Co-Head of Equity Research</t>
  </si>
  <si>
    <t>Shares Outstanding (millions)</t>
  </si>
  <si>
    <t>Bsc in Applied Mathematics in Economic and Management, ISEG – Ulisboa</t>
  </si>
  <si>
    <t>% Float</t>
  </si>
  <si>
    <t>l63835@aln.iseg.ulisboa.pt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</si>
  <si>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</si>
  <si>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</si>
  <si>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</si>
  <si>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</si>
  <si>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</si>
  <si>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</si>
  <si>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</si>
  <si>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</si>
  <si>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</si>
  <si>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</si>
  <si>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Brazilian Commercial Real Estate</t>
  </si>
  <si>
    <r>
      <rPr>
        <sz val="11"/>
        <color rgb="FF000000"/>
        <rFont val="Arial"/>
        <family val="2"/>
      </rPr>
      <t xml:space="preserve">Market Size - </t>
    </r>
    <r>
      <rPr>
        <i/>
        <sz val="11"/>
        <color rgb="FF000000"/>
        <rFont val="Arial"/>
        <family val="2"/>
      </rPr>
      <t>Mordor Intelligence</t>
    </r>
  </si>
  <si>
    <t>Market Share</t>
  </si>
  <si>
    <r>
      <rPr>
        <sz val="11"/>
        <color rgb="FF000000"/>
        <rFont val="Arial"/>
        <family val="2"/>
      </rPr>
      <t xml:space="preserve">Market Size - </t>
    </r>
    <r>
      <rPr>
        <i/>
        <sz val="11"/>
        <color rgb="FF000000"/>
        <rFont val="Arial"/>
        <family val="2"/>
      </rPr>
      <t>Growth Market Reports</t>
    </r>
  </si>
  <si>
    <r>
      <rPr>
        <sz val="11"/>
        <color rgb="FF000000"/>
        <rFont val="Arial"/>
        <family val="2"/>
      </rPr>
      <t>Market Size -</t>
    </r>
    <r>
      <rPr>
        <i/>
        <sz val="11"/>
        <color rgb="FF000000"/>
        <rFont val="Arial"/>
        <family val="2"/>
      </rPr>
      <t xml:space="preserve"> IMARC Group</t>
    </r>
  </si>
  <si>
    <t>Average</t>
  </si>
  <si>
    <t>Median</t>
  </si>
  <si>
    <t xml:space="preserve"> </t>
  </si>
  <si>
    <t>Industry Driver</t>
  </si>
  <si>
    <t>Description</t>
  </si>
  <si>
    <t>Porter's Five Forces</t>
  </si>
  <si>
    <t>Interest Rate Sensitivity</t>
  </si>
  <si>
    <t>Its business depends heavily on financing, mortgage credit and investment in construction; Interest rates are a key input for discounting future cash flows; Demand depends on buyers or tenants obtaining loans or financing; High interest rates make fixed-income investments relatively more attractive; If interest rates rise, their capital structure becomes heavier, increasing financial (solvency) risk and limiting their ability to expand.</t>
  </si>
  <si>
    <t>Economic growth and consumer purchasing power in Brazil</t>
  </si>
  <si>
    <t>It is forecasted a slower growth in GDP of 1.5-2% (worst in 6 years). Inflation is 5-5.5% (above target), so interest rates are high. This affects mostly low-middle class individuals which make up the biggest proportion of its business (convenience stores and shopping malls). The unemployment rate is the lowest of the last 12 years. The 'trade war' between Brazil and the United States remains intense and aggressive. As a consequence, it's expected to rise inflation, and delay the decrease of interest rates.</t>
  </si>
  <si>
    <t>Labour and Construction Material Cost</t>
  </si>
  <si>
    <t xml:space="preserve">Rising labour and construction-material costs materially worsen project economics for commercial real-estate developers: they raise CAPEX, compress margins, reducing returns and making marginal projects infeasible or likely to be delayed. For highly leveraged firms, coverage ratios deteriorate, and delays mean increase interest costs. </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</si>
  <si>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</si>
  <si>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</si>
  <si>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</si>
  <si>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</si>
  <si>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</si>
  <si>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</si>
  <si>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</si>
  <si>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</si>
  <si>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ESG Score</t>
  </si>
  <si>
    <t xml:space="preserve">   E-Score</t>
  </si>
  <si>
    <t xml:space="preserve">   S-Score</t>
  </si>
  <si>
    <t xml:space="preserve">   G-Score</t>
  </si>
  <si>
    <t>S&amp;P Global ESG Score</t>
  </si>
  <si>
    <t>Key Info</t>
  </si>
  <si>
    <t>Environmental</t>
  </si>
  <si>
    <t>Overview</t>
  </si>
  <si>
    <t>Targets</t>
  </si>
  <si>
    <t>Improvements</t>
  </si>
  <si>
    <t>Comments</t>
  </si>
  <si>
    <t>GICS Sector</t>
  </si>
  <si>
    <t>Real Estate</t>
  </si>
  <si>
    <t>GHG Scope 1 Emissions</t>
  </si>
  <si>
    <t>Reduce Ethanol Emissions</t>
  </si>
  <si>
    <t>None</t>
  </si>
  <si>
    <t>The company released its first GHG inventory in 2024 but set no target for the future, only for ethanol veichles which represent .1% of their total emissions</t>
  </si>
  <si>
    <t>GICS Industry Group</t>
  </si>
  <si>
    <t>Real Estate Management and Development</t>
  </si>
  <si>
    <t>GICS Industry</t>
  </si>
  <si>
    <t>Water Consumption</t>
  </si>
  <si>
    <t>Transition from Artesian well to municipal</t>
  </si>
  <si>
    <t>6% YoY reduction</t>
  </si>
  <si>
    <t>The 6% decrease is shown but not contextualized</t>
  </si>
  <si>
    <t>GICS Sub-Industry</t>
  </si>
  <si>
    <t>Real Estate Operating Companies</t>
  </si>
  <si>
    <t>Energy Consumption</t>
  </si>
  <si>
    <t>100% Renewable sources across all operations by 2026</t>
  </si>
  <si>
    <t>Solar initiative launched at ConVem Santana 2024. Ethanol over Gasoline</t>
  </si>
  <si>
    <t>Clear 2026 Target but massive increase in recent years, no clear efficiency targets,14.5% consumption increase in Suzano Shopping with no clear explanation</t>
  </si>
  <si>
    <t>Headquarters</t>
  </si>
  <si>
    <t xml:space="preserve">Mogi das Cruzes,  São Paulo, Brazil </t>
  </si>
  <si>
    <t>Numer of Employees</t>
  </si>
  <si>
    <t>Waste Management</t>
  </si>
  <si>
    <t>100% Waste diversion goal</t>
  </si>
  <si>
    <t>Composting and CDRU for non Recyclables introduced</t>
  </si>
  <si>
    <t>Still 63% to landfill despite the 0% goal with a 22% YoY increase, only 4/48 projects are reported in the data. The recycling rate as been stagnant (13%) from 2023-2024</t>
  </si>
  <si>
    <t>Annual Report</t>
  </si>
  <si>
    <t>Sustainability Report</t>
  </si>
  <si>
    <t>Recent Headlines</t>
  </si>
  <si>
    <t>Social</t>
  </si>
  <si>
    <t>since june</t>
  </si>
  <si>
    <t>30/9 / Sold Building in Sao Paulo for 319.5M</t>
  </si>
  <si>
    <t>Employee Turnover %</t>
  </si>
  <si>
    <t>First GPTW Climate Survey, 87% participation, 69% favorability</t>
  </si>
  <si>
    <t>40% Turnover in for an 80 person company is problematic, under 30 employees have 58% turnover and women have 45% to mens 32%</t>
  </si>
  <si>
    <t>23/9 - Asset Recycling May reduce Net Debt by 40% says CEO</t>
  </si>
  <si>
    <t>11/9 - HBR Realty announced the sale of 91% of the HBR Corporate Tower for R$477.2mn As HBR Realty holds 66.6% of the asset, the
expected proceeds should total ~R$318mn. This sale represents 67.0% of the company's market cap and 16.7% of its EV</t>
  </si>
  <si>
    <t>Salaries &amp; Compensation</t>
  </si>
  <si>
    <t>No Clear Target</t>
  </si>
  <si>
    <t>CEO comp increased 7.5% to average employee 10% increase</t>
  </si>
  <si>
    <t xml:space="preserve">Highest paid employee earns 21x average salary </t>
  </si>
  <si>
    <t>Reputation</t>
  </si>
  <si>
    <t>No Target</t>
  </si>
  <si>
    <t>Master Imobiliario and Abrasce 2024 awards</t>
  </si>
  <si>
    <t>Aqards given for honors in real estate but externally judged, but still strong presence as familly has been involved in real estate for 61 years</t>
  </si>
  <si>
    <t>Discrimination Events</t>
  </si>
  <si>
    <t>To maintain</t>
  </si>
  <si>
    <t>No discrimination cases in 2024</t>
  </si>
  <si>
    <t>0 cases don’t mean 0 occurences, 100% white male board, management 92% white and 58% male</t>
  </si>
  <si>
    <t>Work Safety</t>
  </si>
  <si>
    <t>0 workplace accidents, zero disceases, 100% covered by health insurance</t>
  </si>
  <si>
    <t>Doesn-t compare to industry performance, no data on previous year. Construction partners are not covered, likely for mall operations staff among other third parties</t>
  </si>
  <si>
    <t>Damage to consumer health</t>
  </si>
  <si>
    <t>No occurances related to consumer health were reported but HBR doesn’t report Indoor air quality, fire safety, food safety among other safety protocols. With 30 million mall visitiors 0 incidents are unlikely</t>
  </si>
  <si>
    <t>Pension Plan</t>
  </si>
  <si>
    <t>No private pension plan, or not disclosed, only Governament pension. HBR offers annual life insurance, PPR (profit sharing), gym membership, 95-100% meal vouchers,  40%-80% of scholarships</t>
  </si>
  <si>
    <t>Supply chain</t>
  </si>
  <si>
    <t>To have suppliers which provide livable conditions to employees</t>
  </si>
  <si>
    <t>Clauses prohibiting child labor, forced labor, slavery-like conditions, 100% of suppliers going through renewal. Very general approach for supply chain analysis. No environmental data on supply chain partners</t>
  </si>
  <si>
    <t>Community involvement</t>
  </si>
  <si>
    <t>Expansion of charitable spaces within its properties and others</t>
  </si>
  <si>
    <t>Charitable donations to food banks, clothing and hygiene item, creation of autism support spaces</t>
  </si>
  <si>
    <t>The company is really involved in eachs mall community using its own spaces for the better of the community which demonstrate real activity and not just PR stunts</t>
  </si>
  <si>
    <t>Public Sector</t>
  </si>
  <si>
    <t>No comment</t>
  </si>
  <si>
    <t>Litigation</t>
  </si>
  <si>
    <t>To maintain no litigation issues</t>
  </si>
  <si>
    <t>The company was involved in 0 corruption-related legal proceedings, but doesn’t mention third parties (construction) related incidents despite having joint liability risk</t>
  </si>
  <si>
    <t>Board of Directors</t>
  </si>
  <si>
    <t>Governance</t>
  </si>
  <si>
    <t>Name</t>
  </si>
  <si>
    <t>Position</t>
  </si>
  <si>
    <t>M/F  – Age</t>
  </si>
  <si>
    <t>Henrique Borenstein</t>
  </si>
  <si>
    <t>Chairman / Founder</t>
  </si>
  <si>
    <t>M - 89</t>
  </si>
  <si>
    <t>Diversity (Gender, Age, Industry, Region)</t>
  </si>
  <si>
    <t>Get more diversity in all aspects, age, gender and race</t>
  </si>
  <si>
    <t>All members of the board are middle aged to older white males. In management 92% white and 58% male, workforce 52% males</t>
  </si>
  <si>
    <t>Henry Borenstein</t>
  </si>
  <si>
    <t>Vice Chair</t>
  </si>
  <si>
    <t>M - 52</t>
  </si>
  <si>
    <t>Mario Mello Freire Neto</t>
  </si>
  <si>
    <t>Director</t>
  </si>
  <si>
    <t>M - 59</t>
  </si>
  <si>
    <t>% Independence</t>
  </si>
  <si>
    <t xml:space="preserve">To move to a more independent board </t>
  </si>
  <si>
    <t>60% of all board members are independent, besides chair and vice-chair</t>
  </si>
  <si>
    <t>Jose Luis Acar Pedro</t>
  </si>
  <si>
    <t>M - 72</t>
  </si>
  <si>
    <t>Rodolpho Amboss</t>
  </si>
  <si>
    <t>M - 62</t>
  </si>
  <si>
    <t>Average time as independent directors</t>
  </si>
  <si>
    <t>-</t>
  </si>
  <si>
    <t>Major Holders</t>
  </si>
  <si>
    <t>Departures of C-level executives</t>
  </si>
  <si>
    <t>CFO and CEO left after 2 and 12 years, respectively</t>
  </si>
  <si>
    <t>% Owned</t>
  </si>
  <si>
    <t>Hélio Borenstein S.A. Administração Partic. e Comércio</t>
  </si>
  <si>
    <t>CEO/Chairman duality</t>
  </si>
  <si>
    <t xml:space="preserve">To maintain dynamic </t>
  </si>
  <si>
    <t>CEO and Chair are separate persons</t>
  </si>
  <si>
    <t>Free float</t>
  </si>
  <si>
    <t>Transparency when reporting</t>
  </si>
  <si>
    <t>HBR tens to ommit key facts especially in serious matters, along with not showing previous years data, HBR shows critical data that may seem hard to believe without context (that they don’t give)</t>
  </si>
  <si>
    <t>Tresury</t>
  </si>
  <si>
    <t>Time taken to report</t>
  </si>
  <si>
    <t xml:space="preserve">Nothing unusual with HBRs time to report </t>
  </si>
  <si>
    <t>CEO or Chairman in other boards?</t>
  </si>
  <si>
    <t>Henrique is Helbors Chairman, both companies are owned by the same holding comoany, Helio Borenstein S.A</t>
  </si>
  <si>
    <t>Audit / Consulting</t>
  </si>
  <si>
    <t>To improve</t>
  </si>
  <si>
    <t xml:space="preserve">Audit board composed of 3 independent members </t>
  </si>
  <si>
    <t>ESG-compensation related</t>
  </si>
  <si>
    <t>The Company does not mention any plans or previous experience with ESG related compensation</t>
  </si>
  <si>
    <t>Management compensation schemes</t>
  </si>
  <si>
    <t>Fixed monthly Compensation, chair and bice receive higher compensations, Annual General Meetings determine the compensation</t>
  </si>
  <si>
    <t>Segments</t>
  </si>
  <si>
    <t>CAGR</t>
  </si>
  <si>
    <t>Q1</t>
  </si>
  <si>
    <t>Q2</t>
  </si>
  <si>
    <t>Q3</t>
  </si>
  <si>
    <t>Q4</t>
  </si>
  <si>
    <t>FY</t>
  </si>
  <si>
    <t>2025-2029</t>
  </si>
  <si>
    <t>Revenue by segment:</t>
  </si>
  <si>
    <t>ComVem</t>
  </si>
  <si>
    <t>HBR 3A</t>
  </si>
  <si>
    <t>HBR Malls</t>
  </si>
  <si>
    <t>HBR Opportunities</t>
  </si>
  <si>
    <t>Other &amp; Holding</t>
  </si>
  <si>
    <t>Total revenue</t>
  </si>
  <si>
    <t>Notes &amp; Forecasts</t>
  </si>
  <si>
    <t>Considerable growth, with minimal impact from the partial sale of the Faria Lima "trophy" asset.</t>
  </si>
  <si>
    <t>Occupancy rate of 100% in operating projects.</t>
  </si>
  <si>
    <t>The second segment with the most assets under development with a total of 40.</t>
  </si>
  <si>
    <t>Slight reduction in share over time, even with occupancy improvements, as other segments grow faster.</t>
  </si>
  <si>
    <r>
      <t>Global shopping center market is expected to grow at a CAGR of 7% until 2029.  (</t>
    </r>
    <r>
      <rPr>
        <b/>
        <sz val="11"/>
        <color theme="1"/>
        <rFont val="Arial Nova"/>
        <family val="2"/>
      </rPr>
      <t>Source:</t>
    </r>
    <r>
      <rPr>
        <sz val="11"/>
        <color theme="1"/>
        <rFont val="Arial Nova"/>
        <family val="2"/>
      </rPr>
      <t xml:space="preserve"> Research and Markets- Shopping Centers Market Report 2025)</t>
    </r>
  </si>
  <si>
    <t>The two malls Mogi and Patteo Olinda are increasing their occupancy rates to the segment average of 92%.</t>
  </si>
  <si>
    <t>Consistent growth quarter by quarter, reflecting the expansion of essential projects and revenue increase.</t>
  </si>
  <si>
    <t>The segment includes resilient assets as they are positioned within the essential retail dynamics.</t>
  </si>
  <si>
    <t>The assets under development are located in prime areas of São Paulo, and revenue is expected to improve.</t>
  </si>
  <si>
    <t>One of the company’s main future focuses, with 54 assets under development.</t>
  </si>
  <si>
    <t>Gradual decline, despite strong seasonality in Q3 and Q4:</t>
  </si>
  <si>
    <t>In the hospitality segment, the 3rd and 4th quarters are typically stronger. Revenue from the W Hotel, the segment’s most notable asset, is expected to increase.</t>
  </si>
  <si>
    <t>No new project deliveries expected until 2030.</t>
  </si>
  <si>
    <t>Peers</t>
  </si>
  <si>
    <t>Growth</t>
  </si>
  <si>
    <t>HBR REALTY EMPRE</t>
  </si>
  <si>
    <t>ALLOS SA</t>
  </si>
  <si>
    <t>JHSF PART</t>
  </si>
  <si>
    <t>MULTIPLAN</t>
  </si>
  <si>
    <t>IGUATEMI SA - UN</t>
  </si>
  <si>
    <t>WERELDHAVE NV</t>
  </si>
  <si>
    <t>CTO REALTY GROWT</t>
  </si>
  <si>
    <t>FOUR CORNERS PRO</t>
  </si>
  <si>
    <t>SUNWAY REAL ESTA</t>
  </si>
  <si>
    <t>TERA YATIRIM TEK</t>
  </si>
  <si>
    <t>Revenue (LTM)</t>
  </si>
  <si>
    <t>Revenue (3-yr CAGR)</t>
  </si>
  <si>
    <t>N/A</t>
  </si>
  <si>
    <t>Gross profit (LTM)</t>
  </si>
  <si>
    <t>EBIT (LTM)</t>
  </si>
  <si>
    <t>EBITDA (LTM)</t>
  </si>
  <si>
    <t>13,55%</t>
  </si>
  <si>
    <t>FCF (LTM)</t>
  </si>
  <si>
    <t>Margins</t>
  </si>
  <si>
    <t>Gross margin</t>
  </si>
  <si>
    <t>68,54%</t>
  </si>
  <si>
    <t>EBIT margin</t>
  </si>
  <si>
    <t>48,2%</t>
  </si>
  <si>
    <t>EBITDA margin</t>
  </si>
  <si>
    <t>Net margin</t>
  </si>
  <si>
    <t>SG&amp;A margin</t>
  </si>
  <si>
    <t>Returns</t>
  </si>
  <si>
    <t>ROIC</t>
  </si>
  <si>
    <t>CROIC</t>
  </si>
  <si>
    <t>-0,46%</t>
  </si>
  <si>
    <t>ROCE</t>
  </si>
  <si>
    <t>4,1%</t>
  </si>
  <si>
    <t>RONA</t>
  </si>
  <si>
    <t>ROE</t>
  </si>
  <si>
    <t>ROA</t>
  </si>
  <si>
    <t>2,3%</t>
  </si>
  <si>
    <t>Efficiency</t>
  </si>
  <si>
    <t>Asset turnover</t>
  </si>
  <si>
    <t>0,077</t>
  </si>
  <si>
    <t>Net operating asset turnover</t>
  </si>
  <si>
    <t>0,079</t>
  </si>
  <si>
    <t>Fixed asset turnover</t>
  </si>
  <si>
    <t>0,087</t>
  </si>
  <si>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</si>
  <si>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</si>
  <si>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</si>
  <si>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</si>
  <si>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</si>
  <si>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</si>
  <si>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</si>
  <si>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</si>
  <si>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</si>
  <si>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</si>
  <si>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</si>
  <si>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</si>
  <si>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</si>
  <si>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</si>
  <si>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</si>
  <si>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</si>
  <si>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</si>
  <si>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</si>
  <si>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</si>
  <si>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</si>
  <si>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</si>
  <si>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</si>
  <si>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</si>
  <si>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</si>
  <si>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</si>
  <si>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</si>
  <si>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</si>
  <si>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</si>
  <si>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</si>
  <si>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</si>
  <si>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</si>
  <si>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</si>
  <si>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</si>
  <si>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</si>
  <si>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</si>
  <si>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</si>
  <si>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</si>
  <si>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</si>
  <si>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</si>
  <si>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</si>
  <si>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</si>
  <si>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</si>
  <si>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</si>
  <si>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</si>
  <si>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</si>
  <si>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</si>
  <si>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</si>
  <si>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</si>
  <si>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</si>
  <si>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</si>
  <si>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</si>
  <si>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</si>
  <si>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</si>
  <si>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</si>
  <si>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</si>
  <si>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HBRE3 BZ</t>
  </si>
  <si>
    <t>BRL 4.78</t>
  </si>
  <si>
    <t>3.04 B</t>
  </si>
  <si>
    <t>Tier I: Real Estate Operating Companies</t>
  </si>
  <si>
    <t>ALOS3 BZ</t>
  </si>
  <si>
    <t>BRL 24.4</t>
  </si>
  <si>
    <t>JHSF3 BZ</t>
  </si>
  <si>
    <t>BRL 5.51</t>
  </si>
  <si>
    <t>LOGG3 BZ</t>
  </si>
  <si>
    <t>BRL 21.77</t>
  </si>
  <si>
    <t>MULT3 BZ</t>
  </si>
  <si>
    <t>BRL 28.4</t>
  </si>
  <si>
    <t>IGTI11 BZ</t>
  </si>
  <si>
    <t>BRL 23.75</t>
  </si>
  <si>
    <t>Mean</t>
  </si>
  <si>
    <t>Tier II: Real Estate Management and Development</t>
  </si>
  <si>
    <t>No Data Avaliable</t>
  </si>
  <si>
    <t>Tier III: Real Estate</t>
  </si>
  <si>
    <t>dddddd</t>
  </si>
  <si>
    <t>WHA NA</t>
  </si>
  <si>
    <t>EUR 18.84</t>
  </si>
  <si>
    <t>CTO US</t>
  </si>
  <si>
    <t>USD 16.53</t>
  </si>
  <si>
    <t>FCPT US</t>
  </si>
  <si>
    <t>USD 25.45</t>
  </si>
  <si>
    <t>SREIT MK</t>
  </si>
  <si>
    <t>MYR 2.06</t>
  </si>
  <si>
    <t>#N/A N/A</t>
  </si>
  <si>
    <t>TEHOL TI</t>
  </si>
  <si>
    <t>TRY 33.2</t>
  </si>
  <si>
    <t>Overall</t>
  </si>
  <si>
    <t>Low</t>
  </si>
  <si>
    <t>Price/Book</t>
  </si>
  <si>
    <t>NAV</t>
  </si>
  <si>
    <t>ALLOS</t>
  </si>
  <si>
    <t>JHSF</t>
  </si>
  <si>
    <t>LOG COM</t>
  </si>
  <si>
    <t>jscs</t>
  </si>
  <si>
    <t>multiplan</t>
  </si>
  <si>
    <t>Iguatemi</t>
  </si>
  <si>
    <t>Revenue</t>
  </si>
  <si>
    <t>Main Driver</t>
  </si>
  <si>
    <t>Gross Leasable Area (GLA)</t>
  </si>
  <si>
    <t>Forecast</t>
  </si>
  <si>
    <t>Total Revenue</t>
  </si>
  <si>
    <t>growth %</t>
  </si>
  <si>
    <t>Total GLA</t>
  </si>
  <si>
    <t>GLA Owned</t>
  </si>
  <si>
    <t xml:space="preserve">% Total GLA </t>
  </si>
  <si>
    <t>Revenue Lease</t>
  </si>
  <si>
    <t>Revenue Sale</t>
  </si>
  <si>
    <t>Asset under Development</t>
  </si>
  <si>
    <t>Revenue Per Square Meter (RSM)</t>
  </si>
  <si>
    <t>R*2 Between Revenue &amp; GLA</t>
  </si>
  <si>
    <t>Year 1</t>
  </si>
  <si>
    <t>Projected GLA * RSM</t>
  </si>
  <si>
    <t>Year 2</t>
  </si>
  <si>
    <t>(Projected GLA + Development) * RSM*(1+RSM Growth Rate)</t>
  </si>
  <si>
    <t>Year n</t>
  </si>
  <si>
    <t>Etc</t>
  </si>
  <si>
    <t>On Average HBR finished 5.5% of Under Development Assets</t>
  </si>
  <si>
    <t>multiply by 4 quarters</t>
  </si>
  <si>
    <t>Apply 30% expected growth construction sector</t>
  </si>
  <si>
    <t>34% Expected Under Development Assets Build Rate</t>
  </si>
  <si>
    <t>Revenue Applied</t>
  </si>
  <si>
    <t>Revenue will decrease x%, by the sensitivity analysis with a selic rate y% and -4% spread</t>
  </si>
  <si>
    <t>First graphshown, others arent relevant</t>
  </si>
  <si>
    <t>Other Calculations</t>
  </si>
  <si>
    <t>Debt</t>
  </si>
  <si>
    <t>DA</t>
  </si>
  <si>
    <t>DEBT</t>
  </si>
  <si>
    <t>ratio</t>
  </si>
  <si>
    <t>Predicted Debt</t>
  </si>
  <si>
    <t>ESG</t>
  </si>
  <si>
    <t>Job Category</t>
  </si>
  <si>
    <t>Male</t>
  </si>
  <si>
    <t>Female</t>
  </si>
  <si>
    <t>Board</t>
  </si>
  <si>
    <t>Management</t>
  </si>
  <si>
    <t>Coordination</t>
  </si>
  <si>
    <t>Non-leadership</t>
  </si>
  <si>
    <t>Under 30</t>
  </si>
  <si>
    <t>30-50</t>
  </si>
  <si>
    <t>Over 50</t>
  </si>
  <si>
    <t>Total</t>
  </si>
  <si>
    <t>Rolling WACC</t>
  </si>
  <si>
    <t>Equity Risk Premium</t>
  </si>
  <si>
    <t>Weights</t>
  </si>
  <si>
    <t>ERP</t>
  </si>
  <si>
    <t>Equity:</t>
  </si>
  <si>
    <t>Brazil</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</si>
  <si>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</si>
  <si>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</si>
  <si>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</si>
  <si>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</si>
  <si>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</si>
  <si>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</si>
  <si>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</si>
  <si>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</si>
  <si>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</si>
  <si>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</si>
  <si>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</si>
  <si>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</si>
  <si>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</si>
  <si>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</si>
  <si>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</si>
  <si>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</si>
  <si>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</si>
  <si>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</si>
  <si>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Country/Conglomerate/... Risk Premium</t>
  </si>
  <si>
    <t>WACC</t>
  </si>
  <si>
    <t>NOPAT</t>
  </si>
  <si>
    <t>Total Payout</t>
  </si>
  <si>
    <t>Book Value of Equity</t>
  </si>
  <si>
    <t>Invested Capital</t>
  </si>
  <si>
    <t>Bloomberg Metrics&gt;</t>
  </si>
  <si>
    <t>WACC 17%</t>
  </si>
  <si>
    <t xml:space="preserve">, </t>
  </si>
  <si>
    <t>ROIC 2.04%</t>
  </si>
  <si>
    <t>Market Assumptions</t>
  </si>
  <si>
    <t>Operating Assumptions</t>
  </si>
  <si>
    <t>Income Statement</t>
  </si>
  <si>
    <t>% of growth</t>
  </si>
  <si>
    <t>Cost of Goods &amp; Services</t>
  </si>
  <si>
    <t>FCFF</t>
  </si>
  <si>
    <t>% of sales</t>
  </si>
  <si>
    <t>Revenue Growth</t>
  </si>
  <si>
    <t>COGS Depreciation &amp; Amortization</t>
  </si>
  <si>
    <t xml:space="preserve">% of cost of goods &amp; services </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</si>
  <si>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</si>
  <si>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</si>
  <si>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</si>
  <si>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</si>
  <si>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</si>
  <si>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</si>
  <si>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</si>
  <si>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</si>
  <si>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</si>
  <si>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</si>
  <si>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</si>
  <si>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</si>
  <si>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</si>
  <si>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</si>
  <si>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</si>
  <si>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</si>
  <si>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</si>
  <si>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</si>
  <si>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</si>
  <si>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</si>
  <si>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</si>
  <si>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</si>
  <si>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</si>
  <si>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</si>
  <si>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</si>
  <si>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</si>
  <si>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</si>
  <si>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</si>
  <si>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</si>
  <si>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</si>
  <si>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</si>
  <si>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</si>
  <si>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</si>
  <si>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</si>
  <si>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</si>
  <si>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</si>
  <si>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</si>
  <si>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</si>
  <si>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</si>
  <si>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</si>
  <si>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</si>
  <si>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</si>
  <si>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</si>
  <si>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</si>
  <si>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</si>
  <si>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</si>
  <si>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</si>
  <si>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</si>
  <si>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</si>
  <si>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</si>
  <si>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</si>
  <si>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</si>
  <si>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</si>
  <si>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</si>
  <si>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</si>
  <si>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</si>
  <si>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</si>
  <si>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</si>
  <si>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</si>
  <si>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</si>
  <si>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</si>
  <si>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</si>
  <si>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</si>
  <si>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</si>
  <si>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</si>
  <si>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</si>
  <si>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</si>
  <si>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</si>
  <si>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</si>
  <si>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</si>
  <si>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</si>
  <si>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</si>
  <si>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</si>
  <si>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</si>
  <si>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</si>
  <si>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</si>
  <si>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</si>
  <si>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</si>
  <si>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</si>
  <si>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</si>
  <si>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</si>
  <si>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</si>
  <si>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</si>
  <si>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</si>
  <si>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</si>
  <si>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</si>
  <si>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</si>
  <si>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</si>
  <si>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</si>
  <si>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</si>
  <si>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</si>
  <si>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</si>
  <si>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</si>
  <si>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</si>
  <si>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</si>
  <si>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</si>
  <si>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</si>
  <si>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</si>
  <si>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</si>
  <si>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</si>
  <si>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</si>
  <si>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</si>
  <si>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</si>
  <si>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</si>
  <si>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</si>
  <si>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</si>
  <si>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</si>
  <si>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</si>
  <si>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</si>
  <si>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</si>
  <si>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</si>
  <si>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</si>
  <si>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</si>
  <si>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</si>
  <si>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</si>
  <si>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</si>
  <si>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</si>
  <si>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</si>
  <si>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</si>
  <si>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</si>
  <si>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</si>
  <si>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Capex Intensity</t>
  </si>
  <si>
    <t>COGS Margin</t>
  </si>
  <si>
    <t>Historical VaR (based on actual past returns):</t>
  </si>
  <si>
    <t>SG&amp;A Margin</t>
  </si>
  <si>
    <r>
      <rPr>
        <b/>
        <sz val="11"/>
        <color rgb="FF000000"/>
        <rFont val="Arial"/>
        <family val="2"/>
      </rPr>
      <t>95% confidence:</t>
    </r>
    <r>
      <rPr>
        <sz val="11"/>
        <color rgb="FF000000"/>
        <rFont val="Arial"/>
        <family val="2"/>
      </rPr>
      <t xml:space="preserve"> On 95% of trading days, HBR stock won't lose more than 4.29% in a single day</t>
    </r>
  </si>
  <si>
    <r>
      <t>99% confidence:</t>
    </r>
    <r>
      <rPr>
        <sz val="11"/>
        <color theme="1"/>
        <rFont val="Arial"/>
        <family val="2"/>
      </rPr>
      <t xml:space="preserve"> On 99% of trading days, it won't lose more than 6.57% in a single day</t>
    </r>
  </si>
  <si>
    <t>Terminal g</t>
  </si>
  <si>
    <t>Parametric VaR (assumes normal distribution):</t>
  </si>
  <si>
    <t>EBITDA Exit</t>
  </si>
  <si>
    <r>
      <t>95% confidence:</t>
    </r>
    <r>
      <rPr>
        <sz val="11"/>
        <color theme="1"/>
        <rFont val="Arial"/>
        <family val="2"/>
      </rPr>
      <t xml:space="preserve"> Based on average volatility patterns, daily losses should stay below 4.84% on 95% of days</t>
    </r>
  </si>
  <si>
    <r>
      <t>99% confidence:</t>
    </r>
    <r>
      <rPr>
        <sz val="11"/>
        <color theme="1"/>
        <rFont val="Arial"/>
        <family val="2"/>
      </rPr>
      <t xml:space="preserve"> Daily losses should stay below 6.88% on 99% of days</t>
    </r>
  </si>
  <si>
    <t>Monte Carlo VaR (simulated future scenarios over 1 year):</t>
  </si>
  <si>
    <r>
      <t>95% confidence:</t>
    </r>
    <r>
      <rPr>
        <sz val="11"/>
        <color theme="1"/>
        <rFont val="Arial"/>
        <family val="2"/>
      </rPr>
      <t xml:space="preserve"> Over a one-year holding period, there's a 95% chance you won't lose more than 52.71%</t>
    </r>
  </si>
  <si>
    <r>
      <t>99% confidence:</t>
    </r>
    <r>
      <rPr>
        <sz val="11"/>
        <color theme="1"/>
        <rFont val="Arial"/>
        <family val="2"/>
      </rPr>
      <t xml:space="preserve"> Over a one-year holding period, there's a 99% chance you won't lose more than 66.25%</t>
    </r>
  </si>
  <si>
    <t>Revenue:</t>
  </si>
  <si>
    <t>Other income and holding activities</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</si>
  <si>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</si>
  <si>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</si>
  <si>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</si>
  <si>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</si>
  <si>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</si>
  <si>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</si>
  <si>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</si>
  <si>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</si>
  <si>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</si>
  <si>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</si>
  <si>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</si>
  <si>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</si>
  <si>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</si>
  <si>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</si>
  <si>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</si>
  <si>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</si>
  <si>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</si>
  <si>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</si>
  <si>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</si>
  <si>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Pre-tax income</t>
  </si>
  <si>
    <t>Tax &amp; net income:</t>
  </si>
  <si>
    <t>Income tax expenses (benefits)</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</si>
  <si>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</si>
  <si>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</si>
  <si>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</si>
  <si>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</si>
  <si>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</si>
  <si>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</si>
  <si>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</si>
  <si>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</si>
  <si>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</si>
  <si>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</si>
  <si>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</si>
  <si>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</si>
  <si>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</si>
  <si>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</si>
  <si>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</si>
  <si>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</si>
  <si>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</si>
  <si>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</si>
  <si>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</si>
  <si>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</si>
  <si>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</si>
  <si>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</si>
  <si>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</si>
  <si>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</si>
  <si>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</si>
  <si>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</si>
  <si>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</si>
  <si>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Intangibles excl. 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</si>
  <si>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</si>
  <si>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</si>
  <si>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</si>
  <si>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</si>
  <si>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</si>
  <si>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</si>
  <si>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</si>
  <si>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</si>
  <si>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</si>
  <si>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</si>
  <si>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</si>
  <si>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</si>
  <si>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</si>
  <si>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</si>
  <si>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</si>
  <si>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</si>
  <si>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</si>
  <si>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</si>
  <si>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</si>
  <si>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</si>
  <si>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</si>
  <si>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</si>
  <si>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</si>
  <si>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</si>
  <si>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</si>
  <si>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Net income</t>
  </si>
  <si>
    <t>Adjustments to reconcile to cash from operations:</t>
  </si>
  <si>
    <t>Stock-based compensation expense</t>
  </si>
  <si>
    <t>Other</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</si>
  <si>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</si>
  <si>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</si>
  <si>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</si>
  <si>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</si>
  <si>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</si>
  <si>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</si>
  <si>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</si>
  <si>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</si>
  <si>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</si>
  <si>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</si>
  <si>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</si>
  <si>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</si>
  <si>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</si>
  <si>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</si>
  <si>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</si>
  <si>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</si>
  <si>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</si>
  <si>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</si>
  <si>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</si>
  <si>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</si>
  <si>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</si>
  <si>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</si>
  <si>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</si>
  <si>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</si>
  <si>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</si>
  <si>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Segment 1</t>
  </si>
  <si>
    <t>Segment 2</t>
  </si>
  <si>
    <t>Segment 3</t>
  </si>
  <si>
    <t>Segment 4</t>
  </si>
  <si>
    <t>Segment 5</t>
  </si>
  <si>
    <t>t</t>
  </si>
  <si>
    <t>Income Statement - Metrics</t>
  </si>
  <si>
    <t>Balance Sheet - Metrics</t>
  </si>
  <si>
    <t>Cash Flow – Sum of the Quarters = FY</t>
  </si>
  <si>
    <t>Share-based compensation expense</t>
  </si>
  <si>
    <t>Cash Flow Statement – Metrics</t>
  </si>
  <si>
    <t>Stock Data</t>
  </si>
  <si>
    <t>Bridge</t>
  </si>
  <si>
    <t>Valuation</t>
  </si>
  <si>
    <t>Indexes</t>
  </si>
  <si>
    <t>CURRENCY</t>
  </si>
  <si>
    <t>(+) Ordinary Stock Market Capitalization</t>
  </si>
  <si>
    <t>EV / Sales</t>
  </si>
  <si>
    <t>BRAZIL IBOVESPA INDEX</t>
  </si>
  <si>
    <t>IBOV Index</t>
  </si>
  <si>
    <t>FORMAT</t>
  </si>
  <si>
    <t>K</t>
  </si>
  <si>
    <t>(+) Preferred Stock Market Capitalization</t>
  </si>
  <si>
    <t>EV / EBITDA</t>
  </si>
  <si>
    <t>BM&amp;FBOVESPA REAL ESTATE</t>
  </si>
  <si>
    <t>IMOB Index</t>
  </si>
  <si>
    <t>TICKER</t>
  </si>
  <si>
    <t>HBRE3 BZ Equity</t>
  </si>
  <si>
    <t>(+) Non-controlling Interest</t>
  </si>
  <si>
    <t>P / E</t>
  </si>
  <si>
    <t>PREFERRED TICKER</t>
  </si>
  <si>
    <t>(+) Total Debt</t>
  </si>
  <si>
    <t>P / Sales</t>
  </si>
  <si>
    <t>Peers Formatting</t>
  </si>
  <si>
    <t>Year-end</t>
  </si>
  <si>
    <t>(-) Cash &amp; Cash Equivalents &amp; Short-term Investments</t>
  </si>
  <si>
    <t>Quarter-end</t>
  </si>
  <si>
    <t>Enterprise Value</t>
  </si>
  <si>
    <t>Tier I Peers</t>
  </si>
  <si>
    <t>Tier II Peers</t>
  </si>
  <si>
    <t>Tier III Peers</t>
  </si>
  <si>
    <t>ALOS3 BZ Equity</t>
  </si>
  <si>
    <t>PTA LOG IMO RESP</t>
  </si>
  <si>
    <t>HGLG11 BZ Equity</t>
  </si>
  <si>
    <t>WHA NA Equity</t>
  </si>
  <si>
    <t>JHSF3 BZ Equity</t>
  </si>
  <si>
    <t>KINEA-RENDA IMOB</t>
  </si>
  <si>
    <t>KNRI11 BZ Equity</t>
  </si>
  <si>
    <t>CTO US Equity</t>
  </si>
  <si>
    <t>LOG COMMERCIAL P</t>
  </si>
  <si>
    <t>LOGG3 BZ Equity</t>
  </si>
  <si>
    <t>XP LOG FII</t>
  </si>
  <si>
    <t>XPLG11 BZ Equity</t>
  </si>
  <si>
    <t>FCPT US Equity</t>
  </si>
  <si>
    <t>MULT3 BZ Equity</t>
  </si>
  <si>
    <t>FII REC REND</t>
  </si>
  <si>
    <t>RECT11 BZ Equity</t>
  </si>
  <si>
    <t>SREIT MK Equity</t>
  </si>
  <si>
    <t>IGTI11 BZ Equity</t>
  </si>
  <si>
    <t>FII BTG PACTUAL</t>
  </si>
  <si>
    <t>BRCR11 BZ Equity</t>
  </si>
  <si>
    <t>TEHOL TI Equity</t>
  </si>
  <si>
    <t>HBR REALTY EMPRE vs IBOV Index</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</si>
  <si>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</si>
  <si>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</si>
  <si>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</si>
  <si>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</si>
  <si>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</si>
  <si>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</si>
  <si>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</si>
  <si>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</si>
  <si>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</si>
  <si>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</si>
  <si>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</si>
  <si>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</si>
  <si>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</si>
  <si>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</si>
  <si>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234,94</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</si>
  <si>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</si>
  <si>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</si>
  <si>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</si>
  <si>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</si>
  <si>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</si>
  <si>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</si>
  <si>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</si>
  <si>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</si>
  <si>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</si>
  <si>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</si>
  <si>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</si>
  <si>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</si>
  <si>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</si>
  <si>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</si>
  <si>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</si>
  <si>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</si>
  <si>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</si>
  <si>
    <t>Key Assumptions</t>
  </si>
  <si>
    <t>Entry</t>
  </si>
  <si>
    <t>Capital Structure</t>
  </si>
  <si>
    <t>Interest</t>
  </si>
  <si>
    <t>Weight</t>
  </si>
  <si>
    <t>Amount</t>
  </si>
  <si>
    <t>LTM EBITDA</t>
  </si>
  <si>
    <t>Revolver</t>
  </si>
  <si>
    <t>Entry Multiple</t>
  </si>
  <si>
    <t>Bank Loan</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</si>
  <si>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</si>
  <si>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</si>
  <si>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</si>
  <si>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</si>
  <si>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</si>
  <si>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</si>
  <si>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</si>
  <si>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</si>
  <si>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</si>
  <si>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</si>
  <si>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</si>
  <si>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</si>
  <si>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</si>
  <si>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</si>
  <si>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</si>
  <si>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</si>
  <si>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</si>
  <si>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</si>
  <si>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</si>
  <si>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 of cost of goods &amp; services</t>
  </si>
  <si>
    <t>Net Interest (Income) Expense</t>
  </si>
  <si>
    <t>% tax rate</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</si>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</sst>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00.00"/>
    <numFmt numFmtId="178" formatCode="yyyy\-mm\-dd;@"/>
    <numFmt numFmtId="179" formatCode="#,##0_ ;\-#,##0\ "/>
    <numFmt numFmtId="180" formatCode="[$BRL]\ #,##0_);\([$BRL]\ #,##0\)"/>
    <numFmt numFmtId="181" formatCode="#,##0.0"/>
    <numFmt numFmtId="182" formatCode="#,##0.000"/>
    <numFmt numFmtId="183" formatCode="0.000%"/>
    <numFmt numFmtId="184" formatCode="0.0000%"/>
    <numFmt numFmtId="185" formatCode="#,##0.000_);\(#,##0.000\)"/>
    <numFmt numFmtId="186" formatCode="_(* #,##0_);_(* \(#,##0\);_(* &quot;-&quot;?_);_(@_)"/>
    <numFmt numFmtId="187" formatCode="0.000"/>
    <numFmt numFmtId="188" formatCode="0.0000"/>
  </numFmts>
  <fonts count="110">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sz val="10"/>
      <color indexed="8"/>
      <name val="Arial"/>
      <family val="2"/>
    </font>
    <font>
      <sz val="11"/>
      <color indexed="8"/>
      <name val="Arial"/>
      <family val="2"/>
    </font>
    <font>
      <b/>
      <sz val="10"/>
      <color indexed="8"/>
      <name val="Arial"/>
      <family val="2"/>
    </font>
    <font>
      <sz val="11"/>
      <color theme="1" tint="0.34998626667073579"/>
      <name val="Century Gothic"/>
      <family val="2"/>
    </font>
    <font>
      <b/>
      <sz val="11"/>
      <color theme="1" tint="0.34998626667073579"/>
      <name val="Century Gothic"/>
      <family val="2"/>
    </font>
    <font>
      <sz val="11"/>
      <color rgb="FFCE9178"/>
      <name val="Consolas"/>
      <family val="3"/>
    </font>
    <font>
      <sz val="11"/>
      <color rgb="FF00B050"/>
      <name val="Century Gothic"/>
      <family val="2"/>
    </font>
    <font>
      <b/>
      <sz val="11"/>
      <color rgb="FF000000"/>
      <name val="Arial Nova"/>
      <family val="2"/>
    </font>
    <font>
      <i/>
      <sz val="11"/>
      <color rgb="FF000000"/>
      <name val="Arial"/>
      <family val="2"/>
    </font>
    <font>
      <b/>
      <sz val="14"/>
      <color theme="1"/>
      <name val="Arial Nova"/>
      <family val="2"/>
    </font>
    <font>
      <sz val="20"/>
      <color theme="1"/>
      <name val="Arial Nova"/>
      <family val="2"/>
    </font>
    <font>
      <b/>
      <sz val="14"/>
      <color theme="0"/>
      <name val="Arial"/>
      <family val="2"/>
    </font>
    <font>
      <sz val="12"/>
      <color theme="1"/>
      <name val="Arial"/>
      <family val="2"/>
    </font>
    <font>
      <b/>
      <sz val="12"/>
      <color theme="1"/>
      <name val="Arial"/>
      <family val="2"/>
    </font>
    <font>
      <b/>
      <sz val="12"/>
      <name val="Arial Nova"/>
      <family val="2"/>
    </font>
    <font>
      <b/>
      <sz val="14"/>
      <color theme="1"/>
      <name val="Arial"/>
      <family val="2"/>
    </font>
    <font>
      <b/>
      <sz val="11"/>
      <color rgb="FF000000"/>
      <name val="Arial"/>
      <family val="2"/>
    </font>
    <font>
      <b/>
      <sz val="11"/>
      <color rgb="FFFFFFFF"/>
      <name val="Arial Nova"/>
      <family val="2"/>
    </font>
    <font>
      <b/>
      <sz val="12"/>
      <color theme="0"/>
      <name val="Arial"/>
      <family val="2"/>
    </font>
    <font>
      <sz val="11"/>
      <color rgb="FF000000"/>
      <name val="Consolas"/>
      <family val="3"/>
    </font>
    <font>
      <sz val="11"/>
      <color rgb="FF242424"/>
      <name val="Consolas"/>
      <family val="3"/>
    </font>
    <font>
      <b/>
      <i/>
      <sz val="11"/>
      <name val="Arial Nova"/>
      <family val="2"/>
    </font>
    <font>
      <b/>
      <sz val="10"/>
      <color rgb="FFFFFFFF"/>
      <name val="CenturyGothic-Bold"/>
      <charset val="1"/>
    </font>
    <font>
      <b/>
      <sz val="9"/>
      <color theme="0"/>
      <name val="Arial Nova"/>
      <family val="2"/>
    </font>
    <font>
      <sz val="9"/>
      <color indexed="81"/>
      <name val="Tahoma"/>
      <charset val="1"/>
    </font>
    <font>
      <b/>
      <sz val="9"/>
      <color indexed="81"/>
      <name val="Tahoma"/>
      <charset val="1"/>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FFFFFF"/>
        <bgColor indexed="64"/>
      </patternFill>
    </fill>
    <fill>
      <patternFill patternType="solid">
        <fgColor rgb="FFD8D8D8"/>
        <bgColor indexed="64"/>
      </patternFill>
    </fill>
    <fill>
      <patternFill patternType="solid">
        <fgColor indexed="9"/>
        <bgColor indexed="64"/>
      </patternFill>
    </fill>
  </fills>
  <borders count="43">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style="thin">
        <color indexed="64"/>
      </right>
      <top/>
      <bottom/>
      <diagonal/>
    </border>
    <border>
      <left style="thin">
        <color rgb="FF000000"/>
      </left>
      <right/>
      <top/>
      <bottom/>
      <diagonal/>
    </border>
    <border>
      <left/>
      <right/>
      <top style="thin">
        <color theme="1" tint="0.249977111117893"/>
      </top>
      <bottom style="thin">
        <color theme="1" tint="0.249977111117893"/>
      </bottom>
      <diagonal/>
    </border>
    <border>
      <left style="thin">
        <color indexed="64"/>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medium">
        <color rgb="FF000000"/>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7">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xf numFmtId="181" fontId="84" fillId="16" borderId="29">
      <alignment horizontal="right"/>
    </xf>
    <xf numFmtId="181" fontId="84" fillId="17" borderId="29">
      <alignment horizontal="right"/>
    </xf>
    <xf numFmtId="181" fontId="86" fillId="16" borderId="29">
      <alignment horizontal="right"/>
    </xf>
  </cellStyleXfs>
  <cellXfs count="966">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37" fontId="38" fillId="0" borderId="0" xfId="1"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7" fillId="0" borderId="0" xfId="0" applyNumberFormat="1" applyFont="1" applyProtection="1">
      <protection locked="0"/>
    </xf>
    <xf numFmtId="175" fontId="27" fillId="0" borderId="0" xfId="0" applyNumberFormat="1" applyFont="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168" fontId="25" fillId="0" borderId="0" xfId="2"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6"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7" fillId="11" borderId="7" xfId="2" applyNumberFormat="1" applyFont="1" applyFill="1" applyBorder="1" applyAlignment="1">
      <alignment horizontal="center"/>
    </xf>
    <xf numFmtId="0" fontId="57"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8" fillId="0" borderId="0" xfId="1" applyNumberFormat="1" applyFont="1"/>
    <xf numFmtId="0" fontId="59" fillId="0" borderId="0" xfId="0" applyFont="1"/>
    <xf numFmtId="0" fontId="58"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60" fillId="0" borderId="0" xfId="2" applyNumberFormat="1" applyFont="1"/>
    <xf numFmtId="0" fontId="61"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2"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0" fontId="33" fillId="11" borderId="7" xfId="0" applyFont="1" applyFill="1" applyBorder="1" applyProtection="1">
      <protection locked="0"/>
    </xf>
    <xf numFmtId="0" fontId="33" fillId="11" borderId="17" xfId="0" applyFont="1" applyFill="1" applyBorder="1"/>
    <xf numFmtId="37" fontId="33" fillId="11" borderId="7" xfId="0" applyNumberFormat="1" applyFont="1" applyFill="1" applyBorder="1" applyProtection="1">
      <protection locked="0"/>
    </xf>
    <xf numFmtId="37" fontId="33" fillId="11" borderId="7" xfId="0" applyNumberFormat="1" applyFont="1" applyFill="1" applyBorder="1"/>
    <xf numFmtId="0" fontId="33" fillId="11" borderId="17" xfId="0"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37" fontId="34" fillId="3" borderId="0" xfId="2" applyNumberFormat="1" applyFont="1" applyFill="1"/>
    <xf numFmtId="168" fontId="25" fillId="0" borderId="0" xfId="2" applyNumberFormat="1" applyFont="1"/>
    <xf numFmtId="10" fontId="28" fillId="0" borderId="0" xfId="0" applyNumberFormat="1" applyFont="1"/>
    <xf numFmtId="0" fontId="28" fillId="0" borderId="0" xfId="0" applyFont="1" applyAlignment="1">
      <alignment vertical="top" wrapText="1"/>
    </xf>
    <xf numFmtId="0" fontId="51" fillId="0" borderId="0" xfId="3" applyFont="1" applyAlignment="1">
      <alignment horizontal="left" indent="1"/>
    </xf>
    <xf numFmtId="0" fontId="66" fillId="0" borderId="0" xfId="3" applyFont="1" applyAlignment="1">
      <alignment horizontal="left" indent="1"/>
    </xf>
    <xf numFmtId="0" fontId="64" fillId="0" borderId="0" xfId="3" applyFont="1" applyBorder="1" applyAlignment="1">
      <alignment horizontal="right"/>
    </xf>
    <xf numFmtId="170" fontId="8" fillId="0" borderId="0" xfId="0" applyNumberFormat="1" applyFont="1"/>
    <xf numFmtId="0" fontId="69"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8" fillId="0" borderId="0" xfId="0" applyFont="1"/>
    <xf numFmtId="0" fontId="55" fillId="2" borderId="0" xfId="0" applyFont="1" applyFill="1" applyAlignment="1">
      <alignment horizontal="left"/>
    </xf>
    <xf numFmtId="0" fontId="70" fillId="10" borderId="0" xfId="0" applyFont="1" applyFill="1"/>
    <xf numFmtId="0" fontId="71" fillId="0" borderId="0" xfId="0" applyFont="1"/>
    <xf numFmtId="0" fontId="70" fillId="0" borderId="0" xfId="0" applyFont="1"/>
    <xf numFmtId="0" fontId="72"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6" fillId="0" borderId="0" xfId="3" applyFont="1" applyAlignment="1">
      <alignment horizontal="left" vertical="top" indent="1"/>
    </xf>
    <xf numFmtId="0" fontId="8" fillId="13"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4" borderId="0" xfId="0" applyFont="1" applyFill="1"/>
    <xf numFmtId="9" fontId="28" fillId="0" borderId="0" xfId="2" applyFont="1" applyAlignment="1">
      <alignment horizontal="center"/>
    </xf>
    <xf numFmtId="173" fontId="28" fillId="0" borderId="0" xfId="2" applyNumberFormat="1" applyFont="1" applyAlignment="1">
      <alignment horizontal="center"/>
    </xf>
    <xf numFmtId="176" fontId="28" fillId="0" borderId="0" xfId="2" applyNumberFormat="1" applyFont="1" applyAlignment="1">
      <alignment horizontal="center"/>
    </xf>
    <xf numFmtId="9" fontId="8" fillId="0" borderId="0" xfId="2" applyFont="1"/>
    <xf numFmtId="2" fontId="80" fillId="0" borderId="0" xfId="0" applyNumberFormat="1" applyFont="1"/>
    <xf numFmtId="168" fontId="80" fillId="0" borderId="0" xfId="2" applyNumberFormat="1" applyFont="1"/>
    <xf numFmtId="0" fontId="80" fillId="0" borderId="0" xfId="0" applyFont="1"/>
    <xf numFmtId="3" fontId="80" fillId="0" borderId="0" xfId="0" applyNumberFormat="1" applyFont="1"/>
    <xf numFmtId="0" fontId="81" fillId="0" borderId="0" xfId="0" applyFont="1" applyAlignment="1">
      <alignment horizontal="right"/>
    </xf>
    <xf numFmtId="0" fontId="37" fillId="14" borderId="0" xfId="0" applyFont="1" applyFill="1"/>
    <xf numFmtId="177" fontId="28" fillId="0" borderId="0" xfId="2" applyNumberFormat="1" applyFont="1" applyAlignment="1">
      <alignment horizontal="center"/>
    </xf>
    <xf numFmtId="0" fontId="43" fillId="14" borderId="0" xfId="5" applyFont="1" applyFill="1" applyAlignment="1">
      <alignment vertical="center"/>
    </xf>
    <xf numFmtId="0" fontId="27" fillId="14" borderId="0" xfId="5" applyFont="1" applyFill="1" applyAlignment="1">
      <alignment vertical="center"/>
    </xf>
    <xf numFmtId="0" fontId="28" fillId="10" borderId="0" xfId="0" applyFont="1" applyFill="1" applyAlignment="1">
      <alignment horizontal="left" indent="1"/>
    </xf>
    <xf numFmtId="0" fontId="37" fillId="14" borderId="0" xfId="0" applyFont="1" applyFill="1" applyAlignment="1">
      <alignment horizontal="left"/>
    </xf>
    <xf numFmtId="0" fontId="67" fillId="14"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3"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8" fontId="8" fillId="10" borderId="0" xfId="0" applyNumberFormat="1" applyFont="1" applyFill="1"/>
    <xf numFmtId="178"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5"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179" fontId="23" fillId="9" borderId="4" xfId="2" applyNumberFormat="1" applyFont="1" applyFill="1" applyBorder="1" applyProtection="1">
      <protection locked="0"/>
    </xf>
    <xf numFmtId="0" fontId="82"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9" fontId="28" fillId="0" borderId="0" xfId="0" applyNumberFormat="1" applyFont="1"/>
    <xf numFmtId="0" fontId="28" fillId="15" borderId="7" xfId="0" applyFont="1" applyFill="1" applyBorder="1"/>
    <xf numFmtId="10" fontId="34" fillId="15" borderId="7" xfId="2" applyNumberFormat="1" applyFont="1" applyFill="1" applyBorder="1"/>
    <xf numFmtId="10" fontId="34" fillId="15" borderId="17" xfId="2" applyNumberFormat="1" applyFont="1" applyFill="1" applyBorder="1"/>
    <xf numFmtId="0" fontId="28" fillId="0" borderId="12" xfId="0" applyFont="1" applyBorder="1"/>
    <xf numFmtId="172" fontId="26" fillId="9" borderId="18" xfId="0" applyNumberFormat="1" applyFont="1" applyFill="1" applyBorder="1"/>
    <xf numFmtId="172" fontId="26" fillId="9" borderId="4" xfId="0" applyNumberFormat="1" applyFont="1" applyFill="1" applyBorder="1"/>
    <xf numFmtId="168" fontId="26" fillId="9" borderId="4" xfId="2" applyNumberFormat="1" applyFont="1" applyFill="1" applyBorder="1"/>
    <xf numFmtId="9" fontId="26" fillId="9" borderId="4" xfId="2" applyFont="1" applyFill="1" applyBorder="1"/>
    <xf numFmtId="0" fontId="7" fillId="0" borderId="0" xfId="3" applyAlignment="1">
      <alignment horizontal="left" vertical="top" indent="1"/>
    </xf>
    <xf numFmtId="180" fontId="80" fillId="0" borderId="0" xfId="0" applyNumberFormat="1" applyFont="1"/>
    <xf numFmtId="182" fontId="85" fillId="16" borderId="0" xfId="14" applyNumberFormat="1" applyFont="1" applyBorder="1">
      <alignment horizontal="right"/>
    </xf>
    <xf numFmtId="181" fontId="85" fillId="16" borderId="0" xfId="16" applyFont="1" applyBorder="1">
      <alignment horizontal="right"/>
    </xf>
    <xf numFmtId="183" fontId="24" fillId="3" borderId="0" xfId="2" applyNumberFormat="1" applyFont="1" applyFill="1" applyProtection="1">
      <protection locked="0"/>
    </xf>
    <xf numFmtId="184" fontId="24" fillId="3" borderId="0" xfId="2" applyNumberFormat="1" applyFont="1" applyFill="1" applyProtection="1">
      <protection locked="0"/>
    </xf>
    <xf numFmtId="184" fontId="24" fillId="0" borderId="0" xfId="2" applyNumberFormat="1" applyFont="1" applyProtection="1">
      <protection locked="0"/>
    </xf>
    <xf numFmtId="184" fontId="27" fillId="0" borderId="0" xfId="0" applyNumberFormat="1" applyFont="1"/>
    <xf numFmtId="184" fontId="27" fillId="0" borderId="0" xfId="1" applyNumberFormat="1" applyFont="1" applyFill="1" applyBorder="1" applyProtection="1"/>
    <xf numFmtId="185" fontId="24" fillId="3" borderId="0" xfId="0" applyNumberFormat="1" applyFont="1" applyFill="1" applyProtection="1">
      <protection locked="0"/>
    </xf>
    <xf numFmtId="184" fontId="28" fillId="0" borderId="0" xfId="0" applyNumberFormat="1" applyFont="1"/>
    <xf numFmtId="184" fontId="28" fillId="0" borderId="3" xfId="0" applyNumberFormat="1" applyFont="1" applyBorder="1"/>
    <xf numFmtId="184" fontId="28" fillId="0" borderId="0" xfId="2" applyNumberFormat="1" applyFont="1" applyProtection="1">
      <protection locked="0"/>
    </xf>
    <xf numFmtId="184" fontId="39" fillId="0" borderId="0" xfId="1" applyNumberFormat="1" applyFont="1" applyFill="1" applyBorder="1" applyProtection="1"/>
    <xf numFmtId="184" fontId="27" fillId="0" borderId="0" xfId="0" applyNumberFormat="1" applyFont="1" applyProtection="1">
      <protection locked="0"/>
    </xf>
    <xf numFmtId="37" fontId="27" fillId="3" borderId="0" xfId="2" applyNumberFormat="1" applyFont="1" applyFill="1" applyBorder="1" applyAlignment="1" applyProtection="1">
      <alignment wrapText="1"/>
      <protection locked="0"/>
    </xf>
    <xf numFmtId="0" fontId="16" fillId="4" borderId="0" xfId="0" applyFont="1" applyFill="1" applyAlignment="1" applyProtection="1">
      <alignment horizontal="left" indent="1"/>
      <protection locked="0"/>
    </xf>
    <xf numFmtId="0" fontId="16" fillId="4" borderId="0" xfId="0" applyFont="1" applyFill="1" applyProtection="1">
      <protection locked="0"/>
    </xf>
    <xf numFmtId="0" fontId="15" fillId="4" borderId="0" xfId="0" applyFont="1" applyFill="1" applyProtection="1">
      <protection locked="0"/>
    </xf>
    <xf numFmtId="3" fontId="27" fillId="4" borderId="0" xfId="0" applyNumberFormat="1" applyFont="1" applyFill="1" applyProtection="1">
      <protection locked="0"/>
    </xf>
    <xf numFmtId="182" fontId="85" fillId="4" borderId="0" xfId="15" applyNumberFormat="1" applyFont="1" applyFill="1" applyBorder="1">
      <alignment horizontal="right"/>
    </xf>
    <xf numFmtId="37" fontId="27" fillId="4" borderId="0" xfId="0" applyNumberFormat="1" applyFont="1" applyFill="1"/>
    <xf numFmtId="182" fontId="85" fillId="4" borderId="0" xfId="14" applyNumberFormat="1" applyFont="1" applyFill="1" applyBorder="1">
      <alignment horizontal="right"/>
    </xf>
    <xf numFmtId="37" fontId="27" fillId="4" borderId="0" xfId="0" applyNumberFormat="1" applyFont="1" applyFill="1" applyProtection="1">
      <protection locked="0"/>
    </xf>
    <xf numFmtId="37" fontId="27" fillId="4" borderId="5" xfId="1" applyNumberFormat="1" applyFont="1" applyFill="1" applyBorder="1" applyProtection="1"/>
    <xf numFmtId="37" fontId="27" fillId="4" borderId="5" xfId="0" applyNumberFormat="1" applyFont="1" applyFill="1" applyBorder="1" applyProtection="1">
      <protection locked="0"/>
    </xf>
    <xf numFmtId="37" fontId="27" fillId="4" borderId="5" xfId="2" applyNumberFormat="1" applyFont="1" applyFill="1" applyBorder="1" applyProtection="1"/>
    <xf numFmtId="37" fontId="58" fillId="3" borderId="0" xfId="0" applyNumberFormat="1" applyFont="1" applyFill="1" applyProtection="1">
      <protection locked="0"/>
    </xf>
    <xf numFmtId="186" fontId="87" fillId="0" borderId="0" xfId="0" applyNumberFormat="1" applyFont="1" applyAlignment="1">
      <alignment horizontal="right"/>
    </xf>
    <xf numFmtId="186" fontId="87" fillId="18" borderId="0" xfId="0" applyNumberFormat="1" applyFont="1" applyFill="1" applyAlignment="1">
      <alignment horizontal="right"/>
    </xf>
    <xf numFmtId="37" fontId="27" fillId="4" borderId="0" xfId="2" applyNumberFormat="1" applyFont="1" applyFill="1" applyBorder="1" applyProtection="1">
      <protection locked="0"/>
    </xf>
    <xf numFmtId="186" fontId="88" fillId="18" borderId="31" xfId="0" applyNumberFormat="1" applyFont="1" applyFill="1" applyBorder="1" applyAlignment="1">
      <alignment horizontal="right"/>
    </xf>
    <xf numFmtId="186" fontId="88" fillId="0" borderId="31" xfId="0" applyNumberFormat="1" applyFont="1" applyBorder="1" applyAlignment="1">
      <alignment horizontal="right"/>
    </xf>
    <xf numFmtId="181" fontId="15" fillId="0" borderId="0" xfId="0" applyNumberFormat="1" applyFont="1" applyProtection="1">
      <protection locked="0"/>
    </xf>
    <xf numFmtId="181" fontId="86" fillId="16" borderId="29" xfId="16">
      <alignment horizontal="right"/>
    </xf>
    <xf numFmtId="181" fontId="84" fillId="16" borderId="29" xfId="14">
      <alignment horizontal="right"/>
    </xf>
    <xf numFmtId="0" fontId="89" fillId="0" borderId="0" xfId="0" applyFont="1" applyAlignment="1">
      <alignment vertical="center"/>
    </xf>
    <xf numFmtId="186" fontId="58" fillId="3" borderId="0" xfId="0" applyNumberFormat="1" applyFont="1" applyFill="1" applyAlignment="1">
      <alignment horizontal="right"/>
    </xf>
    <xf numFmtId="37" fontId="58" fillId="0" borderId="0" xfId="0" applyNumberFormat="1" applyFont="1" applyProtection="1">
      <protection locked="0"/>
    </xf>
    <xf numFmtId="37" fontId="58" fillId="0" borderId="0" xfId="0" applyNumberFormat="1" applyFont="1"/>
    <xf numFmtId="37" fontId="58" fillId="0" borderId="0" xfId="1" applyNumberFormat="1" applyFont="1" applyFill="1" applyProtection="1"/>
    <xf numFmtId="37" fontId="58" fillId="0" borderId="3" xfId="1" applyNumberFormat="1" applyFont="1" applyFill="1" applyBorder="1" applyProtection="1"/>
    <xf numFmtId="186" fontId="90" fillId="0" borderId="0" xfId="0" applyNumberFormat="1" applyFont="1"/>
    <xf numFmtId="186" fontId="90" fillId="3" borderId="0" xfId="0" applyNumberFormat="1" applyFont="1" applyFill="1"/>
    <xf numFmtId="186" fontId="90" fillId="4" borderId="0" xfId="0" applyNumberFormat="1" applyFont="1" applyFill="1"/>
    <xf numFmtId="37" fontId="39" fillId="4" borderId="0" xfId="1" applyNumberFormat="1" applyFont="1" applyFill="1" applyProtection="1">
      <protection locked="0"/>
    </xf>
    <xf numFmtId="37" fontId="39" fillId="3" borderId="3" xfId="1" applyNumberFormat="1" applyFont="1" applyFill="1" applyBorder="1" applyProtection="1"/>
    <xf numFmtId="186" fontId="90" fillId="3" borderId="0" xfId="0" applyNumberFormat="1" applyFont="1" applyFill="1" applyAlignment="1">
      <alignment vertical="center"/>
    </xf>
    <xf numFmtId="37" fontId="39" fillId="4" borderId="9" xfId="2" applyNumberFormat="1" applyFont="1" applyFill="1" applyBorder="1" applyProtection="1">
      <protection locked="0"/>
    </xf>
    <xf numFmtId="37" fontId="27" fillId="0" borderId="0" xfId="1" applyNumberFormat="1" applyFont="1" applyProtection="1">
      <protection locked="0"/>
    </xf>
    <xf numFmtId="10" fontId="25" fillId="3" borderId="0" xfId="2" applyNumberFormat="1" applyFont="1" applyFill="1"/>
    <xf numFmtId="9" fontId="0" fillId="0" borderId="0" xfId="2" applyFont="1"/>
    <xf numFmtId="9" fontId="0" fillId="0" borderId="0" xfId="0" applyNumberFormat="1"/>
    <xf numFmtId="181" fontId="84" fillId="16" borderId="0" xfId="14" applyBorder="1">
      <alignment horizontal="right"/>
    </xf>
    <xf numFmtId="0" fontId="0" fillId="0" borderId="0" xfId="2" applyNumberFormat="1" applyFont="1"/>
    <xf numFmtId="0" fontId="23" fillId="9" borderId="4" xfId="2" applyNumberFormat="1" applyFont="1" applyFill="1" applyBorder="1" applyProtection="1">
      <protection locked="0"/>
    </xf>
    <xf numFmtId="0" fontId="34" fillId="0" borderId="1" xfId="0" applyFont="1" applyBorder="1"/>
    <xf numFmtId="0" fontId="28" fillId="0" borderId="1" xfId="0" applyFont="1" applyBorder="1" applyAlignment="1">
      <alignment horizontal="right"/>
    </xf>
    <xf numFmtId="168" fontId="28" fillId="0" borderId="1" xfId="2" applyNumberFormat="1" applyFont="1" applyBorder="1"/>
    <xf numFmtId="37" fontId="28" fillId="0" borderId="1" xfId="1" applyNumberFormat="1" applyFont="1" applyBorder="1" applyAlignment="1">
      <alignment horizontal="right" wrapText="1"/>
    </xf>
    <xf numFmtId="172" fontId="28" fillId="0" borderId="1" xfId="1" applyNumberFormat="1" applyFont="1" applyBorder="1" applyAlignment="1">
      <alignment horizontal="right"/>
    </xf>
    <xf numFmtId="172" fontId="28" fillId="0" borderId="26" xfId="1" applyNumberFormat="1" applyFont="1" applyBorder="1" applyAlignment="1">
      <alignment horizontal="right"/>
    </xf>
    <xf numFmtId="9" fontId="28" fillId="0" borderId="1" xfId="2" applyFont="1" applyBorder="1"/>
    <xf numFmtId="0" fontId="25" fillId="0" borderId="0" xfId="2" applyNumberFormat="1" applyFont="1" applyProtection="1">
      <protection locked="0"/>
    </xf>
    <xf numFmtId="0" fontId="28" fillId="0" borderId="0" xfId="2" applyNumberFormat="1" applyFont="1"/>
    <xf numFmtId="0" fontId="28" fillId="0" borderId="0" xfId="2" applyNumberFormat="1" applyFont="1" applyProtection="1">
      <protection locked="0"/>
    </xf>
    <xf numFmtId="37" fontId="0" fillId="0" borderId="0" xfId="0" applyNumberFormat="1"/>
    <xf numFmtId="9" fontId="27" fillId="0" borderId="0" xfId="2" applyFont="1" applyProtection="1">
      <protection locked="0"/>
    </xf>
    <xf numFmtId="9" fontId="39" fillId="3" borderId="0" xfId="2" applyFont="1" applyFill="1" applyProtection="1">
      <protection locked="0"/>
    </xf>
    <xf numFmtId="3" fontId="0" fillId="0" borderId="0" xfId="0" applyNumberFormat="1"/>
    <xf numFmtId="3" fontId="85" fillId="4" borderId="0" xfId="15" applyNumberFormat="1" applyFont="1" applyFill="1" applyBorder="1">
      <alignment horizontal="right"/>
    </xf>
    <xf numFmtId="3" fontId="27" fillId="4" borderId="0" xfId="0" applyNumberFormat="1" applyFont="1" applyFill="1"/>
    <xf numFmtId="3" fontId="85" fillId="4" borderId="0" xfId="14" applyNumberFormat="1" applyFont="1" applyFill="1" applyBorder="1">
      <alignment horizontal="right"/>
    </xf>
    <xf numFmtId="3" fontId="27" fillId="18" borderId="0" xfId="0" applyNumberFormat="1" applyFont="1" applyFill="1"/>
    <xf numFmtId="3" fontId="85" fillId="16" borderId="0" xfId="14" applyNumberFormat="1" applyFont="1" applyBorder="1">
      <alignment horizontal="right"/>
    </xf>
    <xf numFmtId="3" fontId="87" fillId="18" borderId="0" xfId="0" applyNumberFormat="1" applyFont="1" applyFill="1"/>
    <xf numFmtId="3" fontId="27" fillId="4" borderId="1" xfId="0" applyNumberFormat="1" applyFont="1" applyFill="1" applyBorder="1" applyProtection="1">
      <protection locked="0"/>
    </xf>
    <xf numFmtId="3" fontId="27" fillId="4" borderId="0" xfId="2" applyNumberFormat="1" applyFont="1" applyFill="1" applyBorder="1" applyProtection="1"/>
    <xf numFmtId="3" fontId="27" fillId="4" borderId="5" xfId="2" applyNumberFormat="1" applyFont="1" applyFill="1" applyBorder="1" applyProtection="1"/>
    <xf numFmtId="3" fontId="58" fillId="3" borderId="0" xfId="14" applyNumberFormat="1" applyFont="1" applyFill="1" applyBorder="1">
      <alignment horizontal="right"/>
    </xf>
    <xf numFmtId="3" fontId="27" fillId="3" borderId="0" xfId="0" applyNumberFormat="1" applyFont="1" applyFill="1" applyProtection="1">
      <protection locked="0"/>
    </xf>
    <xf numFmtId="3" fontId="27" fillId="4" borderId="0" xfId="1" applyNumberFormat="1" applyFont="1" applyFill="1" applyProtection="1"/>
    <xf numFmtId="3" fontId="27" fillId="4" borderId="5" xfId="1" applyNumberFormat="1" applyFont="1" applyFill="1" applyBorder="1" applyProtection="1"/>
    <xf numFmtId="3" fontId="58" fillId="3" borderId="0" xfId="0" applyNumberFormat="1" applyFont="1" applyFill="1" applyProtection="1">
      <protection locked="0"/>
    </xf>
    <xf numFmtId="3" fontId="27" fillId="4" borderId="0" xfId="2" applyNumberFormat="1" applyFont="1" applyFill="1" applyProtection="1"/>
    <xf numFmtId="3" fontId="27" fillId="4" borderId="0" xfId="1" applyNumberFormat="1" applyFont="1" applyFill="1" applyBorder="1" applyProtection="1"/>
    <xf numFmtId="3" fontId="58" fillId="3" borderId="30" xfId="0" applyNumberFormat="1" applyFont="1" applyFill="1" applyBorder="1"/>
    <xf numFmtId="3" fontId="58" fillId="3" borderId="0" xfId="0" applyNumberFormat="1" applyFont="1" applyFill="1"/>
    <xf numFmtId="3" fontId="27" fillId="3" borderId="30" xfId="0" applyNumberFormat="1" applyFont="1" applyFill="1" applyBorder="1" applyProtection="1">
      <protection locked="0"/>
    </xf>
    <xf numFmtId="3" fontId="58" fillId="3" borderId="30" xfId="14" applyNumberFormat="1" applyFont="1" applyFill="1" applyBorder="1">
      <alignment horizontal="right"/>
    </xf>
    <xf numFmtId="3" fontId="27" fillId="0" borderId="0" xfId="0" applyNumberFormat="1" applyFont="1"/>
    <xf numFmtId="3" fontId="27" fillId="0" borderId="0" xfId="1" applyNumberFormat="1" applyFont="1" applyFill="1" applyProtection="1"/>
    <xf numFmtId="3" fontId="27" fillId="0" borderId="0" xfId="1" applyNumberFormat="1" applyFont="1" applyFill="1" applyBorder="1" applyProtection="1"/>
    <xf numFmtId="3" fontId="58" fillId="3" borderId="30" xfId="0" applyNumberFormat="1" applyFont="1" applyFill="1" applyBorder="1" applyProtection="1">
      <protection locked="0"/>
    </xf>
    <xf numFmtId="3" fontId="27" fillId="0" borderId="3" xfId="1" applyNumberFormat="1" applyFont="1" applyFill="1" applyBorder="1" applyProtection="1"/>
    <xf numFmtId="3" fontId="27" fillId="0" borderId="0" xfId="2" applyNumberFormat="1" applyFont="1" applyFill="1" applyProtection="1"/>
    <xf numFmtId="3" fontId="27" fillId="0" borderId="3" xfId="2" applyNumberFormat="1" applyFont="1" applyFill="1" applyBorder="1" applyProtection="1"/>
    <xf numFmtId="3" fontId="27" fillId="0" borderId="1" xfId="0" applyNumberFormat="1" applyFont="1" applyBorder="1" applyProtection="1">
      <protection locked="0"/>
    </xf>
    <xf numFmtId="3" fontId="27" fillId="0" borderId="7" xfId="0" applyNumberFormat="1" applyFont="1" applyBorder="1" applyProtection="1">
      <protection locked="0"/>
    </xf>
    <xf numFmtId="3" fontId="27" fillId="0" borderId="0" xfId="2" applyNumberFormat="1" applyFont="1" applyFill="1" applyBorder="1" applyProtection="1"/>
    <xf numFmtId="3" fontId="27" fillId="0" borderId="23" xfId="0" applyNumberFormat="1" applyFont="1" applyBorder="1" applyProtection="1">
      <protection locked="0"/>
    </xf>
    <xf numFmtId="3" fontId="28" fillId="0" borderId="0" xfId="0" applyNumberFormat="1" applyFont="1" applyProtection="1">
      <protection locked="0"/>
    </xf>
    <xf numFmtId="3" fontId="27" fillId="0" borderId="3" xfId="0" applyNumberFormat="1" applyFont="1" applyBorder="1"/>
    <xf numFmtId="3" fontId="88" fillId="0" borderId="0" xfId="0" applyNumberFormat="1" applyFont="1"/>
    <xf numFmtId="3" fontId="27" fillId="0" borderId="0" xfId="1" applyNumberFormat="1" applyFont="1" applyFill="1" applyProtection="1">
      <protection locked="0"/>
    </xf>
    <xf numFmtId="10" fontId="28" fillId="0" borderId="0" xfId="2" applyNumberFormat="1" applyFont="1" applyAlignment="1">
      <alignment horizontal="center"/>
    </xf>
    <xf numFmtId="183" fontId="24" fillId="0" borderId="0" xfId="2" applyNumberFormat="1" applyFont="1" applyProtection="1">
      <protection locked="0"/>
    </xf>
    <xf numFmtId="183" fontId="28" fillId="0" borderId="0" xfId="0" applyNumberFormat="1" applyFont="1" applyProtection="1">
      <protection locked="0"/>
    </xf>
    <xf numFmtId="183" fontId="23" fillId="9" borderId="4" xfId="2" applyNumberFormat="1" applyFont="1" applyFill="1" applyBorder="1" applyProtection="1">
      <protection locked="0"/>
    </xf>
    <xf numFmtId="183" fontId="24" fillId="0" borderId="0" xfId="2" applyNumberFormat="1" applyFont="1" applyFill="1" applyBorder="1" applyProtection="1">
      <protection locked="0"/>
    </xf>
    <xf numFmtId="183" fontId="28" fillId="0" borderId="0" xfId="0" applyNumberFormat="1" applyFont="1"/>
    <xf numFmtId="168" fontId="27" fillId="3" borderId="0" xfId="2" applyNumberFormat="1" applyFont="1" applyFill="1" applyProtection="1">
      <protection locked="0"/>
    </xf>
    <xf numFmtId="0" fontId="34" fillId="0" borderId="0" xfId="0" applyFont="1" applyAlignment="1">
      <alignment horizontal="center" vertical="top" wrapText="1"/>
    </xf>
    <xf numFmtId="0" fontId="28" fillId="0" borderId="0" xfId="0" applyFont="1" applyAlignment="1" applyProtection="1">
      <alignment vertical="top"/>
      <protection locked="0"/>
    </xf>
    <xf numFmtId="0" fontId="34" fillId="0" borderId="0" xfId="0" applyFont="1" applyAlignment="1" applyProtection="1">
      <alignment vertical="top"/>
      <protection locked="0"/>
    </xf>
    <xf numFmtId="0" fontId="28" fillId="0" borderId="0" xfId="0" applyFont="1" applyAlignment="1" applyProtection="1">
      <alignment horizontal="center" vertical="top"/>
      <protection locked="0"/>
    </xf>
    <xf numFmtId="0" fontId="34" fillId="0" borderId="0" xfId="0" applyFont="1" applyAlignment="1" applyProtection="1">
      <alignment horizontal="center" vertical="top"/>
      <protection locked="0"/>
    </xf>
    <xf numFmtId="0" fontId="28" fillId="0" borderId="0" xfId="0" applyFont="1" applyAlignment="1">
      <alignment vertical="top"/>
    </xf>
    <xf numFmtId="0" fontId="28" fillId="0" borderId="0" xfId="0" applyFont="1" applyAlignment="1">
      <alignment horizontal="left" vertical="center" wrapText="1"/>
    </xf>
    <xf numFmtId="9" fontId="27" fillId="3" borderId="0" xfId="0" applyNumberFormat="1" applyFont="1" applyFill="1" applyProtection="1">
      <protection locked="0"/>
    </xf>
    <xf numFmtId="175" fontId="3" fillId="0" borderId="0" xfId="0" applyNumberFormat="1" applyFont="1"/>
    <xf numFmtId="37" fontId="27" fillId="3" borderId="3" xfId="0" applyNumberFormat="1" applyFont="1" applyFill="1" applyBorder="1" applyProtection="1">
      <protection locked="0"/>
    </xf>
    <xf numFmtId="9" fontId="28" fillId="0" borderId="0" xfId="2" applyFont="1" applyProtection="1">
      <protection locked="0"/>
    </xf>
    <xf numFmtId="187" fontId="27" fillId="0" borderId="0" xfId="0" applyNumberFormat="1" applyFont="1" applyProtection="1">
      <protection locked="0"/>
    </xf>
    <xf numFmtId="168" fontId="34" fillId="0" borderId="0" xfId="0" applyNumberFormat="1" applyFont="1" applyProtection="1">
      <protection locked="0"/>
    </xf>
    <xf numFmtId="170" fontId="0" fillId="0" borderId="0" xfId="0" applyNumberFormat="1"/>
    <xf numFmtId="167" fontId="0" fillId="0" borderId="0" xfId="1" applyFont="1"/>
    <xf numFmtId="0" fontId="0" fillId="0" borderId="0" xfId="0" applyAlignment="1">
      <alignment wrapText="1"/>
    </xf>
    <xf numFmtId="39" fontId="34" fillId="3" borderId="0" xfId="2" applyNumberFormat="1" applyFont="1" applyFill="1"/>
    <xf numFmtId="0" fontId="60" fillId="0" borderId="0" xfId="0" applyFont="1" applyAlignment="1">
      <alignment horizontal="left" indent="2"/>
    </xf>
    <xf numFmtId="0" fontId="91" fillId="0" borderId="0" xfId="0" applyFont="1" applyAlignment="1">
      <alignment horizontal="left" wrapText="1" indent="1"/>
    </xf>
    <xf numFmtId="0" fontId="62" fillId="0" borderId="0" xfId="0" applyFont="1" applyAlignment="1">
      <alignment horizontal="left" wrapText="1" indent="1"/>
    </xf>
    <xf numFmtId="0" fontId="25" fillId="3" borderId="0" xfId="2" applyNumberFormat="1" applyFont="1" applyFill="1"/>
    <xf numFmtId="2" fontId="25" fillId="3" borderId="0" xfId="2" applyNumberFormat="1" applyFont="1" applyFill="1"/>
    <xf numFmtId="0" fontId="62" fillId="0" borderId="0" xfId="0" applyFont="1" applyAlignment="1">
      <alignment horizontal="left" wrapText="1" indent="2"/>
    </xf>
    <xf numFmtId="10" fontId="34" fillId="3" borderId="0" xfId="2" applyNumberFormat="1" applyFont="1" applyFill="1"/>
    <xf numFmtId="0" fontId="27" fillId="3" borderId="0" xfId="2" applyNumberFormat="1" applyFont="1" applyFill="1" applyProtection="1">
      <protection locked="0"/>
    </xf>
    <xf numFmtId="0" fontId="0" fillId="2" borderId="0" xfId="0" applyFill="1"/>
    <xf numFmtId="0" fontId="95" fillId="2" borderId="0" xfId="0" applyFont="1" applyFill="1"/>
    <xf numFmtId="0" fontId="96" fillId="0" borderId="0" xfId="0" applyFont="1"/>
    <xf numFmtId="0" fontId="97" fillId="0" borderId="0" xfId="0" applyFont="1"/>
    <xf numFmtId="0" fontId="27" fillId="0" borderId="0" xfId="2" applyNumberFormat="1" applyFont="1" applyFill="1" applyBorder="1" applyProtection="1">
      <protection locked="0"/>
    </xf>
    <xf numFmtId="9" fontId="27" fillId="0" borderId="0" xfId="2" applyFont="1" applyFill="1" applyBorder="1" applyProtection="1">
      <protection locked="0"/>
    </xf>
    <xf numFmtId="168" fontId="27" fillId="0" borderId="0" xfId="2" applyNumberFormat="1" applyFont="1" applyFill="1" applyBorder="1" applyProtection="1">
      <protection locked="0"/>
    </xf>
    <xf numFmtId="37" fontId="27" fillId="0" borderId="33" xfId="2" applyNumberFormat="1" applyFont="1" applyFill="1" applyBorder="1" applyProtection="1">
      <protection locked="0"/>
    </xf>
    <xf numFmtId="188" fontId="27" fillId="0" borderId="33" xfId="2" applyNumberFormat="1" applyFont="1" applyFill="1" applyBorder="1" applyProtection="1">
      <protection locked="0"/>
    </xf>
    <xf numFmtId="37" fontId="27" fillId="0" borderId="35" xfId="2" applyNumberFormat="1" applyFont="1" applyFill="1" applyBorder="1" applyProtection="1">
      <protection locked="0"/>
    </xf>
    <xf numFmtId="37" fontId="43" fillId="0" borderId="35" xfId="2" applyNumberFormat="1" applyFont="1" applyFill="1" applyBorder="1" applyProtection="1">
      <protection locked="0"/>
    </xf>
    <xf numFmtId="37" fontId="98" fillId="0" borderId="0" xfId="2" applyNumberFormat="1" applyFont="1" applyFill="1" applyBorder="1" applyProtection="1">
      <protection locked="0"/>
    </xf>
    <xf numFmtId="9" fontId="3" fillId="0" borderId="0" xfId="2" applyFont="1"/>
    <xf numFmtId="37" fontId="27" fillId="2" borderId="0" xfId="2" applyNumberFormat="1" applyFont="1" applyFill="1" applyBorder="1" applyProtection="1">
      <protection locked="0"/>
    </xf>
    <xf numFmtId="0" fontId="99" fillId="0" borderId="0" xfId="0" applyFont="1"/>
    <xf numFmtId="0" fontId="100" fillId="0" borderId="0" xfId="0" applyFont="1"/>
    <xf numFmtId="1" fontId="24" fillId="5" borderId="0" xfId="5" applyNumberFormat="1" applyFont="1" applyFill="1" applyAlignment="1">
      <alignment horizontal="right" vertical="center"/>
    </xf>
    <xf numFmtId="1" fontId="24" fillId="7" borderId="0" xfId="5" applyNumberFormat="1" applyFont="1" applyFill="1" applyAlignment="1">
      <alignment horizontal="right" vertical="center"/>
    </xf>
    <xf numFmtId="1" fontId="24" fillId="5" borderId="34" xfId="5" applyNumberFormat="1" applyFont="1" applyFill="1" applyBorder="1" applyAlignment="1">
      <alignment horizontal="right" vertical="center"/>
    </xf>
    <xf numFmtId="183" fontId="27" fillId="3" borderId="0" xfId="0" applyNumberFormat="1" applyFont="1" applyFill="1" applyProtection="1">
      <protection locked="0"/>
    </xf>
    <xf numFmtId="183" fontId="28" fillId="0" borderId="0" xfId="2" applyNumberFormat="1" applyFont="1"/>
    <xf numFmtId="183" fontId="28" fillId="0" borderId="0" xfId="2" applyNumberFormat="1" applyFont="1" applyProtection="1">
      <protection locked="0"/>
    </xf>
    <xf numFmtId="9" fontId="28" fillId="0" borderId="0" xfId="2" applyFont="1" applyAlignment="1">
      <alignment horizontal="center" vertical="center"/>
    </xf>
    <xf numFmtId="173" fontId="28" fillId="0" borderId="0" xfId="2" applyNumberFormat="1" applyFont="1" applyAlignment="1">
      <alignment horizontal="center" vertical="center"/>
    </xf>
    <xf numFmtId="0" fontId="28" fillId="0" borderId="0" xfId="0" applyFont="1" applyAlignment="1">
      <alignment horizontal="left" vertical="center"/>
    </xf>
    <xf numFmtId="0" fontId="37" fillId="4" borderId="0" xfId="0" applyFont="1" applyFill="1" applyAlignment="1">
      <alignment horizontal="left" vertical="center"/>
    </xf>
    <xf numFmtId="0" fontId="67" fillId="4" borderId="0" xfId="0" applyFont="1" applyFill="1" applyAlignment="1">
      <alignment horizontal="center" vertical="center"/>
    </xf>
    <xf numFmtId="0" fontId="28" fillId="4" borderId="0" xfId="0" applyFont="1" applyFill="1" applyAlignment="1">
      <alignment horizontal="left" vertical="center"/>
    </xf>
    <xf numFmtId="0" fontId="28" fillId="4" borderId="0" xfId="0" applyFont="1" applyFill="1" applyAlignment="1">
      <alignment horizontal="center" vertical="center"/>
    </xf>
    <xf numFmtId="9" fontId="28" fillId="4" borderId="0" xfId="2" applyFont="1" applyFill="1" applyAlignment="1">
      <alignment horizontal="center" vertical="center"/>
    </xf>
    <xf numFmtId="10" fontId="28" fillId="4" borderId="0" xfId="2" applyNumberFormat="1" applyFont="1" applyFill="1" applyAlignment="1">
      <alignment horizontal="center" vertical="center"/>
    </xf>
    <xf numFmtId="0" fontId="37" fillId="14" borderId="0" xfId="5" applyFont="1" applyFill="1" applyAlignment="1">
      <alignment vertical="center"/>
    </xf>
    <xf numFmtId="9" fontId="27" fillId="0" borderId="0" xfId="5" applyNumberFormat="1" applyFont="1" applyAlignment="1">
      <alignment vertical="center"/>
    </xf>
    <xf numFmtId="10" fontId="27" fillId="0" borderId="0" xfId="5" applyNumberFormat="1" applyFont="1" applyAlignment="1">
      <alignment vertical="center"/>
    </xf>
    <xf numFmtId="0" fontId="43" fillId="0" borderId="36" xfId="5" applyFont="1" applyBorder="1" applyAlignment="1">
      <alignment vertical="center"/>
    </xf>
    <xf numFmtId="0" fontId="27" fillId="0" borderId="36" xfId="5" applyFont="1" applyBorder="1" applyAlignment="1">
      <alignment vertical="center"/>
    </xf>
    <xf numFmtId="9" fontId="0" fillId="2" borderId="0" xfId="2" applyFont="1" applyFill="1"/>
    <xf numFmtId="0" fontId="102" fillId="2" borderId="0" xfId="0" applyFont="1" applyFill="1"/>
    <xf numFmtId="184" fontId="80" fillId="0" borderId="0" xfId="2" applyNumberFormat="1" applyFont="1"/>
    <xf numFmtId="0" fontId="93" fillId="0" borderId="0" xfId="0" applyFont="1" applyAlignment="1">
      <alignment horizontal="center" vertical="center"/>
    </xf>
    <xf numFmtId="168" fontId="27" fillId="3" borderId="0" xfId="0" applyNumberFormat="1" applyFont="1" applyFill="1" applyProtection="1">
      <protection locked="0"/>
    </xf>
    <xf numFmtId="0" fontId="6" fillId="0" borderId="0" xfId="3" applyFont="1" applyAlignment="1">
      <alignment horizontal="left" indent="1"/>
    </xf>
    <xf numFmtId="0" fontId="6" fillId="0" borderId="0" xfId="3" applyFont="1" applyAlignment="1">
      <alignment horizontal="left" wrapText="1" indent="1"/>
    </xf>
    <xf numFmtId="0" fontId="64" fillId="0" borderId="0" xfId="0" applyFont="1" applyAlignment="1">
      <alignment horizontal="center" vertical="center" wrapText="1"/>
    </xf>
    <xf numFmtId="10" fontId="34" fillId="11" borderId="17" xfId="2" applyNumberFormat="1" applyFont="1" applyFill="1" applyBorder="1"/>
    <xf numFmtId="37" fontId="38" fillId="0" borderId="0" xfId="1" applyNumberFormat="1" applyFont="1" applyProtection="1">
      <protection locked="0"/>
    </xf>
    <xf numFmtId="37" fontId="39" fillId="4" borderId="0" xfId="0" applyNumberFormat="1" applyFont="1" applyFill="1" applyProtection="1">
      <protection locked="0"/>
    </xf>
    <xf numFmtId="37" fontId="27" fillId="3" borderId="0" xfId="2" applyNumberFormat="1" applyFont="1" applyFill="1" applyProtection="1">
      <protection locked="0"/>
    </xf>
    <xf numFmtId="37" fontId="27" fillId="0" borderId="0" xfId="1" applyNumberFormat="1" applyFont="1"/>
    <xf numFmtId="37" fontId="27" fillId="0" borderId="3" xfId="1" applyNumberFormat="1" applyFont="1" applyBorder="1"/>
    <xf numFmtId="37" fontId="27" fillId="0" borderId="0" xfId="2" applyNumberFormat="1" applyFont="1"/>
    <xf numFmtId="37" fontId="27" fillId="0" borderId="3" xfId="2" applyNumberFormat="1" applyFont="1" applyBorder="1"/>
    <xf numFmtId="0" fontId="28" fillId="0" borderId="0" xfId="0" applyFont="1" applyAlignment="1">
      <alignment wrapText="1"/>
    </xf>
    <xf numFmtId="167" fontId="27" fillId="0" borderId="0" xfId="1" applyFont="1" applyFill="1" applyProtection="1">
      <protection locked="0"/>
    </xf>
    <xf numFmtId="10" fontId="103" fillId="0" borderId="0" xfId="0" applyNumberFormat="1" applyFont="1"/>
    <xf numFmtId="187" fontId="104" fillId="0" borderId="0" xfId="0" applyNumberFormat="1" applyFont="1"/>
    <xf numFmtId="187" fontId="103" fillId="0" borderId="0" xfId="0" applyNumberFormat="1" applyFont="1"/>
    <xf numFmtId="167" fontId="58" fillId="0" borderId="0" xfId="1" applyFont="1"/>
    <xf numFmtId="0" fontId="0" fillId="0" borderId="3" xfId="0" applyBorder="1"/>
    <xf numFmtId="0" fontId="10" fillId="0" borderId="3" xfId="0" applyFont="1" applyBorder="1"/>
    <xf numFmtId="37" fontId="27" fillId="0" borderId="14" xfId="2" applyNumberFormat="1" applyFont="1" applyFill="1" applyBorder="1" applyProtection="1">
      <protection locked="0"/>
    </xf>
    <xf numFmtId="37" fontId="27" fillId="0" borderId="19" xfId="2" applyNumberFormat="1" applyFont="1" applyFill="1" applyBorder="1" applyProtection="1">
      <protection locked="0"/>
    </xf>
    <xf numFmtId="37" fontId="27" fillId="0" borderId="7" xfId="2" applyNumberFormat="1" applyFont="1" applyFill="1" applyBorder="1" applyProtection="1">
      <protection locked="0"/>
    </xf>
    <xf numFmtId="37" fontId="27" fillId="0" borderId="17" xfId="2" applyNumberFormat="1" applyFont="1" applyFill="1" applyBorder="1" applyProtection="1">
      <protection locked="0"/>
    </xf>
    <xf numFmtId="37" fontId="27" fillId="0" borderId="32" xfId="2" applyNumberFormat="1" applyFont="1" applyFill="1" applyBorder="1" applyProtection="1">
      <protection locked="0"/>
    </xf>
    <xf numFmtId="37" fontId="27" fillId="0" borderId="29" xfId="2" applyNumberFormat="1" applyFont="1" applyFill="1" applyBorder="1" applyProtection="1">
      <protection locked="0"/>
    </xf>
    <xf numFmtId="37" fontId="27" fillId="0" borderId="15" xfId="2" applyNumberFormat="1" applyFont="1" applyFill="1" applyBorder="1" applyProtection="1">
      <protection locked="0"/>
    </xf>
    <xf numFmtId="0" fontId="10" fillId="0" borderId="0" xfId="0" applyFont="1"/>
    <xf numFmtId="37" fontId="43" fillId="0" borderId="5" xfId="2" applyNumberFormat="1" applyFont="1" applyFill="1" applyBorder="1" applyProtection="1">
      <protection locked="0"/>
    </xf>
    <xf numFmtId="9" fontId="43" fillId="0" borderId="38" xfId="2" applyFont="1" applyFill="1" applyBorder="1" applyProtection="1">
      <protection locked="0"/>
    </xf>
    <xf numFmtId="37" fontId="43" fillId="0" borderId="38" xfId="2" applyNumberFormat="1" applyFont="1" applyFill="1" applyBorder="1" applyProtection="1">
      <protection locked="0"/>
    </xf>
    <xf numFmtId="9" fontId="105" fillId="0" borderId="0" xfId="2" applyFont="1" applyFill="1" applyBorder="1" applyProtection="1">
      <protection locked="0"/>
    </xf>
    <xf numFmtId="37" fontId="43" fillId="0" borderId="15" xfId="2" applyNumberFormat="1" applyFont="1" applyFill="1" applyBorder="1" applyProtection="1">
      <protection locked="0"/>
    </xf>
    <xf numFmtId="168" fontId="105" fillId="0" borderId="1" xfId="2" applyNumberFormat="1" applyFont="1" applyFill="1" applyBorder="1" applyProtection="1">
      <protection locked="0"/>
    </xf>
    <xf numFmtId="168" fontId="105" fillId="0" borderId="37" xfId="2" applyNumberFormat="1" applyFont="1" applyFill="1" applyBorder="1" applyProtection="1">
      <protection locked="0"/>
    </xf>
    <xf numFmtId="37" fontId="27" fillId="0" borderId="39" xfId="2" applyNumberFormat="1" applyFont="1" applyFill="1" applyBorder="1" applyProtection="1">
      <protection locked="0"/>
    </xf>
    <xf numFmtId="37" fontId="27" fillId="0" borderId="1" xfId="2" applyNumberFormat="1" applyFont="1" applyFill="1" applyBorder="1" applyProtection="1">
      <protection locked="0"/>
    </xf>
    <xf numFmtId="37" fontId="43" fillId="0" borderId="30" xfId="2" applyNumberFormat="1" applyFont="1" applyFill="1" applyBorder="1" applyProtection="1">
      <protection locked="0"/>
    </xf>
    <xf numFmtId="37" fontId="27" fillId="0" borderId="30" xfId="2" applyNumberFormat="1" applyFont="1" applyFill="1" applyBorder="1" applyProtection="1">
      <protection locked="0"/>
    </xf>
    <xf numFmtId="37" fontId="27" fillId="0" borderId="13" xfId="2" applyNumberFormat="1" applyFont="1" applyFill="1" applyBorder="1" applyProtection="1">
      <protection locked="0"/>
    </xf>
    <xf numFmtId="10" fontId="43" fillId="0" borderId="17" xfId="2" applyNumberFormat="1" applyFont="1" applyFill="1" applyBorder="1" applyProtection="1">
      <protection locked="0"/>
    </xf>
    <xf numFmtId="37" fontId="27" fillId="0" borderId="37" xfId="2" applyNumberFormat="1" applyFont="1" applyFill="1" applyBorder="1" applyProtection="1">
      <protection locked="0"/>
    </xf>
    <xf numFmtId="9" fontId="105" fillId="0" borderId="1" xfId="2" applyFont="1" applyFill="1" applyBorder="1" applyProtection="1">
      <protection locked="0"/>
    </xf>
    <xf numFmtId="0" fontId="0" fillId="0" borderId="32" xfId="0" applyBorder="1"/>
    <xf numFmtId="2" fontId="26" fillId="0" borderId="0" xfId="0" applyNumberFormat="1" applyFont="1" applyProtection="1">
      <protection locked="0"/>
    </xf>
    <xf numFmtId="2" fontId="26" fillId="0" borderId="0" xfId="0" applyNumberFormat="1" applyFont="1"/>
    <xf numFmtId="0" fontId="106" fillId="0" borderId="0" xfId="0" applyFont="1" applyAlignment="1">
      <alignment wrapText="1"/>
    </xf>
    <xf numFmtId="9" fontId="43" fillId="4" borderId="0" xfId="0" applyNumberFormat="1" applyFont="1" applyFill="1" applyAlignment="1" applyProtection="1">
      <alignment horizontal="center"/>
      <protection locked="0"/>
    </xf>
    <xf numFmtId="166" fontId="16" fillId="4" borderId="0" xfId="0" applyNumberFormat="1" applyFont="1" applyFill="1" applyProtection="1">
      <protection locked="0"/>
    </xf>
    <xf numFmtId="0" fontId="107" fillId="2" borderId="0" xfId="0" applyFont="1" applyFill="1" applyAlignment="1" applyProtection="1">
      <alignment horizontal="center"/>
      <protection locked="0"/>
    </xf>
    <xf numFmtId="0" fontId="28" fillId="11" borderId="13" xfId="0" applyFont="1" applyFill="1" applyBorder="1"/>
    <xf numFmtId="0" fontId="34" fillId="0" borderId="30" xfId="0" applyFont="1" applyBorder="1"/>
    <xf numFmtId="0" fontId="28" fillId="0" borderId="30" xfId="0" applyFont="1" applyBorder="1"/>
    <xf numFmtId="0" fontId="2" fillId="0" borderId="30" xfId="0" applyFont="1" applyBorder="1"/>
    <xf numFmtId="0" fontId="28" fillId="0" borderId="5" xfId="0" applyFont="1" applyBorder="1" applyAlignment="1">
      <alignment wrapText="1"/>
    </xf>
    <xf numFmtId="2" fontId="28" fillId="11" borderId="40" xfId="0" applyNumberFormat="1" applyFont="1" applyFill="1" applyBorder="1"/>
    <xf numFmtId="0" fontId="35" fillId="2" borderId="41" xfId="0" applyFont="1" applyFill="1" applyBorder="1"/>
    <xf numFmtId="0" fontId="37" fillId="2" borderId="42" xfId="0" applyFont="1" applyFill="1" applyBorder="1"/>
    <xf numFmtId="0" fontId="76" fillId="0" borderId="0" xfId="0" applyFont="1" applyAlignment="1">
      <alignment horizontal="left" vertical="top" wrapText="1"/>
    </xf>
    <xf numFmtId="0" fontId="15" fillId="0" borderId="32" xfId="0" applyFont="1" applyBorder="1" applyAlignment="1">
      <alignment horizontal="left" vertical="center" wrapText="1" indent="1"/>
    </xf>
    <xf numFmtId="0" fontId="15" fillId="0" borderId="0" xfId="0" applyFont="1" applyAlignment="1">
      <alignment horizontal="left" vertical="center" wrapText="1" indent="1"/>
    </xf>
    <xf numFmtId="0" fontId="28" fillId="0" borderId="0" xfId="0" applyFont="1" applyAlignment="1">
      <alignment horizontal="left" vertical="top" wrapText="1" indent="1"/>
    </xf>
    <xf numFmtId="0" fontId="53" fillId="0" borderId="0" xfId="5" applyFont="1" applyAlignment="1">
      <alignment horizontal="right" vertical="center"/>
    </xf>
    <xf numFmtId="0" fontId="27" fillId="0" borderId="0" xfId="5" applyFont="1" applyAlignment="1">
      <alignment horizontal="center" vertical="center"/>
    </xf>
    <xf numFmtId="0" fontId="28" fillId="0" borderId="0" xfId="0" applyFont="1" applyAlignment="1">
      <alignment horizontal="center"/>
    </xf>
    <xf numFmtId="0" fontId="27" fillId="0" borderId="2" xfId="5" applyFont="1" applyBorder="1" applyAlignment="1">
      <alignment horizontal="center" vertical="center"/>
    </xf>
    <xf numFmtId="0" fontId="27" fillId="14" borderId="0" xfId="5" applyFont="1" applyFill="1" applyAlignment="1">
      <alignment horizontal="center" vertical="center"/>
    </xf>
    <xf numFmtId="0" fontId="28" fillId="0" borderId="14" xfId="0" applyFont="1" applyBorder="1" applyAlignment="1">
      <alignment horizontal="center"/>
    </xf>
    <xf numFmtId="0" fontId="28" fillId="0" borderId="9" xfId="0" applyFont="1" applyBorder="1" applyAlignment="1">
      <alignment horizontal="center"/>
    </xf>
    <xf numFmtId="0" fontId="28" fillId="0" borderId="12" xfId="0" applyFont="1" applyBorder="1" applyAlignment="1">
      <alignment horizontal="center"/>
    </xf>
    <xf numFmtId="0" fontId="28" fillId="0" borderId="19" xfId="0" applyFont="1" applyBorder="1" applyAlignment="1">
      <alignment horizontal="center"/>
    </xf>
    <xf numFmtId="0" fontId="28" fillId="0" borderId="7" xfId="0" applyFont="1" applyBorder="1" applyAlignment="1">
      <alignment horizontal="center"/>
    </xf>
    <xf numFmtId="0" fontId="28" fillId="0" borderId="17" xfId="0" applyFont="1" applyBorder="1" applyAlignment="1">
      <alignment horizontal="center"/>
    </xf>
    <xf numFmtId="0" fontId="28" fillId="0" borderId="19" xfId="0" applyFont="1" applyBorder="1" applyAlignment="1">
      <alignment horizontal="center" wrapText="1"/>
    </xf>
    <xf numFmtId="0" fontId="101" fillId="0" borderId="0" xfId="0" applyFont="1" applyAlignment="1">
      <alignment horizontal="left"/>
    </xf>
    <xf numFmtId="0" fontId="28" fillId="0" borderId="0" xfId="0" applyFont="1" applyAlignment="1">
      <alignment horizontal="left"/>
    </xf>
    <xf numFmtId="9" fontId="34" fillId="0" borderId="0" xfId="0" applyNumberFormat="1" applyFont="1" applyAlignment="1">
      <alignment horizontal="right"/>
    </xf>
    <xf numFmtId="0" fontId="34" fillId="5" borderId="0" xfId="0" applyFont="1" applyFill="1" applyAlignment="1">
      <alignment horizontal="right"/>
    </xf>
    <xf numFmtId="1" fontId="34" fillId="5" borderId="0" xfId="0" applyNumberFormat="1" applyFont="1" applyFill="1" applyAlignment="1">
      <alignment horizontal="right"/>
    </xf>
    <xf numFmtId="1" fontId="24" fillId="0" borderId="0" xfId="5" applyNumberFormat="1" applyFont="1" applyAlignment="1">
      <alignment horizontal="right" vertical="center"/>
    </xf>
    <xf numFmtId="0" fontId="53" fillId="0" borderId="0" xfId="5" applyFont="1" applyAlignment="1">
      <alignment horizontal="center" vertical="center"/>
    </xf>
    <xf numFmtId="0" fontId="27" fillId="0" borderId="0" xfId="5" applyFont="1" applyAlignment="1">
      <alignment horizontal="left" vertical="top" wrapText="1"/>
    </xf>
    <xf numFmtId="0" fontId="27" fillId="0" borderId="0" xfId="5" applyFont="1" applyAlignment="1">
      <alignment horizontal="left" vertical="center" wrapText="1"/>
    </xf>
    <xf numFmtId="0" fontId="27" fillId="7" borderId="0" xfId="5" applyFont="1" applyFill="1" applyAlignment="1">
      <alignment horizontal="center" vertical="center"/>
    </xf>
    <xf numFmtId="3" fontId="53" fillId="0" borderId="0" xfId="5" applyNumberFormat="1" applyFont="1" applyAlignment="1">
      <alignment horizontal="right" vertical="center"/>
    </xf>
    <xf numFmtId="0" fontId="34" fillId="0" borderId="0" xfId="0" applyFont="1" applyAlignment="1">
      <alignment horizontal="left" vertical="top" wrapText="1" indent="1"/>
    </xf>
    <xf numFmtId="9" fontId="27" fillId="0" borderId="0" xfId="5" applyNumberFormat="1" applyFont="1" applyAlignment="1">
      <alignment horizontal="left" vertical="center" wrapText="1"/>
    </xf>
    <xf numFmtId="0" fontId="27" fillId="8" borderId="0" xfId="5" applyFont="1" applyFill="1" applyAlignment="1">
      <alignment horizontal="center" vertical="center"/>
    </xf>
    <xf numFmtId="0" fontId="27" fillId="5" borderId="0" xfId="5" applyFont="1" applyFill="1" applyAlignment="1">
      <alignment horizontal="center" vertical="center"/>
    </xf>
    <xf numFmtId="0" fontId="28" fillId="0" borderId="0" xfId="0" applyFont="1" applyAlignment="1">
      <alignment horizontal="left" vertical="top" wrapText="1"/>
    </xf>
    <xf numFmtId="0" fontId="27" fillId="4" borderId="0" xfId="5" applyFont="1" applyFill="1" applyAlignment="1">
      <alignment horizontal="center" vertical="center"/>
    </xf>
    <xf numFmtId="0" fontId="34" fillId="4" borderId="0" xfId="0" applyFont="1" applyFill="1" applyAlignment="1">
      <alignment horizontal="left" vertical="top" wrapText="1" indent="1"/>
    </xf>
    <xf numFmtId="0" fontId="27" fillId="7" borderId="0" xfId="5" applyFont="1" applyFill="1" applyAlignment="1">
      <alignment horizontal="left" vertical="center"/>
    </xf>
    <xf numFmtId="0" fontId="27" fillId="8" borderId="0" xfId="5" applyFont="1" applyFill="1" applyAlignment="1">
      <alignment horizontal="left" vertical="center"/>
    </xf>
    <xf numFmtId="0" fontId="27" fillId="5" borderId="0" xfId="5" applyFont="1" applyFill="1" applyAlignment="1">
      <alignment horizontal="left" vertical="center"/>
    </xf>
    <xf numFmtId="0" fontId="52" fillId="7" borderId="0" xfId="5" applyFont="1" applyFill="1" applyAlignment="1">
      <alignment horizontal="left" vertical="center"/>
    </xf>
    <xf numFmtId="0" fontId="52" fillId="8" borderId="0" xfId="5" applyFont="1" applyFill="1" applyAlignment="1">
      <alignment horizontal="left" vertical="center"/>
    </xf>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0" fontId="0" fillId="0" borderId="32" xfId="0" applyBorder="1" applyAlignment="1">
      <alignment vertical="top"/>
    </xf>
    <xf numFmtId="0" fontId="0" fillId="0" borderId="0" xfId="0" applyAlignment="1">
      <alignment vertical="top"/>
    </xf>
    <xf numFmtId="0" fontId="28" fillId="0" borderId="32" xfId="0" applyFont="1" applyBorder="1" applyAlignment="1">
      <alignment horizontal="left" vertical="top" wrapText="1"/>
    </xf>
    <xf numFmtId="0" fontId="28" fillId="0" borderId="0" xfId="0" applyFont="1" applyAlignment="1" applyProtection="1">
      <alignment vertical="top"/>
      <protection locked="0"/>
    </xf>
    <xf numFmtId="0" fontId="28" fillId="0" borderId="32" xfId="0" applyFont="1" applyBorder="1" applyAlignment="1" applyProtection="1">
      <alignment vertical="top"/>
      <protection locked="0"/>
    </xf>
    <xf numFmtId="0" fontId="28" fillId="0" borderId="0" xfId="0" applyFont="1" applyAlignment="1">
      <alignment vertical="top"/>
    </xf>
    <xf numFmtId="0" fontId="28" fillId="0" borderId="32" xfId="0" applyFont="1" applyBorder="1" applyAlignment="1">
      <alignment vertical="top"/>
    </xf>
    <xf numFmtId="0" fontId="28" fillId="0" borderId="32" xfId="0" applyFont="1" applyBorder="1" applyAlignment="1">
      <alignment vertical="top" wrapText="1"/>
    </xf>
    <xf numFmtId="0" fontId="28" fillId="0" borderId="0" xfId="0" applyFont="1" applyAlignment="1">
      <alignment vertical="top" wrapText="1"/>
    </xf>
    <xf numFmtId="0" fontId="94" fillId="0" borderId="0" xfId="0" applyFont="1" applyAlignment="1">
      <alignment horizontal="center" vertical="center" wrapText="1"/>
    </xf>
    <xf numFmtId="0" fontId="37" fillId="2" borderId="10" xfId="0" applyFont="1" applyFill="1" applyBorder="1" applyAlignment="1">
      <alignment horizontal="center"/>
    </xf>
    <xf numFmtId="0" fontId="68" fillId="0" borderId="11" xfId="0" applyFont="1" applyBorder="1" applyAlignment="1">
      <alignment horizontal="center"/>
    </xf>
    <xf numFmtId="0" fontId="8" fillId="0" borderId="11" xfId="0" applyFont="1" applyBorder="1" applyAlignment="1">
      <alignment horizontal="center"/>
    </xf>
    <xf numFmtId="0" fontId="28" fillId="0" borderId="32" xfId="0" applyFont="1" applyBorder="1" applyAlignment="1"/>
    <xf numFmtId="0" fontId="28" fillId="0" borderId="0" xfId="0" applyFont="1" applyAlignment="1"/>
  </cellXfs>
  <cellStyles count="17">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fa_data_bold_1_grouped" xfId="16" xr:uid="{3B639B6C-BF65-42ED-80E8-F95C6880ED4D}"/>
    <cellStyle name="fa_data_current_standard_1_grouped" xfId="15" xr:uid="{CB43D235-F378-4C2C-AB89-A07BF5FD439B}"/>
    <cellStyle name="fa_data_standard_1_grouped" xfId="14" xr:uid="{ABC371D5-A2F6-42B7-BDB3-A9BF6B7ECAAD}"/>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cent" xfId="2" builtinId="5"/>
    <cellStyle name="Percent 2" xfId="4" xr:uid="{00000000-0005-0000-0000-00000C000000}"/>
    <cellStyle name="Porcentaje 3" xfId="7" xr:uid="{00000000-0005-0000-0000-00000D00000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val>
            <c:numRef>
              <c:f>FCFF!$R$162:$R$163</c:f>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FCFF!$AQ$33</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FCFF!$AR$32:$AY$32</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FCFF!$AR$33:$AY$33</c:f>
              <c:numCache>
                <c:formatCode>#,##0_);\(#,##0\)</c:formatCode>
                <c:ptCount val="8"/>
                <c:pt idx="0">
                  <c:v>85643</c:v>
                </c:pt>
                <c:pt idx="1">
                  <c:v>65966</c:v>
                </c:pt>
                <c:pt idx="2">
                  <c:v>97957</c:v>
                </c:pt>
                <c:pt idx="3">
                  <c:v>113466</c:v>
                </c:pt>
                <c:pt idx="4">
                  <c:v>121361.44919785425</c:v>
                </c:pt>
                <c:pt idx="5">
                  <c:v>157309.25004457473</c:v>
                </c:pt>
                <c:pt idx="6">
                  <c:v>166118.22030891498</c:v>
                </c:pt>
                <c:pt idx="7">
                  <c:v>180076.27144272358</c:v>
                </c:pt>
              </c:numCache>
            </c:numRef>
          </c:val>
          <c:extLst>
            <c:ext xmlns:c16="http://schemas.microsoft.com/office/drawing/2014/chart" uri="{C3380CC4-5D6E-409C-BE32-E72D297353CC}">
              <c16:uniqueId val="{00000000-EDEC-4D47-9C20-D8D9D241E889}"/>
            </c:ext>
          </c:extLst>
        </c:ser>
        <c:ser>
          <c:idx val="1"/>
          <c:order val="1"/>
          <c:tx>
            <c:strRef>
              <c:f>FCFF!$AQ$34</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FCFF!$AR$32:$AY$32</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FCFF!$AR$34:$AY$34</c:f>
              <c:numCache>
                <c:formatCode>#,##0_);\(#,##0\)</c:formatCode>
                <c:ptCount val="8"/>
                <c:pt idx="0">
                  <c:v>340577.15617302054</c:v>
                </c:pt>
                <c:pt idx="1">
                  <c:v>-61634.368315252133</c:v>
                </c:pt>
                <c:pt idx="2">
                  <c:v>175059.24445045236</c:v>
                </c:pt>
                <c:pt idx="3">
                  <c:v>47148.377218198017</c:v>
                </c:pt>
                <c:pt idx="4">
                  <c:v>161535.98368483869</c:v>
                </c:pt>
                <c:pt idx="5">
                  <c:v>111726.8485000232</c:v>
                </c:pt>
                <c:pt idx="6">
                  <c:v>186503.00709723259</c:v>
                </c:pt>
                <c:pt idx="7">
                  <c:v>172823.36636428483</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FCFF!$AQ$35</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FCFF!$AR$32:$AY$32</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FCFF!$AR$35:$AY$35</c:f>
              <c:numCache>
                <c:formatCode>0.0%</c:formatCode>
                <c:ptCount val="8"/>
                <c:pt idx="0">
                  <c:v>0.60253464085003761</c:v>
                </c:pt>
                <c:pt idx="1">
                  <c:v>8.8850396831030798E-2</c:v>
                </c:pt>
                <c:pt idx="2">
                  <c:v>0.15518118162496242</c:v>
                </c:pt>
                <c:pt idx="3">
                  <c:v>0.40580977966407805</c:v>
                </c:pt>
                <c:pt idx="4">
                  <c:v>0.2180628575342578</c:v>
                </c:pt>
                <c:pt idx="5">
                  <c:v>0.15218172993388035</c:v>
                </c:pt>
                <c:pt idx="6">
                  <c:v>5.599778946148537E-2</c:v>
                </c:pt>
                <c:pt idx="7">
                  <c:v>8.4024805393725366E-2</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1D-442D-A1E5-C8499792CD0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45972</c:v>
                </c:pt>
                <c:pt idx="1">
                  <c:v>45971</c:v>
                </c:pt>
                <c:pt idx="2">
                  <c:v>45970</c:v>
                </c:pt>
                <c:pt idx="3">
                  <c:v>45969</c:v>
                </c:pt>
                <c:pt idx="4">
                  <c:v>45968</c:v>
                </c:pt>
                <c:pt idx="5">
                  <c:v>45967</c:v>
                </c:pt>
                <c:pt idx="6">
                  <c:v>45966</c:v>
                </c:pt>
                <c:pt idx="7">
                  <c:v>45965</c:v>
                </c:pt>
                <c:pt idx="8">
                  <c:v>45964</c:v>
                </c:pt>
                <c:pt idx="9">
                  <c:v>45963</c:v>
                </c:pt>
                <c:pt idx="10">
                  <c:v>45962</c:v>
                </c:pt>
                <c:pt idx="11">
                  <c:v>45961</c:v>
                </c:pt>
                <c:pt idx="12">
                  <c:v>45960</c:v>
                </c:pt>
                <c:pt idx="13">
                  <c:v>45959</c:v>
                </c:pt>
                <c:pt idx="14">
                  <c:v>45958</c:v>
                </c:pt>
                <c:pt idx="15">
                  <c:v>45957</c:v>
                </c:pt>
                <c:pt idx="16">
                  <c:v>45956</c:v>
                </c:pt>
                <c:pt idx="17">
                  <c:v>45955</c:v>
                </c:pt>
                <c:pt idx="18">
                  <c:v>45954</c:v>
                </c:pt>
                <c:pt idx="19">
                  <c:v>45953</c:v>
                </c:pt>
                <c:pt idx="20">
                  <c:v>45952</c:v>
                </c:pt>
                <c:pt idx="21">
                  <c:v>45951</c:v>
                </c:pt>
                <c:pt idx="22">
                  <c:v>45950</c:v>
                </c:pt>
                <c:pt idx="23">
                  <c:v>45949</c:v>
                </c:pt>
                <c:pt idx="24">
                  <c:v>45948</c:v>
                </c:pt>
                <c:pt idx="25">
                  <c:v>45947</c:v>
                </c:pt>
                <c:pt idx="26">
                  <c:v>45946</c:v>
                </c:pt>
                <c:pt idx="27">
                  <c:v>45945</c:v>
                </c:pt>
                <c:pt idx="28">
                  <c:v>45944</c:v>
                </c:pt>
                <c:pt idx="29">
                  <c:v>45943</c:v>
                </c:pt>
                <c:pt idx="30">
                  <c:v>45942</c:v>
                </c:pt>
                <c:pt idx="31">
                  <c:v>45941</c:v>
                </c:pt>
                <c:pt idx="32">
                  <c:v>45940</c:v>
                </c:pt>
                <c:pt idx="33">
                  <c:v>45939</c:v>
                </c:pt>
                <c:pt idx="34">
                  <c:v>45938</c:v>
                </c:pt>
                <c:pt idx="35">
                  <c:v>45937</c:v>
                </c:pt>
                <c:pt idx="36">
                  <c:v>45936</c:v>
                </c:pt>
                <c:pt idx="37">
                  <c:v>45935</c:v>
                </c:pt>
                <c:pt idx="38">
                  <c:v>45934</c:v>
                </c:pt>
                <c:pt idx="39">
                  <c:v>45933</c:v>
                </c:pt>
                <c:pt idx="40">
                  <c:v>45932</c:v>
                </c:pt>
                <c:pt idx="41">
                  <c:v>45931</c:v>
                </c:pt>
                <c:pt idx="42">
                  <c:v>45930</c:v>
                </c:pt>
                <c:pt idx="43">
                  <c:v>45929</c:v>
                </c:pt>
                <c:pt idx="44">
                  <c:v>45928</c:v>
                </c:pt>
                <c:pt idx="45">
                  <c:v>45927</c:v>
                </c:pt>
                <c:pt idx="46">
                  <c:v>45926</c:v>
                </c:pt>
                <c:pt idx="47">
                  <c:v>45925</c:v>
                </c:pt>
                <c:pt idx="48">
                  <c:v>45924</c:v>
                </c:pt>
                <c:pt idx="49">
                  <c:v>45923</c:v>
                </c:pt>
                <c:pt idx="50">
                  <c:v>45922</c:v>
                </c:pt>
                <c:pt idx="51">
                  <c:v>45921</c:v>
                </c:pt>
                <c:pt idx="52">
                  <c:v>45920</c:v>
                </c:pt>
                <c:pt idx="53">
                  <c:v>45919</c:v>
                </c:pt>
                <c:pt idx="54">
                  <c:v>45918</c:v>
                </c:pt>
                <c:pt idx="55">
                  <c:v>45917</c:v>
                </c:pt>
                <c:pt idx="56">
                  <c:v>45916</c:v>
                </c:pt>
                <c:pt idx="57">
                  <c:v>45915</c:v>
                </c:pt>
                <c:pt idx="58">
                  <c:v>45914</c:v>
                </c:pt>
                <c:pt idx="59">
                  <c:v>45913</c:v>
                </c:pt>
                <c:pt idx="60">
                  <c:v>45912</c:v>
                </c:pt>
                <c:pt idx="61">
                  <c:v>45911</c:v>
                </c:pt>
                <c:pt idx="62">
                  <c:v>45910</c:v>
                </c:pt>
                <c:pt idx="63">
                  <c:v>45909</c:v>
                </c:pt>
                <c:pt idx="64">
                  <c:v>45908</c:v>
                </c:pt>
                <c:pt idx="65">
                  <c:v>45907</c:v>
                </c:pt>
                <c:pt idx="66">
                  <c:v>45906</c:v>
                </c:pt>
                <c:pt idx="67">
                  <c:v>45905</c:v>
                </c:pt>
                <c:pt idx="68">
                  <c:v>45904</c:v>
                </c:pt>
                <c:pt idx="69">
                  <c:v>45903</c:v>
                </c:pt>
                <c:pt idx="70">
                  <c:v>45902</c:v>
                </c:pt>
                <c:pt idx="71">
                  <c:v>45901</c:v>
                </c:pt>
                <c:pt idx="72">
                  <c:v>45900</c:v>
                </c:pt>
                <c:pt idx="73">
                  <c:v>45899</c:v>
                </c:pt>
                <c:pt idx="74">
                  <c:v>45898</c:v>
                </c:pt>
                <c:pt idx="75">
                  <c:v>45897</c:v>
                </c:pt>
                <c:pt idx="76">
                  <c:v>45896</c:v>
                </c:pt>
                <c:pt idx="77">
                  <c:v>45895</c:v>
                </c:pt>
                <c:pt idx="78">
                  <c:v>45894</c:v>
                </c:pt>
                <c:pt idx="79">
                  <c:v>45893</c:v>
                </c:pt>
                <c:pt idx="80">
                  <c:v>45892</c:v>
                </c:pt>
                <c:pt idx="81">
                  <c:v>45891</c:v>
                </c:pt>
                <c:pt idx="82">
                  <c:v>45890</c:v>
                </c:pt>
                <c:pt idx="83">
                  <c:v>45889</c:v>
                </c:pt>
                <c:pt idx="84">
                  <c:v>45888</c:v>
                </c:pt>
                <c:pt idx="85">
                  <c:v>45887</c:v>
                </c:pt>
                <c:pt idx="86">
                  <c:v>45886</c:v>
                </c:pt>
                <c:pt idx="87">
                  <c:v>45885</c:v>
                </c:pt>
                <c:pt idx="88">
                  <c:v>45884</c:v>
                </c:pt>
                <c:pt idx="89">
                  <c:v>45883</c:v>
                </c:pt>
                <c:pt idx="90">
                  <c:v>45882</c:v>
                </c:pt>
                <c:pt idx="91">
                  <c:v>45881</c:v>
                </c:pt>
                <c:pt idx="92">
                  <c:v>45880</c:v>
                </c:pt>
                <c:pt idx="93">
                  <c:v>45879</c:v>
                </c:pt>
                <c:pt idx="94">
                  <c:v>45878</c:v>
                </c:pt>
                <c:pt idx="95">
                  <c:v>45877</c:v>
                </c:pt>
                <c:pt idx="96">
                  <c:v>45876</c:v>
                </c:pt>
                <c:pt idx="97">
                  <c:v>45875</c:v>
                </c:pt>
                <c:pt idx="98">
                  <c:v>45874</c:v>
                </c:pt>
                <c:pt idx="99">
                  <c:v>45873</c:v>
                </c:pt>
                <c:pt idx="100">
                  <c:v>45872</c:v>
                </c:pt>
                <c:pt idx="101">
                  <c:v>45871</c:v>
                </c:pt>
                <c:pt idx="102">
                  <c:v>45870</c:v>
                </c:pt>
                <c:pt idx="103">
                  <c:v>45869</c:v>
                </c:pt>
                <c:pt idx="104">
                  <c:v>45868</c:v>
                </c:pt>
                <c:pt idx="105">
                  <c:v>45867</c:v>
                </c:pt>
                <c:pt idx="106">
                  <c:v>45866</c:v>
                </c:pt>
                <c:pt idx="107">
                  <c:v>45865</c:v>
                </c:pt>
                <c:pt idx="108">
                  <c:v>45864</c:v>
                </c:pt>
                <c:pt idx="109">
                  <c:v>45863</c:v>
                </c:pt>
                <c:pt idx="110">
                  <c:v>45862</c:v>
                </c:pt>
                <c:pt idx="111">
                  <c:v>45861</c:v>
                </c:pt>
                <c:pt idx="112">
                  <c:v>45860</c:v>
                </c:pt>
                <c:pt idx="113">
                  <c:v>45859</c:v>
                </c:pt>
                <c:pt idx="114">
                  <c:v>45858</c:v>
                </c:pt>
                <c:pt idx="115">
                  <c:v>45857</c:v>
                </c:pt>
                <c:pt idx="116">
                  <c:v>45856</c:v>
                </c:pt>
                <c:pt idx="117">
                  <c:v>45855</c:v>
                </c:pt>
                <c:pt idx="118">
                  <c:v>45854</c:v>
                </c:pt>
                <c:pt idx="119">
                  <c:v>45853</c:v>
                </c:pt>
                <c:pt idx="120">
                  <c:v>45852</c:v>
                </c:pt>
                <c:pt idx="121">
                  <c:v>45851</c:v>
                </c:pt>
                <c:pt idx="122">
                  <c:v>45850</c:v>
                </c:pt>
                <c:pt idx="123">
                  <c:v>45849</c:v>
                </c:pt>
                <c:pt idx="124">
                  <c:v>45848</c:v>
                </c:pt>
                <c:pt idx="125">
                  <c:v>45847</c:v>
                </c:pt>
                <c:pt idx="126">
                  <c:v>45846</c:v>
                </c:pt>
                <c:pt idx="127">
                  <c:v>45845</c:v>
                </c:pt>
                <c:pt idx="128">
                  <c:v>45844</c:v>
                </c:pt>
                <c:pt idx="129">
                  <c:v>45843</c:v>
                </c:pt>
                <c:pt idx="130">
                  <c:v>45842</c:v>
                </c:pt>
                <c:pt idx="131">
                  <c:v>45841</c:v>
                </c:pt>
                <c:pt idx="132">
                  <c:v>45840</c:v>
                </c:pt>
                <c:pt idx="133">
                  <c:v>45839</c:v>
                </c:pt>
                <c:pt idx="134">
                  <c:v>45838</c:v>
                </c:pt>
                <c:pt idx="135">
                  <c:v>45837</c:v>
                </c:pt>
                <c:pt idx="136">
                  <c:v>45836</c:v>
                </c:pt>
                <c:pt idx="137">
                  <c:v>45835</c:v>
                </c:pt>
                <c:pt idx="138">
                  <c:v>45834</c:v>
                </c:pt>
                <c:pt idx="139">
                  <c:v>45833</c:v>
                </c:pt>
                <c:pt idx="140">
                  <c:v>45832</c:v>
                </c:pt>
                <c:pt idx="141">
                  <c:v>45831</c:v>
                </c:pt>
                <c:pt idx="142">
                  <c:v>45830</c:v>
                </c:pt>
                <c:pt idx="143">
                  <c:v>45829</c:v>
                </c:pt>
                <c:pt idx="144">
                  <c:v>45828</c:v>
                </c:pt>
                <c:pt idx="145">
                  <c:v>45827</c:v>
                </c:pt>
                <c:pt idx="146">
                  <c:v>45826</c:v>
                </c:pt>
                <c:pt idx="147">
                  <c:v>45825</c:v>
                </c:pt>
                <c:pt idx="148">
                  <c:v>45824</c:v>
                </c:pt>
                <c:pt idx="149">
                  <c:v>45823</c:v>
                </c:pt>
                <c:pt idx="150">
                  <c:v>45822</c:v>
                </c:pt>
                <c:pt idx="151">
                  <c:v>45821</c:v>
                </c:pt>
                <c:pt idx="152">
                  <c:v>45820</c:v>
                </c:pt>
                <c:pt idx="153">
                  <c:v>45819</c:v>
                </c:pt>
                <c:pt idx="154">
                  <c:v>45818</c:v>
                </c:pt>
                <c:pt idx="155">
                  <c:v>45817</c:v>
                </c:pt>
                <c:pt idx="156">
                  <c:v>45816</c:v>
                </c:pt>
                <c:pt idx="157">
                  <c:v>45815</c:v>
                </c:pt>
                <c:pt idx="158">
                  <c:v>45814</c:v>
                </c:pt>
                <c:pt idx="159">
                  <c:v>45813</c:v>
                </c:pt>
                <c:pt idx="160">
                  <c:v>45812</c:v>
                </c:pt>
                <c:pt idx="161">
                  <c:v>45811</c:v>
                </c:pt>
                <c:pt idx="162">
                  <c:v>45810</c:v>
                </c:pt>
                <c:pt idx="163">
                  <c:v>45809</c:v>
                </c:pt>
                <c:pt idx="164">
                  <c:v>45808</c:v>
                </c:pt>
                <c:pt idx="165">
                  <c:v>45807</c:v>
                </c:pt>
                <c:pt idx="166">
                  <c:v>45806</c:v>
                </c:pt>
                <c:pt idx="167">
                  <c:v>45805</c:v>
                </c:pt>
                <c:pt idx="168">
                  <c:v>45804</c:v>
                </c:pt>
                <c:pt idx="169">
                  <c:v>45803</c:v>
                </c:pt>
                <c:pt idx="170">
                  <c:v>45802</c:v>
                </c:pt>
                <c:pt idx="171">
                  <c:v>45801</c:v>
                </c:pt>
                <c:pt idx="172">
                  <c:v>45800</c:v>
                </c:pt>
                <c:pt idx="173">
                  <c:v>45799</c:v>
                </c:pt>
                <c:pt idx="174">
                  <c:v>45798</c:v>
                </c:pt>
                <c:pt idx="175">
                  <c:v>45797</c:v>
                </c:pt>
                <c:pt idx="176">
                  <c:v>45796</c:v>
                </c:pt>
                <c:pt idx="177">
                  <c:v>45795</c:v>
                </c:pt>
                <c:pt idx="178">
                  <c:v>45794</c:v>
                </c:pt>
                <c:pt idx="179">
                  <c:v>45793</c:v>
                </c:pt>
                <c:pt idx="180">
                  <c:v>45792</c:v>
                </c:pt>
                <c:pt idx="181">
                  <c:v>45791</c:v>
                </c:pt>
                <c:pt idx="182">
                  <c:v>45790</c:v>
                </c:pt>
                <c:pt idx="183">
                  <c:v>45789</c:v>
                </c:pt>
                <c:pt idx="184">
                  <c:v>45788</c:v>
                </c:pt>
                <c:pt idx="185">
                  <c:v>45787</c:v>
                </c:pt>
                <c:pt idx="186">
                  <c:v>45786</c:v>
                </c:pt>
                <c:pt idx="187">
                  <c:v>45785</c:v>
                </c:pt>
                <c:pt idx="188">
                  <c:v>45784</c:v>
                </c:pt>
                <c:pt idx="189">
                  <c:v>45783</c:v>
                </c:pt>
                <c:pt idx="190">
                  <c:v>45782</c:v>
                </c:pt>
                <c:pt idx="191">
                  <c:v>45781</c:v>
                </c:pt>
                <c:pt idx="192">
                  <c:v>45780</c:v>
                </c:pt>
                <c:pt idx="193">
                  <c:v>45779</c:v>
                </c:pt>
                <c:pt idx="194">
                  <c:v>45778</c:v>
                </c:pt>
                <c:pt idx="195">
                  <c:v>45777</c:v>
                </c:pt>
                <c:pt idx="196">
                  <c:v>45776</c:v>
                </c:pt>
                <c:pt idx="197">
                  <c:v>45775</c:v>
                </c:pt>
                <c:pt idx="198">
                  <c:v>45774</c:v>
                </c:pt>
                <c:pt idx="199">
                  <c:v>45773</c:v>
                </c:pt>
                <c:pt idx="200">
                  <c:v>45772</c:v>
                </c:pt>
                <c:pt idx="201">
                  <c:v>45771</c:v>
                </c:pt>
                <c:pt idx="202">
                  <c:v>45770</c:v>
                </c:pt>
                <c:pt idx="203">
                  <c:v>45769</c:v>
                </c:pt>
                <c:pt idx="204">
                  <c:v>45768</c:v>
                </c:pt>
                <c:pt idx="205">
                  <c:v>45767</c:v>
                </c:pt>
                <c:pt idx="206">
                  <c:v>45766</c:v>
                </c:pt>
                <c:pt idx="207">
                  <c:v>45765</c:v>
                </c:pt>
                <c:pt idx="208">
                  <c:v>45764</c:v>
                </c:pt>
                <c:pt idx="209">
                  <c:v>45763</c:v>
                </c:pt>
                <c:pt idx="210">
                  <c:v>45762</c:v>
                </c:pt>
                <c:pt idx="211">
                  <c:v>45761</c:v>
                </c:pt>
                <c:pt idx="212">
                  <c:v>45760</c:v>
                </c:pt>
                <c:pt idx="213">
                  <c:v>45759</c:v>
                </c:pt>
                <c:pt idx="214">
                  <c:v>45758</c:v>
                </c:pt>
                <c:pt idx="215">
                  <c:v>45757</c:v>
                </c:pt>
                <c:pt idx="216">
                  <c:v>45756</c:v>
                </c:pt>
                <c:pt idx="217">
                  <c:v>45755</c:v>
                </c:pt>
                <c:pt idx="218">
                  <c:v>45754</c:v>
                </c:pt>
                <c:pt idx="219">
                  <c:v>45753</c:v>
                </c:pt>
                <c:pt idx="220">
                  <c:v>45752</c:v>
                </c:pt>
                <c:pt idx="221">
                  <c:v>45751</c:v>
                </c:pt>
                <c:pt idx="222">
                  <c:v>45750</c:v>
                </c:pt>
                <c:pt idx="223">
                  <c:v>45749</c:v>
                </c:pt>
                <c:pt idx="224">
                  <c:v>45748</c:v>
                </c:pt>
                <c:pt idx="225">
                  <c:v>45747</c:v>
                </c:pt>
                <c:pt idx="226">
                  <c:v>45746</c:v>
                </c:pt>
                <c:pt idx="227">
                  <c:v>45745</c:v>
                </c:pt>
                <c:pt idx="228">
                  <c:v>45744</c:v>
                </c:pt>
                <c:pt idx="229">
                  <c:v>45743</c:v>
                </c:pt>
                <c:pt idx="230">
                  <c:v>45742</c:v>
                </c:pt>
                <c:pt idx="231">
                  <c:v>45741</c:v>
                </c:pt>
                <c:pt idx="232">
                  <c:v>45740</c:v>
                </c:pt>
                <c:pt idx="233">
                  <c:v>45739</c:v>
                </c:pt>
                <c:pt idx="234">
                  <c:v>45738</c:v>
                </c:pt>
                <c:pt idx="235">
                  <c:v>45737</c:v>
                </c:pt>
                <c:pt idx="236">
                  <c:v>45736</c:v>
                </c:pt>
                <c:pt idx="237">
                  <c:v>45735</c:v>
                </c:pt>
                <c:pt idx="238">
                  <c:v>45734</c:v>
                </c:pt>
                <c:pt idx="239">
                  <c:v>45733</c:v>
                </c:pt>
                <c:pt idx="240">
                  <c:v>45732</c:v>
                </c:pt>
                <c:pt idx="241">
                  <c:v>45731</c:v>
                </c:pt>
                <c:pt idx="242">
                  <c:v>45730</c:v>
                </c:pt>
                <c:pt idx="243">
                  <c:v>45729</c:v>
                </c:pt>
                <c:pt idx="244">
                  <c:v>45728</c:v>
                </c:pt>
                <c:pt idx="245">
                  <c:v>45727</c:v>
                </c:pt>
                <c:pt idx="246">
                  <c:v>45726</c:v>
                </c:pt>
                <c:pt idx="247">
                  <c:v>45725</c:v>
                </c:pt>
                <c:pt idx="248">
                  <c:v>45724</c:v>
                </c:pt>
                <c:pt idx="249">
                  <c:v>45723</c:v>
                </c:pt>
                <c:pt idx="250">
                  <c:v>45722</c:v>
                </c:pt>
                <c:pt idx="251">
                  <c:v>45721</c:v>
                </c:pt>
                <c:pt idx="252">
                  <c:v>45720</c:v>
                </c:pt>
                <c:pt idx="253">
                  <c:v>45719</c:v>
                </c:pt>
                <c:pt idx="254">
                  <c:v>45718</c:v>
                </c:pt>
                <c:pt idx="255">
                  <c:v>45717</c:v>
                </c:pt>
                <c:pt idx="256">
                  <c:v>45716</c:v>
                </c:pt>
                <c:pt idx="257">
                  <c:v>45715</c:v>
                </c:pt>
                <c:pt idx="258">
                  <c:v>45714</c:v>
                </c:pt>
                <c:pt idx="259">
                  <c:v>45713</c:v>
                </c:pt>
                <c:pt idx="260">
                  <c:v>45712</c:v>
                </c:pt>
                <c:pt idx="261">
                  <c:v>45711</c:v>
                </c:pt>
                <c:pt idx="262">
                  <c:v>45710</c:v>
                </c:pt>
                <c:pt idx="263">
                  <c:v>45709</c:v>
                </c:pt>
                <c:pt idx="264">
                  <c:v>45708</c:v>
                </c:pt>
                <c:pt idx="265">
                  <c:v>45707</c:v>
                </c:pt>
                <c:pt idx="266">
                  <c:v>45706</c:v>
                </c:pt>
                <c:pt idx="267">
                  <c:v>45705</c:v>
                </c:pt>
                <c:pt idx="268">
                  <c:v>45704</c:v>
                </c:pt>
                <c:pt idx="269">
                  <c:v>45703</c:v>
                </c:pt>
                <c:pt idx="270">
                  <c:v>45702</c:v>
                </c:pt>
                <c:pt idx="271">
                  <c:v>45701</c:v>
                </c:pt>
                <c:pt idx="272">
                  <c:v>45700</c:v>
                </c:pt>
                <c:pt idx="273">
                  <c:v>45699</c:v>
                </c:pt>
                <c:pt idx="274">
                  <c:v>45698</c:v>
                </c:pt>
                <c:pt idx="275">
                  <c:v>45697</c:v>
                </c:pt>
                <c:pt idx="276">
                  <c:v>45696</c:v>
                </c:pt>
                <c:pt idx="277">
                  <c:v>45695</c:v>
                </c:pt>
                <c:pt idx="278">
                  <c:v>45694</c:v>
                </c:pt>
                <c:pt idx="279">
                  <c:v>45693</c:v>
                </c:pt>
                <c:pt idx="280">
                  <c:v>45692</c:v>
                </c:pt>
                <c:pt idx="281">
                  <c:v>45691</c:v>
                </c:pt>
                <c:pt idx="282">
                  <c:v>45690</c:v>
                </c:pt>
                <c:pt idx="283">
                  <c:v>45689</c:v>
                </c:pt>
                <c:pt idx="284">
                  <c:v>45688</c:v>
                </c:pt>
                <c:pt idx="285">
                  <c:v>45687</c:v>
                </c:pt>
                <c:pt idx="286">
                  <c:v>45686</c:v>
                </c:pt>
                <c:pt idx="287">
                  <c:v>45685</c:v>
                </c:pt>
                <c:pt idx="288">
                  <c:v>45684</c:v>
                </c:pt>
                <c:pt idx="289">
                  <c:v>45683</c:v>
                </c:pt>
                <c:pt idx="290">
                  <c:v>45682</c:v>
                </c:pt>
                <c:pt idx="291">
                  <c:v>45681</c:v>
                </c:pt>
                <c:pt idx="292">
                  <c:v>45680</c:v>
                </c:pt>
                <c:pt idx="293">
                  <c:v>45679</c:v>
                </c:pt>
                <c:pt idx="294">
                  <c:v>45678</c:v>
                </c:pt>
                <c:pt idx="295">
                  <c:v>45677</c:v>
                </c:pt>
                <c:pt idx="296">
                  <c:v>45676</c:v>
                </c:pt>
                <c:pt idx="297">
                  <c:v>45675</c:v>
                </c:pt>
                <c:pt idx="298">
                  <c:v>45674</c:v>
                </c:pt>
                <c:pt idx="299">
                  <c:v>45673</c:v>
                </c:pt>
                <c:pt idx="300">
                  <c:v>45672</c:v>
                </c:pt>
                <c:pt idx="301">
                  <c:v>45671</c:v>
                </c:pt>
                <c:pt idx="302">
                  <c:v>45670</c:v>
                </c:pt>
                <c:pt idx="303">
                  <c:v>45669</c:v>
                </c:pt>
                <c:pt idx="304">
                  <c:v>45668</c:v>
                </c:pt>
                <c:pt idx="305">
                  <c:v>45667</c:v>
                </c:pt>
                <c:pt idx="306">
                  <c:v>45666</c:v>
                </c:pt>
                <c:pt idx="307">
                  <c:v>45665</c:v>
                </c:pt>
                <c:pt idx="308">
                  <c:v>45664</c:v>
                </c:pt>
                <c:pt idx="309">
                  <c:v>45663</c:v>
                </c:pt>
                <c:pt idx="310">
                  <c:v>45662</c:v>
                </c:pt>
                <c:pt idx="311">
                  <c:v>45661</c:v>
                </c:pt>
                <c:pt idx="312">
                  <c:v>45660</c:v>
                </c:pt>
                <c:pt idx="313">
                  <c:v>45659</c:v>
                </c:pt>
                <c:pt idx="314">
                  <c:v>45658</c:v>
                </c:pt>
                <c:pt idx="315">
                  <c:v>45657</c:v>
                </c:pt>
                <c:pt idx="316">
                  <c:v>45656</c:v>
                </c:pt>
                <c:pt idx="317">
                  <c:v>45655</c:v>
                </c:pt>
                <c:pt idx="318">
                  <c:v>45654</c:v>
                </c:pt>
                <c:pt idx="319">
                  <c:v>45653</c:v>
                </c:pt>
                <c:pt idx="320">
                  <c:v>45652</c:v>
                </c:pt>
                <c:pt idx="321">
                  <c:v>45651</c:v>
                </c:pt>
                <c:pt idx="322">
                  <c:v>45650</c:v>
                </c:pt>
                <c:pt idx="323">
                  <c:v>45649</c:v>
                </c:pt>
                <c:pt idx="324">
                  <c:v>45648</c:v>
                </c:pt>
                <c:pt idx="325">
                  <c:v>45647</c:v>
                </c:pt>
                <c:pt idx="326">
                  <c:v>45646</c:v>
                </c:pt>
                <c:pt idx="327">
                  <c:v>45645</c:v>
                </c:pt>
                <c:pt idx="328">
                  <c:v>45644</c:v>
                </c:pt>
                <c:pt idx="329">
                  <c:v>45643</c:v>
                </c:pt>
                <c:pt idx="330">
                  <c:v>45642</c:v>
                </c:pt>
                <c:pt idx="331">
                  <c:v>45641</c:v>
                </c:pt>
                <c:pt idx="332">
                  <c:v>45640</c:v>
                </c:pt>
                <c:pt idx="333">
                  <c:v>45639</c:v>
                </c:pt>
                <c:pt idx="334">
                  <c:v>45638</c:v>
                </c:pt>
                <c:pt idx="335">
                  <c:v>45637</c:v>
                </c:pt>
                <c:pt idx="336">
                  <c:v>45636</c:v>
                </c:pt>
                <c:pt idx="337">
                  <c:v>45635</c:v>
                </c:pt>
                <c:pt idx="338">
                  <c:v>45634</c:v>
                </c:pt>
                <c:pt idx="339">
                  <c:v>45633</c:v>
                </c:pt>
                <c:pt idx="340">
                  <c:v>45632</c:v>
                </c:pt>
                <c:pt idx="341">
                  <c:v>45631</c:v>
                </c:pt>
                <c:pt idx="342">
                  <c:v>45630</c:v>
                </c:pt>
                <c:pt idx="343">
                  <c:v>45629</c:v>
                </c:pt>
                <c:pt idx="344">
                  <c:v>45628</c:v>
                </c:pt>
                <c:pt idx="345">
                  <c:v>45627</c:v>
                </c:pt>
                <c:pt idx="346">
                  <c:v>45626</c:v>
                </c:pt>
                <c:pt idx="347">
                  <c:v>45625</c:v>
                </c:pt>
                <c:pt idx="348">
                  <c:v>45624</c:v>
                </c:pt>
                <c:pt idx="349">
                  <c:v>45623</c:v>
                </c:pt>
                <c:pt idx="350">
                  <c:v>45622</c:v>
                </c:pt>
                <c:pt idx="351">
                  <c:v>45621</c:v>
                </c:pt>
                <c:pt idx="352">
                  <c:v>45620</c:v>
                </c:pt>
                <c:pt idx="353">
                  <c:v>45619</c:v>
                </c:pt>
                <c:pt idx="354">
                  <c:v>45618</c:v>
                </c:pt>
                <c:pt idx="355">
                  <c:v>45617</c:v>
                </c:pt>
                <c:pt idx="356">
                  <c:v>45616</c:v>
                </c:pt>
                <c:pt idx="357">
                  <c:v>45615</c:v>
                </c:pt>
                <c:pt idx="358">
                  <c:v>45614</c:v>
                </c:pt>
                <c:pt idx="359">
                  <c:v>45613</c:v>
                </c:pt>
                <c:pt idx="360">
                  <c:v>45612</c:v>
                </c:pt>
                <c:pt idx="361">
                  <c:v>45611</c:v>
                </c:pt>
                <c:pt idx="362">
                  <c:v>45610</c:v>
                </c:pt>
                <c:pt idx="363">
                  <c:v>45609</c:v>
                </c:pt>
                <c:pt idx="364">
                  <c:v>45608</c:v>
                </c:pt>
                <c:pt idx="365">
                  <c:v>45607</c:v>
                </c:pt>
                <c:pt idx="366">
                  <c:v>45606</c:v>
                </c:pt>
                <c:pt idx="367">
                  <c:v>45605</c:v>
                </c:pt>
                <c:pt idx="368">
                  <c:v>45604</c:v>
                </c:pt>
                <c:pt idx="369">
                  <c:v>45603</c:v>
                </c:pt>
                <c:pt idx="370">
                  <c:v>45602</c:v>
                </c:pt>
                <c:pt idx="371">
                  <c:v>45601</c:v>
                </c:pt>
                <c:pt idx="372">
                  <c:v>45600</c:v>
                </c:pt>
                <c:pt idx="373">
                  <c:v>45599</c:v>
                </c:pt>
                <c:pt idx="374">
                  <c:v>45598</c:v>
                </c:pt>
                <c:pt idx="375">
                  <c:v>45597</c:v>
                </c:pt>
                <c:pt idx="376">
                  <c:v>45596</c:v>
                </c:pt>
                <c:pt idx="377">
                  <c:v>45595</c:v>
                </c:pt>
                <c:pt idx="378">
                  <c:v>45594</c:v>
                </c:pt>
                <c:pt idx="379">
                  <c:v>45593</c:v>
                </c:pt>
                <c:pt idx="380">
                  <c:v>45592</c:v>
                </c:pt>
                <c:pt idx="381">
                  <c:v>45591</c:v>
                </c:pt>
                <c:pt idx="382">
                  <c:v>45590</c:v>
                </c:pt>
                <c:pt idx="383">
                  <c:v>45589</c:v>
                </c:pt>
                <c:pt idx="384">
                  <c:v>45588</c:v>
                </c:pt>
                <c:pt idx="385">
                  <c:v>45587</c:v>
                </c:pt>
                <c:pt idx="386">
                  <c:v>45586</c:v>
                </c:pt>
                <c:pt idx="387">
                  <c:v>45585</c:v>
                </c:pt>
                <c:pt idx="388">
                  <c:v>45584</c:v>
                </c:pt>
                <c:pt idx="389">
                  <c:v>45583</c:v>
                </c:pt>
                <c:pt idx="390">
                  <c:v>45582</c:v>
                </c:pt>
                <c:pt idx="391">
                  <c:v>45581</c:v>
                </c:pt>
                <c:pt idx="392">
                  <c:v>45580</c:v>
                </c:pt>
                <c:pt idx="393">
                  <c:v>45579</c:v>
                </c:pt>
                <c:pt idx="394">
                  <c:v>45578</c:v>
                </c:pt>
                <c:pt idx="395">
                  <c:v>45577</c:v>
                </c:pt>
                <c:pt idx="396">
                  <c:v>45576</c:v>
                </c:pt>
                <c:pt idx="397">
                  <c:v>45575</c:v>
                </c:pt>
                <c:pt idx="398">
                  <c:v>45574</c:v>
                </c:pt>
                <c:pt idx="399">
                  <c:v>45573</c:v>
                </c:pt>
                <c:pt idx="400">
                  <c:v>45572</c:v>
                </c:pt>
                <c:pt idx="401">
                  <c:v>45571</c:v>
                </c:pt>
                <c:pt idx="402">
                  <c:v>45570</c:v>
                </c:pt>
                <c:pt idx="403">
                  <c:v>45569</c:v>
                </c:pt>
                <c:pt idx="404">
                  <c:v>45568</c:v>
                </c:pt>
              </c:numCache>
            </c:numRef>
          </c:cat>
          <c:val>
            <c:numRef>
              <c:f>Dashboard!$E$154:$E$558</c:f>
              <c:numCache>
                <c:formatCode>General</c:formatCode>
                <c:ptCount val="405"/>
                <c:pt idx="8">
                  <c:v>2.994343920317426</c:v>
                </c:pt>
                <c:pt idx="9">
                  <c:v>3.0367844390168668</c:v>
                </c:pt>
                <c:pt idx="10">
                  <c:v>3.0792249577163044</c:v>
                </c:pt>
                <c:pt idx="11">
                  <c:v>3.1216654764157421</c:v>
                </c:pt>
                <c:pt idx="12">
                  <c:v>3.1641059951151798</c:v>
                </c:pt>
                <c:pt idx="13">
                  <c:v>3.2065465138146174</c:v>
                </c:pt>
                <c:pt idx="14">
                  <c:v>3.2489870325140551</c:v>
                </c:pt>
                <c:pt idx="15">
                  <c:v>3.2914275512134927</c:v>
                </c:pt>
                <c:pt idx="16">
                  <c:v>3.3338680699129304</c:v>
                </c:pt>
                <c:pt idx="17">
                  <c:v>3.376308588612368</c:v>
                </c:pt>
                <c:pt idx="18">
                  <c:v>3.4187491073118057</c:v>
                </c:pt>
                <c:pt idx="19">
                  <c:v>3.4611896260112434</c:v>
                </c:pt>
                <c:pt idx="20">
                  <c:v>3.503630144710681</c:v>
                </c:pt>
                <c:pt idx="21">
                  <c:v>3.5460706634101187</c:v>
                </c:pt>
                <c:pt idx="22">
                  <c:v>3.5885111821095563</c:v>
                </c:pt>
                <c:pt idx="23">
                  <c:v>3.630951700808994</c:v>
                </c:pt>
                <c:pt idx="24">
                  <c:v>3.6733922195084316</c:v>
                </c:pt>
                <c:pt idx="25">
                  <c:v>3.7158327382078693</c:v>
                </c:pt>
                <c:pt idx="26">
                  <c:v>3.758273256907307</c:v>
                </c:pt>
                <c:pt idx="27">
                  <c:v>3.8007137756067446</c:v>
                </c:pt>
                <c:pt idx="28">
                  <c:v>3.8431542943061823</c:v>
                </c:pt>
                <c:pt idx="29">
                  <c:v>3.8855948130056199</c:v>
                </c:pt>
                <c:pt idx="30">
                  <c:v>3.9280353317050576</c:v>
                </c:pt>
                <c:pt idx="31">
                  <c:v>3.9704758504044952</c:v>
                </c:pt>
                <c:pt idx="32">
                  <c:v>4.0129163691039329</c:v>
                </c:pt>
                <c:pt idx="33">
                  <c:v>4.055356887803371</c:v>
                </c:pt>
                <c:pt idx="34">
                  <c:v>4.0977974065028091</c:v>
                </c:pt>
                <c:pt idx="35">
                  <c:v>4.1402379252022472</c:v>
                </c:pt>
                <c:pt idx="36">
                  <c:v>4.1826784439016853</c:v>
                </c:pt>
                <c:pt idx="37">
                  <c:v>4.2251189626011234</c:v>
                </c:pt>
                <c:pt idx="38">
                  <c:v>4.2675594813005615</c:v>
                </c:pt>
                <c:pt idx="39">
                  <c:v>4.3099999999999996</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45972</c:v>
                </c:pt>
                <c:pt idx="1">
                  <c:v>45971</c:v>
                </c:pt>
                <c:pt idx="2">
                  <c:v>45970</c:v>
                </c:pt>
                <c:pt idx="3">
                  <c:v>45969</c:v>
                </c:pt>
                <c:pt idx="4">
                  <c:v>45968</c:v>
                </c:pt>
                <c:pt idx="5">
                  <c:v>45967</c:v>
                </c:pt>
                <c:pt idx="6">
                  <c:v>45966</c:v>
                </c:pt>
                <c:pt idx="7">
                  <c:v>45965</c:v>
                </c:pt>
                <c:pt idx="8">
                  <c:v>45964</c:v>
                </c:pt>
                <c:pt idx="9">
                  <c:v>45963</c:v>
                </c:pt>
                <c:pt idx="10">
                  <c:v>45962</c:v>
                </c:pt>
                <c:pt idx="11">
                  <c:v>45961</c:v>
                </c:pt>
                <c:pt idx="12">
                  <c:v>45960</c:v>
                </c:pt>
                <c:pt idx="13">
                  <c:v>45959</c:v>
                </c:pt>
                <c:pt idx="14">
                  <c:v>45958</c:v>
                </c:pt>
                <c:pt idx="15">
                  <c:v>45957</c:v>
                </c:pt>
                <c:pt idx="16">
                  <c:v>45956</c:v>
                </c:pt>
                <c:pt idx="17">
                  <c:v>45955</c:v>
                </c:pt>
                <c:pt idx="18">
                  <c:v>45954</c:v>
                </c:pt>
                <c:pt idx="19">
                  <c:v>45953</c:v>
                </c:pt>
                <c:pt idx="20">
                  <c:v>45952</c:v>
                </c:pt>
                <c:pt idx="21">
                  <c:v>45951</c:v>
                </c:pt>
                <c:pt idx="22">
                  <c:v>45950</c:v>
                </c:pt>
                <c:pt idx="23">
                  <c:v>45949</c:v>
                </c:pt>
                <c:pt idx="24">
                  <c:v>45948</c:v>
                </c:pt>
                <c:pt idx="25">
                  <c:v>45947</c:v>
                </c:pt>
                <c:pt idx="26">
                  <c:v>45946</c:v>
                </c:pt>
                <c:pt idx="27">
                  <c:v>45945</c:v>
                </c:pt>
                <c:pt idx="28">
                  <c:v>45944</c:v>
                </c:pt>
                <c:pt idx="29">
                  <c:v>45943</c:v>
                </c:pt>
                <c:pt idx="30">
                  <c:v>45942</c:v>
                </c:pt>
                <c:pt idx="31">
                  <c:v>45941</c:v>
                </c:pt>
                <c:pt idx="32">
                  <c:v>45940</c:v>
                </c:pt>
                <c:pt idx="33">
                  <c:v>45939</c:v>
                </c:pt>
                <c:pt idx="34">
                  <c:v>45938</c:v>
                </c:pt>
                <c:pt idx="35">
                  <c:v>45937</c:v>
                </c:pt>
                <c:pt idx="36">
                  <c:v>45936</c:v>
                </c:pt>
                <c:pt idx="37">
                  <c:v>45935</c:v>
                </c:pt>
                <c:pt idx="38">
                  <c:v>45934</c:v>
                </c:pt>
                <c:pt idx="39">
                  <c:v>45933</c:v>
                </c:pt>
                <c:pt idx="40">
                  <c:v>45932</c:v>
                </c:pt>
                <c:pt idx="41">
                  <c:v>45931</c:v>
                </c:pt>
                <c:pt idx="42">
                  <c:v>45930</c:v>
                </c:pt>
                <c:pt idx="43">
                  <c:v>45929</c:v>
                </c:pt>
                <c:pt idx="44">
                  <c:v>45928</c:v>
                </c:pt>
                <c:pt idx="45">
                  <c:v>45927</c:v>
                </c:pt>
                <c:pt idx="46">
                  <c:v>45926</c:v>
                </c:pt>
                <c:pt idx="47">
                  <c:v>45925</c:v>
                </c:pt>
                <c:pt idx="48">
                  <c:v>45924</c:v>
                </c:pt>
                <c:pt idx="49">
                  <c:v>45923</c:v>
                </c:pt>
                <c:pt idx="50">
                  <c:v>45922</c:v>
                </c:pt>
                <c:pt idx="51">
                  <c:v>45921</c:v>
                </c:pt>
                <c:pt idx="52">
                  <c:v>45920</c:v>
                </c:pt>
                <c:pt idx="53">
                  <c:v>45919</c:v>
                </c:pt>
                <c:pt idx="54">
                  <c:v>45918</c:v>
                </c:pt>
                <c:pt idx="55">
                  <c:v>45917</c:v>
                </c:pt>
                <c:pt idx="56">
                  <c:v>45916</c:v>
                </c:pt>
                <c:pt idx="57">
                  <c:v>45915</c:v>
                </c:pt>
                <c:pt idx="58">
                  <c:v>45914</c:v>
                </c:pt>
                <c:pt idx="59">
                  <c:v>45913</c:v>
                </c:pt>
                <c:pt idx="60">
                  <c:v>45912</c:v>
                </c:pt>
                <c:pt idx="61">
                  <c:v>45911</c:v>
                </c:pt>
                <c:pt idx="62">
                  <c:v>45910</c:v>
                </c:pt>
                <c:pt idx="63">
                  <c:v>45909</c:v>
                </c:pt>
                <c:pt idx="64">
                  <c:v>45908</c:v>
                </c:pt>
                <c:pt idx="65">
                  <c:v>45907</c:v>
                </c:pt>
                <c:pt idx="66">
                  <c:v>45906</c:v>
                </c:pt>
                <c:pt idx="67">
                  <c:v>45905</c:v>
                </c:pt>
                <c:pt idx="68">
                  <c:v>45904</c:v>
                </c:pt>
                <c:pt idx="69">
                  <c:v>45903</c:v>
                </c:pt>
                <c:pt idx="70">
                  <c:v>45902</c:v>
                </c:pt>
                <c:pt idx="71">
                  <c:v>45901</c:v>
                </c:pt>
                <c:pt idx="72">
                  <c:v>45900</c:v>
                </c:pt>
                <c:pt idx="73">
                  <c:v>45899</c:v>
                </c:pt>
                <c:pt idx="74">
                  <c:v>45898</c:v>
                </c:pt>
                <c:pt idx="75">
                  <c:v>45897</c:v>
                </c:pt>
                <c:pt idx="76">
                  <c:v>45896</c:v>
                </c:pt>
                <c:pt idx="77">
                  <c:v>45895</c:v>
                </c:pt>
                <c:pt idx="78">
                  <c:v>45894</c:v>
                </c:pt>
                <c:pt idx="79">
                  <c:v>45893</c:v>
                </c:pt>
                <c:pt idx="80">
                  <c:v>45892</c:v>
                </c:pt>
                <c:pt idx="81">
                  <c:v>45891</c:v>
                </c:pt>
                <c:pt idx="82">
                  <c:v>45890</c:v>
                </c:pt>
                <c:pt idx="83">
                  <c:v>45889</c:v>
                </c:pt>
                <c:pt idx="84">
                  <c:v>45888</c:v>
                </c:pt>
                <c:pt idx="85">
                  <c:v>45887</c:v>
                </c:pt>
                <c:pt idx="86">
                  <c:v>45886</c:v>
                </c:pt>
                <c:pt idx="87">
                  <c:v>45885</c:v>
                </c:pt>
                <c:pt idx="88">
                  <c:v>45884</c:v>
                </c:pt>
                <c:pt idx="89">
                  <c:v>45883</c:v>
                </c:pt>
                <c:pt idx="90">
                  <c:v>45882</c:v>
                </c:pt>
                <c:pt idx="91">
                  <c:v>45881</c:v>
                </c:pt>
                <c:pt idx="92">
                  <c:v>45880</c:v>
                </c:pt>
                <c:pt idx="93">
                  <c:v>45879</c:v>
                </c:pt>
                <c:pt idx="94">
                  <c:v>45878</c:v>
                </c:pt>
                <c:pt idx="95">
                  <c:v>45877</c:v>
                </c:pt>
                <c:pt idx="96">
                  <c:v>45876</c:v>
                </c:pt>
                <c:pt idx="97">
                  <c:v>45875</c:v>
                </c:pt>
                <c:pt idx="98">
                  <c:v>45874</c:v>
                </c:pt>
                <c:pt idx="99">
                  <c:v>45873</c:v>
                </c:pt>
                <c:pt idx="100">
                  <c:v>45872</c:v>
                </c:pt>
                <c:pt idx="101">
                  <c:v>45871</c:v>
                </c:pt>
                <c:pt idx="102">
                  <c:v>45870</c:v>
                </c:pt>
                <c:pt idx="103">
                  <c:v>45869</c:v>
                </c:pt>
                <c:pt idx="104">
                  <c:v>45868</c:v>
                </c:pt>
                <c:pt idx="105">
                  <c:v>45867</c:v>
                </c:pt>
                <c:pt idx="106">
                  <c:v>45866</c:v>
                </c:pt>
                <c:pt idx="107">
                  <c:v>45865</c:v>
                </c:pt>
                <c:pt idx="108">
                  <c:v>45864</c:v>
                </c:pt>
                <c:pt idx="109">
                  <c:v>45863</c:v>
                </c:pt>
                <c:pt idx="110">
                  <c:v>45862</c:v>
                </c:pt>
                <c:pt idx="111">
                  <c:v>45861</c:v>
                </c:pt>
                <c:pt idx="112">
                  <c:v>45860</c:v>
                </c:pt>
                <c:pt idx="113">
                  <c:v>45859</c:v>
                </c:pt>
                <c:pt idx="114">
                  <c:v>45858</c:v>
                </c:pt>
                <c:pt idx="115">
                  <c:v>45857</c:v>
                </c:pt>
                <c:pt idx="116">
                  <c:v>45856</c:v>
                </c:pt>
                <c:pt idx="117">
                  <c:v>45855</c:v>
                </c:pt>
                <c:pt idx="118">
                  <c:v>45854</c:v>
                </c:pt>
                <c:pt idx="119">
                  <c:v>45853</c:v>
                </c:pt>
                <c:pt idx="120">
                  <c:v>45852</c:v>
                </c:pt>
                <c:pt idx="121">
                  <c:v>45851</c:v>
                </c:pt>
                <c:pt idx="122">
                  <c:v>45850</c:v>
                </c:pt>
                <c:pt idx="123">
                  <c:v>45849</c:v>
                </c:pt>
                <c:pt idx="124">
                  <c:v>45848</c:v>
                </c:pt>
                <c:pt idx="125">
                  <c:v>45847</c:v>
                </c:pt>
                <c:pt idx="126">
                  <c:v>45846</c:v>
                </c:pt>
                <c:pt idx="127">
                  <c:v>45845</c:v>
                </c:pt>
                <c:pt idx="128">
                  <c:v>45844</c:v>
                </c:pt>
                <c:pt idx="129">
                  <c:v>45843</c:v>
                </c:pt>
                <c:pt idx="130">
                  <c:v>45842</c:v>
                </c:pt>
                <c:pt idx="131">
                  <c:v>45841</c:v>
                </c:pt>
                <c:pt idx="132">
                  <c:v>45840</c:v>
                </c:pt>
                <c:pt idx="133">
                  <c:v>45839</c:v>
                </c:pt>
                <c:pt idx="134">
                  <c:v>45838</c:v>
                </c:pt>
                <c:pt idx="135">
                  <c:v>45837</c:v>
                </c:pt>
                <c:pt idx="136">
                  <c:v>45836</c:v>
                </c:pt>
                <c:pt idx="137">
                  <c:v>45835</c:v>
                </c:pt>
                <c:pt idx="138">
                  <c:v>45834</c:v>
                </c:pt>
                <c:pt idx="139">
                  <c:v>45833</c:v>
                </c:pt>
                <c:pt idx="140">
                  <c:v>45832</c:v>
                </c:pt>
                <c:pt idx="141">
                  <c:v>45831</c:v>
                </c:pt>
                <c:pt idx="142">
                  <c:v>45830</c:v>
                </c:pt>
                <c:pt idx="143">
                  <c:v>45829</c:v>
                </c:pt>
                <c:pt idx="144">
                  <c:v>45828</c:v>
                </c:pt>
                <c:pt idx="145">
                  <c:v>45827</c:v>
                </c:pt>
                <c:pt idx="146">
                  <c:v>45826</c:v>
                </c:pt>
                <c:pt idx="147">
                  <c:v>45825</c:v>
                </c:pt>
                <c:pt idx="148">
                  <c:v>45824</c:v>
                </c:pt>
                <c:pt idx="149">
                  <c:v>45823</c:v>
                </c:pt>
                <c:pt idx="150">
                  <c:v>45822</c:v>
                </c:pt>
                <c:pt idx="151">
                  <c:v>45821</c:v>
                </c:pt>
                <c:pt idx="152">
                  <c:v>45820</c:v>
                </c:pt>
                <c:pt idx="153">
                  <c:v>45819</c:v>
                </c:pt>
                <c:pt idx="154">
                  <c:v>45818</c:v>
                </c:pt>
                <c:pt idx="155">
                  <c:v>45817</c:v>
                </c:pt>
                <c:pt idx="156">
                  <c:v>45816</c:v>
                </c:pt>
                <c:pt idx="157">
                  <c:v>45815</c:v>
                </c:pt>
                <c:pt idx="158">
                  <c:v>45814</c:v>
                </c:pt>
                <c:pt idx="159">
                  <c:v>45813</c:v>
                </c:pt>
                <c:pt idx="160">
                  <c:v>45812</c:v>
                </c:pt>
                <c:pt idx="161">
                  <c:v>45811</c:v>
                </c:pt>
                <c:pt idx="162">
                  <c:v>45810</c:v>
                </c:pt>
                <c:pt idx="163">
                  <c:v>45809</c:v>
                </c:pt>
                <c:pt idx="164">
                  <c:v>45808</c:v>
                </c:pt>
                <c:pt idx="165">
                  <c:v>45807</c:v>
                </c:pt>
                <c:pt idx="166">
                  <c:v>45806</c:v>
                </c:pt>
                <c:pt idx="167">
                  <c:v>45805</c:v>
                </c:pt>
                <c:pt idx="168">
                  <c:v>45804</c:v>
                </c:pt>
                <c:pt idx="169">
                  <c:v>45803</c:v>
                </c:pt>
                <c:pt idx="170">
                  <c:v>45802</c:v>
                </c:pt>
                <c:pt idx="171">
                  <c:v>45801</c:v>
                </c:pt>
                <c:pt idx="172">
                  <c:v>45800</c:v>
                </c:pt>
                <c:pt idx="173">
                  <c:v>45799</c:v>
                </c:pt>
                <c:pt idx="174">
                  <c:v>45798</c:v>
                </c:pt>
                <c:pt idx="175">
                  <c:v>45797</c:v>
                </c:pt>
                <c:pt idx="176">
                  <c:v>45796</c:v>
                </c:pt>
                <c:pt idx="177">
                  <c:v>45795</c:v>
                </c:pt>
                <c:pt idx="178">
                  <c:v>45794</c:v>
                </c:pt>
                <c:pt idx="179">
                  <c:v>45793</c:v>
                </c:pt>
                <c:pt idx="180">
                  <c:v>45792</c:v>
                </c:pt>
                <c:pt idx="181">
                  <c:v>45791</c:v>
                </c:pt>
                <c:pt idx="182">
                  <c:v>45790</c:v>
                </c:pt>
                <c:pt idx="183">
                  <c:v>45789</c:v>
                </c:pt>
                <c:pt idx="184">
                  <c:v>45788</c:v>
                </c:pt>
                <c:pt idx="185">
                  <c:v>45787</c:v>
                </c:pt>
                <c:pt idx="186">
                  <c:v>45786</c:v>
                </c:pt>
                <c:pt idx="187">
                  <c:v>45785</c:v>
                </c:pt>
                <c:pt idx="188">
                  <c:v>45784</c:v>
                </c:pt>
                <c:pt idx="189">
                  <c:v>45783</c:v>
                </c:pt>
                <c:pt idx="190">
                  <c:v>45782</c:v>
                </c:pt>
                <c:pt idx="191">
                  <c:v>45781</c:v>
                </c:pt>
                <c:pt idx="192">
                  <c:v>45780</c:v>
                </c:pt>
                <c:pt idx="193">
                  <c:v>45779</c:v>
                </c:pt>
                <c:pt idx="194">
                  <c:v>45778</c:v>
                </c:pt>
                <c:pt idx="195">
                  <c:v>45777</c:v>
                </c:pt>
                <c:pt idx="196">
                  <c:v>45776</c:v>
                </c:pt>
                <c:pt idx="197">
                  <c:v>45775</c:v>
                </c:pt>
                <c:pt idx="198">
                  <c:v>45774</c:v>
                </c:pt>
                <c:pt idx="199">
                  <c:v>45773</c:v>
                </c:pt>
                <c:pt idx="200">
                  <c:v>45772</c:v>
                </c:pt>
                <c:pt idx="201">
                  <c:v>45771</c:v>
                </c:pt>
                <c:pt idx="202">
                  <c:v>45770</c:v>
                </c:pt>
                <c:pt idx="203">
                  <c:v>45769</c:v>
                </c:pt>
                <c:pt idx="204">
                  <c:v>45768</c:v>
                </c:pt>
                <c:pt idx="205">
                  <c:v>45767</c:v>
                </c:pt>
                <c:pt idx="206">
                  <c:v>45766</c:v>
                </c:pt>
                <c:pt idx="207">
                  <c:v>45765</c:v>
                </c:pt>
                <c:pt idx="208">
                  <c:v>45764</c:v>
                </c:pt>
                <c:pt idx="209">
                  <c:v>45763</c:v>
                </c:pt>
                <c:pt idx="210">
                  <c:v>45762</c:v>
                </c:pt>
                <c:pt idx="211">
                  <c:v>45761</c:v>
                </c:pt>
                <c:pt idx="212">
                  <c:v>45760</c:v>
                </c:pt>
                <c:pt idx="213">
                  <c:v>45759</c:v>
                </c:pt>
                <c:pt idx="214">
                  <c:v>45758</c:v>
                </c:pt>
                <c:pt idx="215">
                  <c:v>45757</c:v>
                </c:pt>
                <c:pt idx="216">
                  <c:v>45756</c:v>
                </c:pt>
                <c:pt idx="217">
                  <c:v>45755</c:v>
                </c:pt>
                <c:pt idx="218">
                  <c:v>45754</c:v>
                </c:pt>
                <c:pt idx="219">
                  <c:v>45753</c:v>
                </c:pt>
                <c:pt idx="220">
                  <c:v>45752</c:v>
                </c:pt>
                <c:pt idx="221">
                  <c:v>45751</c:v>
                </c:pt>
                <c:pt idx="222">
                  <c:v>45750</c:v>
                </c:pt>
                <c:pt idx="223">
                  <c:v>45749</c:v>
                </c:pt>
                <c:pt idx="224">
                  <c:v>45748</c:v>
                </c:pt>
                <c:pt idx="225">
                  <c:v>45747</c:v>
                </c:pt>
                <c:pt idx="226">
                  <c:v>45746</c:v>
                </c:pt>
                <c:pt idx="227">
                  <c:v>45745</c:v>
                </c:pt>
                <c:pt idx="228">
                  <c:v>45744</c:v>
                </c:pt>
                <c:pt idx="229">
                  <c:v>45743</c:v>
                </c:pt>
                <c:pt idx="230">
                  <c:v>45742</c:v>
                </c:pt>
                <c:pt idx="231">
                  <c:v>45741</c:v>
                </c:pt>
                <c:pt idx="232">
                  <c:v>45740</c:v>
                </c:pt>
                <c:pt idx="233">
                  <c:v>45739</c:v>
                </c:pt>
                <c:pt idx="234">
                  <c:v>45738</c:v>
                </c:pt>
                <c:pt idx="235">
                  <c:v>45737</c:v>
                </c:pt>
                <c:pt idx="236">
                  <c:v>45736</c:v>
                </c:pt>
                <c:pt idx="237">
                  <c:v>45735</c:v>
                </c:pt>
                <c:pt idx="238">
                  <c:v>45734</c:v>
                </c:pt>
                <c:pt idx="239">
                  <c:v>45733</c:v>
                </c:pt>
                <c:pt idx="240">
                  <c:v>45732</c:v>
                </c:pt>
                <c:pt idx="241">
                  <c:v>45731</c:v>
                </c:pt>
                <c:pt idx="242">
                  <c:v>45730</c:v>
                </c:pt>
                <c:pt idx="243">
                  <c:v>45729</c:v>
                </c:pt>
                <c:pt idx="244">
                  <c:v>45728</c:v>
                </c:pt>
                <c:pt idx="245">
                  <c:v>45727</c:v>
                </c:pt>
                <c:pt idx="246">
                  <c:v>45726</c:v>
                </c:pt>
                <c:pt idx="247">
                  <c:v>45725</c:v>
                </c:pt>
                <c:pt idx="248">
                  <c:v>45724</c:v>
                </c:pt>
                <c:pt idx="249">
                  <c:v>45723</c:v>
                </c:pt>
                <c:pt idx="250">
                  <c:v>45722</c:v>
                </c:pt>
                <c:pt idx="251">
                  <c:v>45721</c:v>
                </c:pt>
                <c:pt idx="252">
                  <c:v>45720</c:v>
                </c:pt>
                <c:pt idx="253">
                  <c:v>45719</c:v>
                </c:pt>
                <c:pt idx="254">
                  <c:v>45718</c:v>
                </c:pt>
                <c:pt idx="255">
                  <c:v>45717</c:v>
                </c:pt>
                <c:pt idx="256">
                  <c:v>45716</c:v>
                </c:pt>
                <c:pt idx="257">
                  <c:v>45715</c:v>
                </c:pt>
                <c:pt idx="258">
                  <c:v>45714</c:v>
                </c:pt>
                <c:pt idx="259">
                  <c:v>45713</c:v>
                </c:pt>
                <c:pt idx="260">
                  <c:v>45712</c:v>
                </c:pt>
                <c:pt idx="261">
                  <c:v>45711</c:v>
                </c:pt>
                <c:pt idx="262">
                  <c:v>45710</c:v>
                </c:pt>
                <c:pt idx="263">
                  <c:v>45709</c:v>
                </c:pt>
                <c:pt idx="264">
                  <c:v>45708</c:v>
                </c:pt>
                <c:pt idx="265">
                  <c:v>45707</c:v>
                </c:pt>
                <c:pt idx="266">
                  <c:v>45706</c:v>
                </c:pt>
                <c:pt idx="267">
                  <c:v>45705</c:v>
                </c:pt>
                <c:pt idx="268">
                  <c:v>45704</c:v>
                </c:pt>
                <c:pt idx="269">
                  <c:v>45703</c:v>
                </c:pt>
                <c:pt idx="270">
                  <c:v>45702</c:v>
                </c:pt>
                <c:pt idx="271">
                  <c:v>45701</c:v>
                </c:pt>
                <c:pt idx="272">
                  <c:v>45700</c:v>
                </c:pt>
                <c:pt idx="273">
                  <c:v>45699</c:v>
                </c:pt>
                <c:pt idx="274">
                  <c:v>45698</c:v>
                </c:pt>
                <c:pt idx="275">
                  <c:v>45697</c:v>
                </c:pt>
                <c:pt idx="276">
                  <c:v>45696</c:v>
                </c:pt>
                <c:pt idx="277">
                  <c:v>45695</c:v>
                </c:pt>
                <c:pt idx="278">
                  <c:v>45694</c:v>
                </c:pt>
                <c:pt idx="279">
                  <c:v>45693</c:v>
                </c:pt>
                <c:pt idx="280">
                  <c:v>45692</c:v>
                </c:pt>
                <c:pt idx="281">
                  <c:v>45691</c:v>
                </c:pt>
                <c:pt idx="282">
                  <c:v>45690</c:v>
                </c:pt>
                <c:pt idx="283">
                  <c:v>45689</c:v>
                </c:pt>
                <c:pt idx="284">
                  <c:v>45688</c:v>
                </c:pt>
                <c:pt idx="285">
                  <c:v>45687</c:v>
                </c:pt>
                <c:pt idx="286">
                  <c:v>45686</c:v>
                </c:pt>
                <c:pt idx="287">
                  <c:v>45685</c:v>
                </c:pt>
                <c:pt idx="288">
                  <c:v>45684</c:v>
                </c:pt>
                <c:pt idx="289">
                  <c:v>45683</c:v>
                </c:pt>
                <c:pt idx="290">
                  <c:v>45682</c:v>
                </c:pt>
                <c:pt idx="291">
                  <c:v>45681</c:v>
                </c:pt>
                <c:pt idx="292">
                  <c:v>45680</c:v>
                </c:pt>
                <c:pt idx="293">
                  <c:v>45679</c:v>
                </c:pt>
                <c:pt idx="294">
                  <c:v>45678</c:v>
                </c:pt>
                <c:pt idx="295">
                  <c:v>45677</c:v>
                </c:pt>
                <c:pt idx="296">
                  <c:v>45676</c:v>
                </c:pt>
                <c:pt idx="297">
                  <c:v>45675</c:v>
                </c:pt>
                <c:pt idx="298">
                  <c:v>45674</c:v>
                </c:pt>
                <c:pt idx="299">
                  <c:v>45673</c:v>
                </c:pt>
                <c:pt idx="300">
                  <c:v>45672</c:v>
                </c:pt>
                <c:pt idx="301">
                  <c:v>45671</c:v>
                </c:pt>
                <c:pt idx="302">
                  <c:v>45670</c:v>
                </c:pt>
                <c:pt idx="303">
                  <c:v>45669</c:v>
                </c:pt>
                <c:pt idx="304">
                  <c:v>45668</c:v>
                </c:pt>
                <c:pt idx="305">
                  <c:v>45667</c:v>
                </c:pt>
                <c:pt idx="306">
                  <c:v>45666</c:v>
                </c:pt>
                <c:pt idx="307">
                  <c:v>45665</c:v>
                </c:pt>
                <c:pt idx="308">
                  <c:v>45664</c:v>
                </c:pt>
                <c:pt idx="309">
                  <c:v>45663</c:v>
                </c:pt>
                <c:pt idx="310">
                  <c:v>45662</c:v>
                </c:pt>
                <c:pt idx="311">
                  <c:v>45661</c:v>
                </c:pt>
                <c:pt idx="312">
                  <c:v>45660</c:v>
                </c:pt>
                <c:pt idx="313">
                  <c:v>45659</c:v>
                </c:pt>
                <c:pt idx="314">
                  <c:v>45658</c:v>
                </c:pt>
                <c:pt idx="315">
                  <c:v>45657</c:v>
                </c:pt>
                <c:pt idx="316">
                  <c:v>45656</c:v>
                </c:pt>
                <c:pt idx="317">
                  <c:v>45655</c:v>
                </c:pt>
                <c:pt idx="318">
                  <c:v>45654</c:v>
                </c:pt>
                <c:pt idx="319">
                  <c:v>45653</c:v>
                </c:pt>
                <c:pt idx="320">
                  <c:v>45652</c:v>
                </c:pt>
                <c:pt idx="321">
                  <c:v>45651</c:v>
                </c:pt>
                <c:pt idx="322">
                  <c:v>45650</c:v>
                </c:pt>
                <c:pt idx="323">
                  <c:v>45649</c:v>
                </c:pt>
                <c:pt idx="324">
                  <c:v>45648</c:v>
                </c:pt>
                <c:pt idx="325">
                  <c:v>45647</c:v>
                </c:pt>
                <c:pt idx="326">
                  <c:v>45646</c:v>
                </c:pt>
                <c:pt idx="327">
                  <c:v>45645</c:v>
                </c:pt>
                <c:pt idx="328">
                  <c:v>45644</c:v>
                </c:pt>
                <c:pt idx="329">
                  <c:v>45643</c:v>
                </c:pt>
                <c:pt idx="330">
                  <c:v>45642</c:v>
                </c:pt>
                <c:pt idx="331">
                  <c:v>45641</c:v>
                </c:pt>
                <c:pt idx="332">
                  <c:v>45640</c:v>
                </c:pt>
                <c:pt idx="333">
                  <c:v>45639</c:v>
                </c:pt>
                <c:pt idx="334">
                  <c:v>45638</c:v>
                </c:pt>
                <c:pt idx="335">
                  <c:v>45637</c:v>
                </c:pt>
                <c:pt idx="336">
                  <c:v>45636</c:v>
                </c:pt>
                <c:pt idx="337">
                  <c:v>45635</c:v>
                </c:pt>
                <c:pt idx="338">
                  <c:v>45634</c:v>
                </c:pt>
                <c:pt idx="339">
                  <c:v>45633</c:v>
                </c:pt>
                <c:pt idx="340">
                  <c:v>45632</c:v>
                </c:pt>
                <c:pt idx="341">
                  <c:v>45631</c:v>
                </c:pt>
                <c:pt idx="342">
                  <c:v>45630</c:v>
                </c:pt>
                <c:pt idx="343">
                  <c:v>45629</c:v>
                </c:pt>
                <c:pt idx="344">
                  <c:v>45628</c:v>
                </c:pt>
                <c:pt idx="345">
                  <c:v>45627</c:v>
                </c:pt>
                <c:pt idx="346">
                  <c:v>45626</c:v>
                </c:pt>
                <c:pt idx="347">
                  <c:v>45625</c:v>
                </c:pt>
                <c:pt idx="348">
                  <c:v>45624</c:v>
                </c:pt>
                <c:pt idx="349">
                  <c:v>45623</c:v>
                </c:pt>
                <c:pt idx="350">
                  <c:v>45622</c:v>
                </c:pt>
                <c:pt idx="351">
                  <c:v>45621</c:v>
                </c:pt>
                <c:pt idx="352">
                  <c:v>45620</c:v>
                </c:pt>
                <c:pt idx="353">
                  <c:v>45619</c:v>
                </c:pt>
                <c:pt idx="354">
                  <c:v>45618</c:v>
                </c:pt>
                <c:pt idx="355">
                  <c:v>45617</c:v>
                </c:pt>
                <c:pt idx="356">
                  <c:v>45616</c:v>
                </c:pt>
                <c:pt idx="357">
                  <c:v>45615</c:v>
                </c:pt>
                <c:pt idx="358">
                  <c:v>45614</c:v>
                </c:pt>
                <c:pt idx="359">
                  <c:v>45613</c:v>
                </c:pt>
                <c:pt idx="360">
                  <c:v>45612</c:v>
                </c:pt>
                <c:pt idx="361">
                  <c:v>45611</c:v>
                </c:pt>
                <c:pt idx="362">
                  <c:v>45610</c:v>
                </c:pt>
                <c:pt idx="363">
                  <c:v>45609</c:v>
                </c:pt>
                <c:pt idx="364">
                  <c:v>45608</c:v>
                </c:pt>
                <c:pt idx="365">
                  <c:v>45607</c:v>
                </c:pt>
                <c:pt idx="366">
                  <c:v>45606</c:v>
                </c:pt>
                <c:pt idx="367">
                  <c:v>45605</c:v>
                </c:pt>
                <c:pt idx="368">
                  <c:v>45604</c:v>
                </c:pt>
                <c:pt idx="369">
                  <c:v>45603</c:v>
                </c:pt>
                <c:pt idx="370">
                  <c:v>45602</c:v>
                </c:pt>
                <c:pt idx="371">
                  <c:v>45601</c:v>
                </c:pt>
                <c:pt idx="372">
                  <c:v>45600</c:v>
                </c:pt>
                <c:pt idx="373">
                  <c:v>45599</c:v>
                </c:pt>
                <c:pt idx="374">
                  <c:v>45598</c:v>
                </c:pt>
                <c:pt idx="375">
                  <c:v>45597</c:v>
                </c:pt>
                <c:pt idx="376">
                  <c:v>45596</c:v>
                </c:pt>
                <c:pt idx="377">
                  <c:v>45595</c:v>
                </c:pt>
                <c:pt idx="378">
                  <c:v>45594</c:v>
                </c:pt>
                <c:pt idx="379">
                  <c:v>45593</c:v>
                </c:pt>
                <c:pt idx="380">
                  <c:v>45592</c:v>
                </c:pt>
                <c:pt idx="381">
                  <c:v>45591</c:v>
                </c:pt>
                <c:pt idx="382">
                  <c:v>45590</c:v>
                </c:pt>
                <c:pt idx="383">
                  <c:v>45589</c:v>
                </c:pt>
                <c:pt idx="384">
                  <c:v>45588</c:v>
                </c:pt>
                <c:pt idx="385">
                  <c:v>45587</c:v>
                </c:pt>
                <c:pt idx="386">
                  <c:v>45586</c:v>
                </c:pt>
                <c:pt idx="387">
                  <c:v>45585</c:v>
                </c:pt>
                <c:pt idx="388">
                  <c:v>45584</c:v>
                </c:pt>
                <c:pt idx="389">
                  <c:v>45583</c:v>
                </c:pt>
                <c:pt idx="390">
                  <c:v>45582</c:v>
                </c:pt>
                <c:pt idx="391">
                  <c:v>45581</c:v>
                </c:pt>
                <c:pt idx="392">
                  <c:v>45580</c:v>
                </c:pt>
                <c:pt idx="393">
                  <c:v>45579</c:v>
                </c:pt>
                <c:pt idx="394">
                  <c:v>45578</c:v>
                </c:pt>
                <c:pt idx="395">
                  <c:v>45577</c:v>
                </c:pt>
                <c:pt idx="396">
                  <c:v>45576</c:v>
                </c:pt>
                <c:pt idx="397">
                  <c:v>45575</c:v>
                </c:pt>
                <c:pt idx="398">
                  <c:v>45574</c:v>
                </c:pt>
                <c:pt idx="399">
                  <c:v>45573</c:v>
                </c:pt>
                <c:pt idx="400">
                  <c:v>45572</c:v>
                </c:pt>
                <c:pt idx="401">
                  <c:v>45571</c:v>
                </c:pt>
                <c:pt idx="402">
                  <c:v>45570</c:v>
                </c:pt>
                <c:pt idx="403">
                  <c:v>45569</c:v>
                </c:pt>
                <c:pt idx="404">
                  <c:v>45568</c:v>
                </c:pt>
              </c:numCache>
            </c:numRef>
          </c:cat>
          <c:val>
            <c:numRef>
              <c:f>Dashboard!$D$154:$D$558</c:f>
              <c:numCache>
                <c:formatCode>General</c:formatCode>
                <c:ptCount val="405"/>
                <c:pt idx="39">
                  <c:v>4.3099999999999996</c:v>
                </c:pt>
                <c:pt idx="40">
                  <c:v>4.3099999999999996</c:v>
                </c:pt>
                <c:pt idx="41">
                  <c:v>4.4000000000000004</c:v>
                </c:pt>
                <c:pt idx="42">
                  <c:v>4.4000000000000004</c:v>
                </c:pt>
                <c:pt idx="43">
                  <c:v>4.4000000000000004</c:v>
                </c:pt>
                <c:pt idx="44">
                  <c:v>4.45</c:v>
                </c:pt>
                <c:pt idx="45">
                  <c:v>4.38</c:v>
                </c:pt>
                <c:pt idx="46">
                  <c:v>4.375</c:v>
                </c:pt>
                <c:pt idx="47">
                  <c:v>4.4050000000000002</c:v>
                </c:pt>
                <c:pt idx="48">
                  <c:v>4.51</c:v>
                </c:pt>
                <c:pt idx="49">
                  <c:v>4.51</c:v>
                </c:pt>
                <c:pt idx="50">
                  <c:v>4.51</c:v>
                </c:pt>
                <c:pt idx="51">
                  <c:v>4.585</c:v>
                </c:pt>
                <c:pt idx="52">
                  <c:v>4.4749999999999996</c:v>
                </c:pt>
                <c:pt idx="53">
                  <c:v>4.3049999999999997</c:v>
                </c:pt>
                <c:pt idx="54">
                  <c:v>4.2549999999999999</c:v>
                </c:pt>
                <c:pt idx="55">
                  <c:v>4.1950000000000003</c:v>
                </c:pt>
                <c:pt idx="56">
                  <c:v>4.1950000000000003</c:v>
                </c:pt>
                <c:pt idx="57">
                  <c:v>4.1950000000000003</c:v>
                </c:pt>
                <c:pt idx="58">
                  <c:v>3.6850000000000001</c:v>
                </c:pt>
                <c:pt idx="59">
                  <c:v>3.63</c:v>
                </c:pt>
                <c:pt idx="60">
                  <c:v>3.5550000000000002</c:v>
                </c:pt>
                <c:pt idx="61">
                  <c:v>3.79</c:v>
                </c:pt>
                <c:pt idx="62">
                  <c:v>3.6749999999999998</c:v>
                </c:pt>
                <c:pt idx="63">
                  <c:v>3.6749999999999998</c:v>
                </c:pt>
                <c:pt idx="64">
                  <c:v>3.6749999999999998</c:v>
                </c:pt>
                <c:pt idx="65">
                  <c:v>3.6549999999999998</c:v>
                </c:pt>
                <c:pt idx="66">
                  <c:v>3.645</c:v>
                </c:pt>
                <c:pt idx="67">
                  <c:v>3.7149999999999999</c:v>
                </c:pt>
                <c:pt idx="68">
                  <c:v>3.65</c:v>
                </c:pt>
                <c:pt idx="69">
                  <c:v>3.5950000000000002</c:v>
                </c:pt>
                <c:pt idx="70">
                  <c:v>3.5950000000000002</c:v>
                </c:pt>
                <c:pt idx="71">
                  <c:v>3.5950000000000002</c:v>
                </c:pt>
                <c:pt idx="72">
                  <c:v>3.65</c:v>
                </c:pt>
                <c:pt idx="73">
                  <c:v>3.4950000000000001</c:v>
                </c:pt>
                <c:pt idx="74">
                  <c:v>3.4350000000000001</c:v>
                </c:pt>
                <c:pt idx="75">
                  <c:v>3.4049999999999998</c:v>
                </c:pt>
                <c:pt idx="76">
                  <c:v>3.3450000000000002</c:v>
                </c:pt>
                <c:pt idx="77">
                  <c:v>3.3450000000000002</c:v>
                </c:pt>
                <c:pt idx="78">
                  <c:v>3.3450000000000002</c:v>
                </c:pt>
                <c:pt idx="79">
                  <c:v>3.3849999999999998</c:v>
                </c:pt>
                <c:pt idx="80">
                  <c:v>3.375</c:v>
                </c:pt>
                <c:pt idx="81">
                  <c:v>3.3450000000000002</c:v>
                </c:pt>
                <c:pt idx="82">
                  <c:v>3.2749999999999999</c:v>
                </c:pt>
                <c:pt idx="83">
                  <c:v>3.3</c:v>
                </c:pt>
                <c:pt idx="84">
                  <c:v>3.3</c:v>
                </c:pt>
                <c:pt idx="85">
                  <c:v>3.3</c:v>
                </c:pt>
                <c:pt idx="86">
                  <c:v>3.0550000000000002</c:v>
                </c:pt>
                <c:pt idx="87">
                  <c:v>3.0550000000000002</c:v>
                </c:pt>
                <c:pt idx="88">
                  <c:v>2.9350000000000001</c:v>
                </c:pt>
                <c:pt idx="89">
                  <c:v>2.9350000000000001</c:v>
                </c:pt>
                <c:pt idx="90">
                  <c:v>3.0249999999999999</c:v>
                </c:pt>
                <c:pt idx="91">
                  <c:v>3.0249999999999999</c:v>
                </c:pt>
                <c:pt idx="92">
                  <c:v>3.0249999999999999</c:v>
                </c:pt>
                <c:pt idx="93">
                  <c:v>3.105</c:v>
                </c:pt>
                <c:pt idx="94">
                  <c:v>3.0649999999999999</c:v>
                </c:pt>
                <c:pt idx="95">
                  <c:v>3.07</c:v>
                </c:pt>
                <c:pt idx="96">
                  <c:v>3.1349999999999998</c:v>
                </c:pt>
                <c:pt idx="97">
                  <c:v>3.0750000000000002</c:v>
                </c:pt>
                <c:pt idx="98">
                  <c:v>3.0750000000000002</c:v>
                </c:pt>
                <c:pt idx="99">
                  <c:v>3.0750000000000002</c:v>
                </c:pt>
                <c:pt idx="100">
                  <c:v>3.06</c:v>
                </c:pt>
                <c:pt idx="101">
                  <c:v>3.15</c:v>
                </c:pt>
                <c:pt idx="102">
                  <c:v>3.125</c:v>
                </c:pt>
                <c:pt idx="103">
                  <c:v>3.36</c:v>
                </c:pt>
                <c:pt idx="104">
                  <c:v>3.38</c:v>
                </c:pt>
                <c:pt idx="105">
                  <c:v>3.38</c:v>
                </c:pt>
                <c:pt idx="106">
                  <c:v>3.38</c:v>
                </c:pt>
                <c:pt idx="107">
                  <c:v>3.4049999999999998</c:v>
                </c:pt>
                <c:pt idx="108">
                  <c:v>3.3250000000000002</c:v>
                </c:pt>
                <c:pt idx="109">
                  <c:v>3.47</c:v>
                </c:pt>
                <c:pt idx="110">
                  <c:v>3.4950000000000001</c:v>
                </c:pt>
                <c:pt idx="111">
                  <c:v>3.415</c:v>
                </c:pt>
                <c:pt idx="112">
                  <c:v>3.415</c:v>
                </c:pt>
                <c:pt idx="113">
                  <c:v>3.415</c:v>
                </c:pt>
                <c:pt idx="114">
                  <c:v>3.4449999999999998</c:v>
                </c:pt>
                <c:pt idx="115">
                  <c:v>3.3450000000000002</c:v>
                </c:pt>
                <c:pt idx="116">
                  <c:v>3.47</c:v>
                </c:pt>
                <c:pt idx="117">
                  <c:v>3.3650000000000002</c:v>
                </c:pt>
                <c:pt idx="118">
                  <c:v>3.43</c:v>
                </c:pt>
                <c:pt idx="119">
                  <c:v>3.43</c:v>
                </c:pt>
                <c:pt idx="120">
                  <c:v>3.43</c:v>
                </c:pt>
                <c:pt idx="121">
                  <c:v>3.54</c:v>
                </c:pt>
                <c:pt idx="122">
                  <c:v>3.54</c:v>
                </c:pt>
                <c:pt idx="123">
                  <c:v>3.5249999999999999</c:v>
                </c:pt>
                <c:pt idx="124">
                  <c:v>3.68</c:v>
                </c:pt>
                <c:pt idx="125">
                  <c:v>3.5249999999999999</c:v>
                </c:pt>
                <c:pt idx="126">
                  <c:v>3.5249999999999999</c:v>
                </c:pt>
                <c:pt idx="127">
                  <c:v>3.5249999999999999</c:v>
                </c:pt>
                <c:pt idx="128">
                  <c:v>3.56</c:v>
                </c:pt>
                <c:pt idx="129">
                  <c:v>3.4750000000000001</c:v>
                </c:pt>
                <c:pt idx="130">
                  <c:v>3.45</c:v>
                </c:pt>
                <c:pt idx="131">
                  <c:v>3.48</c:v>
                </c:pt>
                <c:pt idx="132">
                  <c:v>3.5150000000000001</c:v>
                </c:pt>
                <c:pt idx="133">
                  <c:v>3.5150000000000001</c:v>
                </c:pt>
                <c:pt idx="134">
                  <c:v>3.5150000000000001</c:v>
                </c:pt>
                <c:pt idx="135">
                  <c:v>3.625</c:v>
                </c:pt>
                <c:pt idx="136">
                  <c:v>3.7349999999999999</c:v>
                </c:pt>
                <c:pt idx="137">
                  <c:v>3.57</c:v>
                </c:pt>
                <c:pt idx="138">
                  <c:v>3.5049999999999999</c:v>
                </c:pt>
                <c:pt idx="139">
                  <c:v>3.51</c:v>
                </c:pt>
                <c:pt idx="140">
                  <c:v>3.51</c:v>
                </c:pt>
                <c:pt idx="141">
                  <c:v>3.51</c:v>
                </c:pt>
                <c:pt idx="142">
                  <c:v>3.5550000000000002</c:v>
                </c:pt>
                <c:pt idx="143">
                  <c:v>3.5350000000000001</c:v>
                </c:pt>
                <c:pt idx="144">
                  <c:v>3.585</c:v>
                </c:pt>
                <c:pt idx="145">
                  <c:v>3.4550000000000001</c:v>
                </c:pt>
                <c:pt idx="146">
                  <c:v>3.44</c:v>
                </c:pt>
                <c:pt idx="147">
                  <c:v>3.44</c:v>
                </c:pt>
                <c:pt idx="148">
                  <c:v>3.44</c:v>
                </c:pt>
                <c:pt idx="149">
                  <c:v>3.5649999999999999</c:v>
                </c:pt>
                <c:pt idx="150">
                  <c:v>3.6</c:v>
                </c:pt>
                <c:pt idx="151">
                  <c:v>3.7650000000000001</c:v>
                </c:pt>
                <c:pt idx="152">
                  <c:v>3.76</c:v>
                </c:pt>
                <c:pt idx="153">
                  <c:v>3.82</c:v>
                </c:pt>
                <c:pt idx="154">
                  <c:v>3.82</c:v>
                </c:pt>
                <c:pt idx="155">
                  <c:v>3.82</c:v>
                </c:pt>
                <c:pt idx="156">
                  <c:v>3.8149999999999999</c:v>
                </c:pt>
                <c:pt idx="157">
                  <c:v>3.7749999999999999</c:v>
                </c:pt>
                <c:pt idx="158">
                  <c:v>3.7</c:v>
                </c:pt>
                <c:pt idx="159">
                  <c:v>3.5350000000000001</c:v>
                </c:pt>
                <c:pt idx="160">
                  <c:v>3.52</c:v>
                </c:pt>
                <c:pt idx="161">
                  <c:v>3.52</c:v>
                </c:pt>
                <c:pt idx="162">
                  <c:v>3.52</c:v>
                </c:pt>
                <c:pt idx="163">
                  <c:v>3.7749999999999999</c:v>
                </c:pt>
                <c:pt idx="164">
                  <c:v>3.65</c:v>
                </c:pt>
                <c:pt idx="165">
                  <c:v>3.7250000000000001</c:v>
                </c:pt>
                <c:pt idx="166">
                  <c:v>3.72</c:v>
                </c:pt>
                <c:pt idx="167">
                  <c:v>3.77</c:v>
                </c:pt>
                <c:pt idx="168">
                  <c:v>3.77</c:v>
                </c:pt>
                <c:pt idx="169">
                  <c:v>3.77</c:v>
                </c:pt>
                <c:pt idx="170">
                  <c:v>3.6850000000000001</c:v>
                </c:pt>
                <c:pt idx="171">
                  <c:v>3.6850000000000001</c:v>
                </c:pt>
                <c:pt idx="172">
                  <c:v>3.7549999999999999</c:v>
                </c:pt>
                <c:pt idx="173">
                  <c:v>3.68</c:v>
                </c:pt>
                <c:pt idx="174">
                  <c:v>3.7549999999999999</c:v>
                </c:pt>
                <c:pt idx="175">
                  <c:v>3.7549999999999999</c:v>
                </c:pt>
                <c:pt idx="176">
                  <c:v>3.7549999999999999</c:v>
                </c:pt>
                <c:pt idx="177">
                  <c:v>3.7650000000000001</c:v>
                </c:pt>
                <c:pt idx="178">
                  <c:v>3.5449999999999999</c:v>
                </c:pt>
                <c:pt idx="179">
                  <c:v>3.5550000000000002</c:v>
                </c:pt>
                <c:pt idx="180">
                  <c:v>3.62</c:v>
                </c:pt>
                <c:pt idx="181">
                  <c:v>3.62</c:v>
                </c:pt>
                <c:pt idx="182">
                  <c:v>3.62</c:v>
                </c:pt>
                <c:pt idx="183">
                  <c:v>3.62</c:v>
                </c:pt>
                <c:pt idx="184">
                  <c:v>3.62</c:v>
                </c:pt>
                <c:pt idx="185">
                  <c:v>3.5049999999999999</c:v>
                </c:pt>
                <c:pt idx="186">
                  <c:v>3.5249999999999999</c:v>
                </c:pt>
                <c:pt idx="187">
                  <c:v>3.6349999999999998</c:v>
                </c:pt>
                <c:pt idx="188">
                  <c:v>3.66</c:v>
                </c:pt>
                <c:pt idx="189">
                  <c:v>3.66</c:v>
                </c:pt>
                <c:pt idx="190">
                  <c:v>3.66</c:v>
                </c:pt>
                <c:pt idx="191">
                  <c:v>3.41</c:v>
                </c:pt>
                <c:pt idx="192">
                  <c:v>3.61</c:v>
                </c:pt>
                <c:pt idx="193">
                  <c:v>3.4950000000000001</c:v>
                </c:pt>
                <c:pt idx="194">
                  <c:v>3.395</c:v>
                </c:pt>
                <c:pt idx="195">
                  <c:v>3.4249999999999998</c:v>
                </c:pt>
                <c:pt idx="196">
                  <c:v>3.4249999999999998</c:v>
                </c:pt>
                <c:pt idx="197">
                  <c:v>3.4249999999999998</c:v>
                </c:pt>
                <c:pt idx="198">
                  <c:v>3.585</c:v>
                </c:pt>
                <c:pt idx="199">
                  <c:v>3.52</c:v>
                </c:pt>
                <c:pt idx="200">
                  <c:v>3.4249999999999998</c:v>
                </c:pt>
                <c:pt idx="201">
                  <c:v>3.3050000000000002</c:v>
                </c:pt>
                <c:pt idx="202">
                  <c:v>3.4550000000000001</c:v>
                </c:pt>
                <c:pt idx="203">
                  <c:v>3.4550000000000001</c:v>
                </c:pt>
                <c:pt idx="204">
                  <c:v>3.4550000000000001</c:v>
                </c:pt>
                <c:pt idx="205">
                  <c:v>3.4049999999999998</c:v>
                </c:pt>
                <c:pt idx="206">
                  <c:v>3.2650000000000001</c:v>
                </c:pt>
                <c:pt idx="207">
                  <c:v>3.32</c:v>
                </c:pt>
                <c:pt idx="208">
                  <c:v>3.2149999999999999</c:v>
                </c:pt>
                <c:pt idx="209">
                  <c:v>3.2749999999999999</c:v>
                </c:pt>
                <c:pt idx="210">
                  <c:v>3.2749999999999999</c:v>
                </c:pt>
                <c:pt idx="211">
                  <c:v>3.2749999999999999</c:v>
                </c:pt>
                <c:pt idx="212">
                  <c:v>3.2850000000000001</c:v>
                </c:pt>
                <c:pt idx="213">
                  <c:v>3.25</c:v>
                </c:pt>
                <c:pt idx="214">
                  <c:v>3.165</c:v>
                </c:pt>
                <c:pt idx="215">
                  <c:v>3.27</c:v>
                </c:pt>
                <c:pt idx="216">
                  <c:v>3.0049999999999999</c:v>
                </c:pt>
                <c:pt idx="217">
                  <c:v>3.0049999999999999</c:v>
                </c:pt>
                <c:pt idx="218">
                  <c:v>3.0049999999999999</c:v>
                </c:pt>
                <c:pt idx="219">
                  <c:v>2.84</c:v>
                </c:pt>
                <c:pt idx="220">
                  <c:v>2.9449999999999998</c:v>
                </c:pt>
                <c:pt idx="221">
                  <c:v>2.8250000000000002</c:v>
                </c:pt>
                <c:pt idx="222">
                  <c:v>2.6549999999999998</c:v>
                </c:pt>
                <c:pt idx="223">
                  <c:v>2.7050000000000001</c:v>
                </c:pt>
                <c:pt idx="224">
                  <c:v>2.7050000000000001</c:v>
                </c:pt>
                <c:pt idx="225">
                  <c:v>2.7050000000000001</c:v>
                </c:pt>
                <c:pt idx="226">
                  <c:v>2.63</c:v>
                </c:pt>
                <c:pt idx="227">
                  <c:v>2.68</c:v>
                </c:pt>
                <c:pt idx="228">
                  <c:v>2.77</c:v>
                </c:pt>
                <c:pt idx="229">
                  <c:v>2.77</c:v>
                </c:pt>
                <c:pt idx="230">
                  <c:v>2.77</c:v>
                </c:pt>
                <c:pt idx="231">
                  <c:v>2.77</c:v>
                </c:pt>
                <c:pt idx="232">
                  <c:v>2.77</c:v>
                </c:pt>
                <c:pt idx="233">
                  <c:v>2.81</c:v>
                </c:pt>
                <c:pt idx="234">
                  <c:v>2.81</c:v>
                </c:pt>
                <c:pt idx="235">
                  <c:v>2.855</c:v>
                </c:pt>
                <c:pt idx="236">
                  <c:v>2.88</c:v>
                </c:pt>
                <c:pt idx="237">
                  <c:v>2.95</c:v>
                </c:pt>
                <c:pt idx="238">
                  <c:v>2.95</c:v>
                </c:pt>
                <c:pt idx="239">
                  <c:v>2.95</c:v>
                </c:pt>
                <c:pt idx="240">
                  <c:v>2.97</c:v>
                </c:pt>
                <c:pt idx="241">
                  <c:v>3.05</c:v>
                </c:pt>
                <c:pt idx="242">
                  <c:v>3.2250000000000001</c:v>
                </c:pt>
                <c:pt idx="243">
                  <c:v>3.26</c:v>
                </c:pt>
                <c:pt idx="244">
                  <c:v>3.06</c:v>
                </c:pt>
                <c:pt idx="245">
                  <c:v>3.06</c:v>
                </c:pt>
                <c:pt idx="246">
                  <c:v>3.06</c:v>
                </c:pt>
                <c:pt idx="247">
                  <c:v>2.915</c:v>
                </c:pt>
                <c:pt idx="248">
                  <c:v>2.9550000000000001</c:v>
                </c:pt>
                <c:pt idx="249">
                  <c:v>3.02</c:v>
                </c:pt>
                <c:pt idx="250">
                  <c:v>2.96</c:v>
                </c:pt>
                <c:pt idx="251">
                  <c:v>2.9550000000000001</c:v>
                </c:pt>
                <c:pt idx="252">
                  <c:v>2.9550000000000001</c:v>
                </c:pt>
                <c:pt idx="253">
                  <c:v>2.9550000000000001</c:v>
                </c:pt>
                <c:pt idx="254">
                  <c:v>3.1</c:v>
                </c:pt>
                <c:pt idx="255">
                  <c:v>3.105</c:v>
                </c:pt>
                <c:pt idx="256">
                  <c:v>3.2450000000000001</c:v>
                </c:pt>
                <c:pt idx="257">
                  <c:v>3.165</c:v>
                </c:pt>
                <c:pt idx="258">
                  <c:v>3.2349999999999999</c:v>
                </c:pt>
                <c:pt idx="259">
                  <c:v>3.2349999999999999</c:v>
                </c:pt>
                <c:pt idx="260">
                  <c:v>3.2349999999999999</c:v>
                </c:pt>
                <c:pt idx="261">
                  <c:v>3.1949999999999998</c:v>
                </c:pt>
                <c:pt idx="262">
                  <c:v>3.0350000000000001</c:v>
                </c:pt>
                <c:pt idx="263">
                  <c:v>3.0350000000000001</c:v>
                </c:pt>
                <c:pt idx="264">
                  <c:v>3.105</c:v>
                </c:pt>
                <c:pt idx="265">
                  <c:v>3.0449999999999999</c:v>
                </c:pt>
                <c:pt idx="266">
                  <c:v>3.0449999999999999</c:v>
                </c:pt>
                <c:pt idx="267">
                  <c:v>3.0449999999999999</c:v>
                </c:pt>
                <c:pt idx="268">
                  <c:v>3.0649999999999999</c:v>
                </c:pt>
                <c:pt idx="269">
                  <c:v>3.12</c:v>
                </c:pt>
                <c:pt idx="270">
                  <c:v>3.085</c:v>
                </c:pt>
                <c:pt idx="271">
                  <c:v>3.105</c:v>
                </c:pt>
                <c:pt idx="272">
                  <c:v>3.0150000000000001</c:v>
                </c:pt>
                <c:pt idx="273">
                  <c:v>3.0150000000000001</c:v>
                </c:pt>
                <c:pt idx="274">
                  <c:v>3.0150000000000001</c:v>
                </c:pt>
                <c:pt idx="275">
                  <c:v>3.09</c:v>
                </c:pt>
                <c:pt idx="276">
                  <c:v>3.12</c:v>
                </c:pt>
                <c:pt idx="277">
                  <c:v>2.9550000000000001</c:v>
                </c:pt>
                <c:pt idx="278">
                  <c:v>2.84</c:v>
                </c:pt>
                <c:pt idx="279">
                  <c:v>2.915</c:v>
                </c:pt>
                <c:pt idx="280">
                  <c:v>2.915</c:v>
                </c:pt>
                <c:pt idx="281">
                  <c:v>2.915</c:v>
                </c:pt>
                <c:pt idx="282">
                  <c:v>2.95</c:v>
                </c:pt>
                <c:pt idx="283">
                  <c:v>2.9449999999999998</c:v>
                </c:pt>
                <c:pt idx="284">
                  <c:v>3.0449999999999999</c:v>
                </c:pt>
                <c:pt idx="285">
                  <c:v>3.0550000000000002</c:v>
                </c:pt>
                <c:pt idx="286">
                  <c:v>2.9849999999999999</c:v>
                </c:pt>
                <c:pt idx="287">
                  <c:v>2.9849999999999999</c:v>
                </c:pt>
                <c:pt idx="288">
                  <c:v>2.9849999999999999</c:v>
                </c:pt>
                <c:pt idx="289">
                  <c:v>3.145</c:v>
                </c:pt>
                <c:pt idx="290">
                  <c:v>2.99</c:v>
                </c:pt>
                <c:pt idx="291">
                  <c:v>2.99</c:v>
                </c:pt>
                <c:pt idx="292">
                  <c:v>2.99</c:v>
                </c:pt>
                <c:pt idx="293">
                  <c:v>2.99</c:v>
                </c:pt>
                <c:pt idx="294">
                  <c:v>2.99</c:v>
                </c:pt>
                <c:pt idx="295">
                  <c:v>2.99</c:v>
                </c:pt>
                <c:pt idx="296">
                  <c:v>2.915</c:v>
                </c:pt>
                <c:pt idx="297">
                  <c:v>2.9550000000000001</c:v>
                </c:pt>
                <c:pt idx="298">
                  <c:v>2.9550000000000001</c:v>
                </c:pt>
                <c:pt idx="299">
                  <c:v>2.9550000000000001</c:v>
                </c:pt>
                <c:pt idx="300">
                  <c:v>3.16</c:v>
                </c:pt>
                <c:pt idx="301">
                  <c:v>3.16</c:v>
                </c:pt>
                <c:pt idx="302">
                  <c:v>3.16</c:v>
                </c:pt>
                <c:pt idx="303">
                  <c:v>3.0750000000000002</c:v>
                </c:pt>
                <c:pt idx="304">
                  <c:v>2.91</c:v>
                </c:pt>
                <c:pt idx="305">
                  <c:v>3.2349999999999999</c:v>
                </c:pt>
                <c:pt idx="306">
                  <c:v>3.31</c:v>
                </c:pt>
                <c:pt idx="307">
                  <c:v>3.4750000000000001</c:v>
                </c:pt>
                <c:pt idx="308">
                  <c:v>3.4750000000000001</c:v>
                </c:pt>
                <c:pt idx="309">
                  <c:v>3.4750000000000001</c:v>
                </c:pt>
                <c:pt idx="310">
                  <c:v>3.53</c:v>
                </c:pt>
                <c:pt idx="311">
                  <c:v>3.915</c:v>
                </c:pt>
                <c:pt idx="312">
                  <c:v>3.8250000000000002</c:v>
                </c:pt>
                <c:pt idx="313">
                  <c:v>3.6850000000000001</c:v>
                </c:pt>
                <c:pt idx="314">
                  <c:v>3.7850000000000001</c:v>
                </c:pt>
                <c:pt idx="315">
                  <c:v>3.7850000000000001</c:v>
                </c:pt>
                <c:pt idx="316">
                  <c:v>3.7850000000000001</c:v>
                </c:pt>
                <c:pt idx="317">
                  <c:v>3.9849999999999999</c:v>
                </c:pt>
                <c:pt idx="318">
                  <c:v>3.7349999999999999</c:v>
                </c:pt>
                <c:pt idx="319">
                  <c:v>3.8650000000000002</c:v>
                </c:pt>
                <c:pt idx="320">
                  <c:v>4.0549999999999997</c:v>
                </c:pt>
                <c:pt idx="321">
                  <c:v>4.1050000000000004</c:v>
                </c:pt>
                <c:pt idx="322">
                  <c:v>4.1050000000000004</c:v>
                </c:pt>
                <c:pt idx="323">
                  <c:v>4.1050000000000004</c:v>
                </c:pt>
                <c:pt idx="324">
                  <c:v>4.0650000000000004</c:v>
                </c:pt>
                <c:pt idx="325">
                  <c:v>4.5549999999999997</c:v>
                </c:pt>
                <c:pt idx="326">
                  <c:v>4.7149999999999999</c:v>
                </c:pt>
                <c:pt idx="327">
                  <c:v>4.3949999999999996</c:v>
                </c:pt>
                <c:pt idx="328">
                  <c:v>4.2300000000000004</c:v>
                </c:pt>
                <c:pt idx="329">
                  <c:v>4.2300000000000004</c:v>
                </c:pt>
                <c:pt idx="330">
                  <c:v>4.2300000000000004</c:v>
                </c:pt>
                <c:pt idx="331">
                  <c:v>4.13</c:v>
                </c:pt>
                <c:pt idx="332">
                  <c:v>4.24</c:v>
                </c:pt>
                <c:pt idx="333">
                  <c:v>4.24</c:v>
                </c:pt>
                <c:pt idx="334">
                  <c:v>4.165</c:v>
                </c:pt>
                <c:pt idx="335">
                  <c:v>4.26</c:v>
                </c:pt>
                <c:pt idx="336">
                  <c:v>4.26</c:v>
                </c:pt>
                <c:pt idx="337">
                  <c:v>4.26</c:v>
                </c:pt>
                <c:pt idx="338">
                  <c:v>4.26</c:v>
                </c:pt>
                <c:pt idx="339">
                  <c:v>4.2699999999999996</c:v>
                </c:pt>
                <c:pt idx="340">
                  <c:v>4.29</c:v>
                </c:pt>
                <c:pt idx="341">
                  <c:v>4.415</c:v>
                </c:pt>
                <c:pt idx="342">
                  <c:v>4.4000000000000004</c:v>
                </c:pt>
                <c:pt idx="343">
                  <c:v>4.4000000000000004</c:v>
                </c:pt>
                <c:pt idx="344">
                  <c:v>4.4000000000000004</c:v>
                </c:pt>
                <c:pt idx="345">
                  <c:v>4.49</c:v>
                </c:pt>
                <c:pt idx="346">
                  <c:v>4.63</c:v>
                </c:pt>
                <c:pt idx="347">
                  <c:v>4.5750000000000002</c:v>
                </c:pt>
                <c:pt idx="348">
                  <c:v>4.5449999999999999</c:v>
                </c:pt>
                <c:pt idx="349">
                  <c:v>4.375</c:v>
                </c:pt>
                <c:pt idx="350">
                  <c:v>4.375</c:v>
                </c:pt>
                <c:pt idx="351">
                  <c:v>4.375</c:v>
                </c:pt>
                <c:pt idx="352">
                  <c:v>4.5149999999999997</c:v>
                </c:pt>
                <c:pt idx="353">
                  <c:v>4.6150000000000002</c:v>
                </c:pt>
                <c:pt idx="354">
                  <c:v>4.5650000000000004</c:v>
                </c:pt>
                <c:pt idx="355">
                  <c:v>4.71</c:v>
                </c:pt>
                <c:pt idx="356">
                  <c:v>4.6050000000000004</c:v>
                </c:pt>
                <c:pt idx="357">
                  <c:v>4.6050000000000004</c:v>
                </c:pt>
                <c:pt idx="358">
                  <c:v>4.6050000000000004</c:v>
                </c:pt>
                <c:pt idx="359">
                  <c:v>4.72</c:v>
                </c:pt>
                <c:pt idx="360">
                  <c:v>4.49</c:v>
                </c:pt>
                <c:pt idx="361">
                  <c:v>4.4050000000000002</c:v>
                </c:pt>
                <c:pt idx="362">
                  <c:v>4.415</c:v>
                </c:pt>
                <c:pt idx="363">
                  <c:v>4.5250000000000004</c:v>
                </c:pt>
                <c:pt idx="364">
                  <c:v>4.5250000000000004</c:v>
                </c:pt>
                <c:pt idx="365">
                  <c:v>4.5250000000000004</c:v>
                </c:pt>
                <c:pt idx="366">
                  <c:v>4.6050000000000004</c:v>
                </c:pt>
                <c:pt idx="367">
                  <c:v>4.6349999999999998</c:v>
                </c:pt>
                <c:pt idx="368">
                  <c:v>4.6050000000000004</c:v>
                </c:pt>
                <c:pt idx="369">
                  <c:v>4.5949999999999998</c:v>
                </c:pt>
                <c:pt idx="370">
                  <c:v>4.5199999999999996</c:v>
                </c:pt>
                <c:pt idx="371">
                  <c:v>4.5199999999999996</c:v>
                </c:pt>
                <c:pt idx="372">
                  <c:v>4.5199999999999996</c:v>
                </c:pt>
                <c:pt idx="373">
                  <c:v>4.53</c:v>
                </c:pt>
                <c:pt idx="374">
                  <c:v>4.5250000000000004</c:v>
                </c:pt>
                <c:pt idx="375">
                  <c:v>4.6150000000000002</c:v>
                </c:pt>
                <c:pt idx="376">
                  <c:v>4.6100000000000003</c:v>
                </c:pt>
                <c:pt idx="377">
                  <c:v>4.6050000000000004</c:v>
                </c:pt>
                <c:pt idx="378">
                  <c:v>4.6050000000000004</c:v>
                </c:pt>
                <c:pt idx="379">
                  <c:v>4.6050000000000004</c:v>
                </c:pt>
                <c:pt idx="380">
                  <c:v>4.585</c:v>
                </c:pt>
                <c:pt idx="381">
                  <c:v>4.7249999999999996</c:v>
                </c:pt>
                <c:pt idx="382">
                  <c:v>4.7850000000000001</c:v>
                </c:pt>
                <c:pt idx="383">
                  <c:v>4.8049999999999997</c:v>
                </c:pt>
                <c:pt idx="384">
                  <c:v>4.82</c:v>
                </c:pt>
                <c:pt idx="385">
                  <c:v>4.82</c:v>
                </c:pt>
                <c:pt idx="386">
                  <c:v>4.82</c:v>
                </c:pt>
                <c:pt idx="387">
                  <c:v>4.6449999999999996</c:v>
                </c:pt>
                <c:pt idx="388">
                  <c:v>4.54</c:v>
                </c:pt>
                <c:pt idx="389">
                  <c:v>4.63</c:v>
                </c:pt>
                <c:pt idx="390">
                  <c:v>4.67</c:v>
                </c:pt>
                <c:pt idx="391">
                  <c:v>4.6550000000000002</c:v>
                </c:pt>
                <c:pt idx="392">
                  <c:v>4.6550000000000002</c:v>
                </c:pt>
                <c:pt idx="393">
                  <c:v>4.6550000000000002</c:v>
                </c:pt>
                <c:pt idx="394">
                  <c:v>4.92</c:v>
                </c:pt>
                <c:pt idx="395">
                  <c:v>5.0049999999999999</c:v>
                </c:pt>
                <c:pt idx="396">
                  <c:v>5.0250000000000004</c:v>
                </c:pt>
                <c:pt idx="397">
                  <c:v>5.0949999999999998</c:v>
                </c:pt>
                <c:pt idx="398">
                  <c:v>5.1150000000000002</c:v>
                </c:pt>
                <c:pt idx="399">
                  <c:v>5.1150000000000002</c:v>
                </c:pt>
                <c:pt idx="400">
                  <c:v>5.1150000000000002</c:v>
                </c:pt>
                <c:pt idx="401">
                  <c:v>4.9400000000000004</c:v>
                </c:pt>
                <c:pt idx="402">
                  <c:v>5.0250000000000004</c:v>
                </c:pt>
                <c:pt idx="403">
                  <c:v>4.9950000000000001</c:v>
                </c:pt>
                <c:pt idx="404">
                  <c:v>5.0549999999999997</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COGS Margin</c:v>
                </c:pt>
                <c:pt idx="1">
                  <c:v>Capex Intensity</c:v>
                </c:pt>
                <c:pt idx="2">
                  <c:v>SG&amp;A Margin</c:v>
                </c:pt>
                <c:pt idx="3">
                  <c:v>EBITDA Exit</c:v>
                </c:pt>
                <c:pt idx="4">
                  <c:v>Revenue Exit</c:v>
                </c:pt>
                <c:pt idx="5">
                  <c:v>WACC</c:v>
                </c:pt>
                <c:pt idx="6">
                  <c:v>Terminal g</c:v>
                </c:pt>
              </c:strCache>
            </c:strRef>
          </c:cat>
          <c:val>
            <c:numRef>
              <c:f>Sensitivity!$AJ$28:$AJ$34</c:f>
              <c:numCache>
                <c:formatCode>General</c:formatCode>
                <c:ptCount val="7"/>
                <c:pt idx="0">
                  <c:v>-2.9999999999999805E-2</c:v>
                </c:pt>
                <c:pt idx="1">
                  <c:v>-5.9999999999999609E-2</c:v>
                </c:pt>
                <c:pt idx="2">
                  <c:v>-0.31999999999999984</c:v>
                </c:pt>
                <c:pt idx="3">
                  <c:v>-1.1099999999999999</c:v>
                </c:pt>
                <c:pt idx="4">
                  <c:v>-1.27</c:v>
                </c:pt>
                <c:pt idx="5">
                  <c:v>-1.3499999999999999</c:v>
                </c:pt>
                <c:pt idx="6">
                  <c:v>-3.3</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COGS Margin</c:v>
                </c:pt>
                <c:pt idx="1">
                  <c:v>Capex Intensity</c:v>
                </c:pt>
                <c:pt idx="2">
                  <c:v>SG&amp;A Margin</c:v>
                </c:pt>
                <c:pt idx="3">
                  <c:v>EBITDA Exit</c:v>
                </c:pt>
                <c:pt idx="4">
                  <c:v>Revenue Exit</c:v>
                </c:pt>
                <c:pt idx="5">
                  <c:v>WACC</c:v>
                </c:pt>
                <c:pt idx="6">
                  <c:v>Terminal g</c:v>
                </c:pt>
              </c:strCache>
            </c:strRef>
          </c:cat>
          <c:val>
            <c:numRef>
              <c:f>Sensitivity!$AK$28:$AK$34</c:f>
              <c:numCache>
                <c:formatCode>General</c:formatCode>
                <c:ptCount val="7"/>
                <c:pt idx="0">
                  <c:v>2.0000000000000018E-2</c:v>
                </c:pt>
                <c:pt idx="1">
                  <c:v>6.0000000000000053E-2</c:v>
                </c:pt>
                <c:pt idx="2">
                  <c:v>0.32000000000000028</c:v>
                </c:pt>
                <c:pt idx="3">
                  <c:v>0.60000000000000009</c:v>
                </c:pt>
                <c:pt idx="4">
                  <c:v>1.2599999999999998</c:v>
                </c:pt>
                <c:pt idx="5">
                  <c:v>1.42</c:v>
                </c:pt>
                <c:pt idx="6">
                  <c:v>-3.3</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0.11163883332901117</c:v>
                </c:pt>
                <c:pt idx="1">
                  <c:v>0.10047494999611006</c:v>
                </c:pt>
                <c:pt idx="2">
                  <c:v>0.10278022277807822</c:v>
                </c:pt>
                <c:pt idx="3">
                  <c:v>0.10514356839855112</c:v>
                </c:pt>
                <c:pt idx="4">
                  <c:v>0.10462389839744636</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3.0435493788722328E-2</c:v>
                </c:pt>
                <c:pt idx="1">
                  <c:v>3.8729429094799137E-2</c:v>
                </c:pt>
                <c:pt idx="2">
                  <c:v>4.727968252684283E-2</c:v>
                </c:pt>
                <c:pt idx="3">
                  <c:v>4.7343985971752885E-2</c:v>
                </c:pt>
                <c:pt idx="4">
                  <c:v>4.8696059348392898E-2</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45933</c:v>
                </c:pt>
                <c:pt idx="1">
                  <c:v>45932</c:v>
                </c:pt>
                <c:pt idx="2">
                  <c:v>45931</c:v>
                </c:pt>
                <c:pt idx="3">
                  <c:v>45930</c:v>
                </c:pt>
                <c:pt idx="4">
                  <c:v>45929</c:v>
                </c:pt>
                <c:pt idx="5">
                  <c:v>45928</c:v>
                </c:pt>
                <c:pt idx="6">
                  <c:v>45927</c:v>
                </c:pt>
                <c:pt idx="7">
                  <c:v>45926</c:v>
                </c:pt>
                <c:pt idx="8">
                  <c:v>45925</c:v>
                </c:pt>
                <c:pt idx="9">
                  <c:v>45924</c:v>
                </c:pt>
                <c:pt idx="10">
                  <c:v>45923</c:v>
                </c:pt>
                <c:pt idx="11">
                  <c:v>45922</c:v>
                </c:pt>
                <c:pt idx="12">
                  <c:v>45921</c:v>
                </c:pt>
                <c:pt idx="13">
                  <c:v>45920</c:v>
                </c:pt>
                <c:pt idx="14">
                  <c:v>45919</c:v>
                </c:pt>
                <c:pt idx="15">
                  <c:v>45918</c:v>
                </c:pt>
                <c:pt idx="16">
                  <c:v>45917</c:v>
                </c:pt>
                <c:pt idx="17">
                  <c:v>45916</c:v>
                </c:pt>
                <c:pt idx="18">
                  <c:v>45915</c:v>
                </c:pt>
                <c:pt idx="19">
                  <c:v>45914</c:v>
                </c:pt>
                <c:pt idx="20">
                  <c:v>45913</c:v>
                </c:pt>
                <c:pt idx="21">
                  <c:v>45912</c:v>
                </c:pt>
                <c:pt idx="22">
                  <c:v>45911</c:v>
                </c:pt>
                <c:pt idx="23">
                  <c:v>45910</c:v>
                </c:pt>
                <c:pt idx="24">
                  <c:v>45909</c:v>
                </c:pt>
                <c:pt idx="25">
                  <c:v>45908</c:v>
                </c:pt>
                <c:pt idx="26">
                  <c:v>45907</c:v>
                </c:pt>
                <c:pt idx="27">
                  <c:v>45906</c:v>
                </c:pt>
                <c:pt idx="28">
                  <c:v>45905</c:v>
                </c:pt>
                <c:pt idx="29">
                  <c:v>45904</c:v>
                </c:pt>
                <c:pt idx="30">
                  <c:v>45903</c:v>
                </c:pt>
                <c:pt idx="31">
                  <c:v>45902</c:v>
                </c:pt>
                <c:pt idx="32">
                  <c:v>45901</c:v>
                </c:pt>
                <c:pt idx="33">
                  <c:v>45900</c:v>
                </c:pt>
                <c:pt idx="34">
                  <c:v>45899</c:v>
                </c:pt>
                <c:pt idx="35">
                  <c:v>45898</c:v>
                </c:pt>
                <c:pt idx="36">
                  <c:v>45897</c:v>
                </c:pt>
                <c:pt idx="37">
                  <c:v>45896</c:v>
                </c:pt>
                <c:pt idx="38">
                  <c:v>45895</c:v>
                </c:pt>
                <c:pt idx="39">
                  <c:v>45894</c:v>
                </c:pt>
                <c:pt idx="40">
                  <c:v>45893</c:v>
                </c:pt>
                <c:pt idx="41">
                  <c:v>45892</c:v>
                </c:pt>
                <c:pt idx="42">
                  <c:v>45891</c:v>
                </c:pt>
                <c:pt idx="43">
                  <c:v>45890</c:v>
                </c:pt>
                <c:pt idx="44">
                  <c:v>45889</c:v>
                </c:pt>
                <c:pt idx="45">
                  <c:v>45888</c:v>
                </c:pt>
                <c:pt idx="46">
                  <c:v>45887</c:v>
                </c:pt>
                <c:pt idx="47">
                  <c:v>45886</c:v>
                </c:pt>
                <c:pt idx="48">
                  <c:v>45885</c:v>
                </c:pt>
                <c:pt idx="49">
                  <c:v>45884</c:v>
                </c:pt>
                <c:pt idx="50">
                  <c:v>45883</c:v>
                </c:pt>
                <c:pt idx="51">
                  <c:v>45882</c:v>
                </c:pt>
                <c:pt idx="52">
                  <c:v>45881</c:v>
                </c:pt>
                <c:pt idx="53">
                  <c:v>45880</c:v>
                </c:pt>
                <c:pt idx="54">
                  <c:v>45879</c:v>
                </c:pt>
                <c:pt idx="55">
                  <c:v>45878</c:v>
                </c:pt>
                <c:pt idx="56">
                  <c:v>45877</c:v>
                </c:pt>
                <c:pt idx="57">
                  <c:v>45876</c:v>
                </c:pt>
                <c:pt idx="58">
                  <c:v>45875</c:v>
                </c:pt>
                <c:pt idx="59">
                  <c:v>45874</c:v>
                </c:pt>
                <c:pt idx="60">
                  <c:v>45873</c:v>
                </c:pt>
                <c:pt idx="61">
                  <c:v>45872</c:v>
                </c:pt>
                <c:pt idx="62">
                  <c:v>45871</c:v>
                </c:pt>
                <c:pt idx="63">
                  <c:v>45870</c:v>
                </c:pt>
                <c:pt idx="64">
                  <c:v>45869</c:v>
                </c:pt>
                <c:pt idx="65">
                  <c:v>45868</c:v>
                </c:pt>
                <c:pt idx="66">
                  <c:v>45867</c:v>
                </c:pt>
                <c:pt idx="67">
                  <c:v>45866</c:v>
                </c:pt>
                <c:pt idx="68">
                  <c:v>45865</c:v>
                </c:pt>
                <c:pt idx="69">
                  <c:v>45864</c:v>
                </c:pt>
                <c:pt idx="70">
                  <c:v>45863</c:v>
                </c:pt>
                <c:pt idx="71">
                  <c:v>45862</c:v>
                </c:pt>
                <c:pt idx="72">
                  <c:v>45861</c:v>
                </c:pt>
                <c:pt idx="73">
                  <c:v>45860</c:v>
                </c:pt>
                <c:pt idx="74">
                  <c:v>45859</c:v>
                </c:pt>
                <c:pt idx="75">
                  <c:v>45858</c:v>
                </c:pt>
                <c:pt idx="76">
                  <c:v>45857</c:v>
                </c:pt>
                <c:pt idx="77">
                  <c:v>45856</c:v>
                </c:pt>
                <c:pt idx="78">
                  <c:v>45855</c:v>
                </c:pt>
                <c:pt idx="79">
                  <c:v>45854</c:v>
                </c:pt>
                <c:pt idx="80">
                  <c:v>45853</c:v>
                </c:pt>
                <c:pt idx="81">
                  <c:v>45852</c:v>
                </c:pt>
                <c:pt idx="82">
                  <c:v>45851</c:v>
                </c:pt>
                <c:pt idx="83">
                  <c:v>45850</c:v>
                </c:pt>
                <c:pt idx="84">
                  <c:v>45849</c:v>
                </c:pt>
                <c:pt idx="85">
                  <c:v>45848</c:v>
                </c:pt>
                <c:pt idx="86">
                  <c:v>45847</c:v>
                </c:pt>
                <c:pt idx="87">
                  <c:v>45846</c:v>
                </c:pt>
                <c:pt idx="88">
                  <c:v>45845</c:v>
                </c:pt>
                <c:pt idx="89">
                  <c:v>45844</c:v>
                </c:pt>
                <c:pt idx="90">
                  <c:v>45843</c:v>
                </c:pt>
                <c:pt idx="91">
                  <c:v>45842</c:v>
                </c:pt>
                <c:pt idx="92">
                  <c:v>45841</c:v>
                </c:pt>
                <c:pt idx="93">
                  <c:v>45840</c:v>
                </c:pt>
                <c:pt idx="94">
                  <c:v>45839</c:v>
                </c:pt>
                <c:pt idx="95">
                  <c:v>45838</c:v>
                </c:pt>
                <c:pt idx="96">
                  <c:v>45837</c:v>
                </c:pt>
                <c:pt idx="97">
                  <c:v>45836</c:v>
                </c:pt>
                <c:pt idx="98">
                  <c:v>45835</c:v>
                </c:pt>
                <c:pt idx="99">
                  <c:v>45834</c:v>
                </c:pt>
                <c:pt idx="100">
                  <c:v>45833</c:v>
                </c:pt>
                <c:pt idx="101">
                  <c:v>45832</c:v>
                </c:pt>
                <c:pt idx="102">
                  <c:v>45831</c:v>
                </c:pt>
                <c:pt idx="103">
                  <c:v>45830</c:v>
                </c:pt>
                <c:pt idx="104">
                  <c:v>45829</c:v>
                </c:pt>
                <c:pt idx="105">
                  <c:v>45828</c:v>
                </c:pt>
                <c:pt idx="106">
                  <c:v>45827</c:v>
                </c:pt>
                <c:pt idx="107">
                  <c:v>45826</c:v>
                </c:pt>
                <c:pt idx="108">
                  <c:v>45825</c:v>
                </c:pt>
                <c:pt idx="109">
                  <c:v>45824</c:v>
                </c:pt>
                <c:pt idx="110">
                  <c:v>45823</c:v>
                </c:pt>
                <c:pt idx="111">
                  <c:v>45822</c:v>
                </c:pt>
                <c:pt idx="112">
                  <c:v>45821</c:v>
                </c:pt>
                <c:pt idx="113">
                  <c:v>45820</c:v>
                </c:pt>
                <c:pt idx="114">
                  <c:v>45819</c:v>
                </c:pt>
                <c:pt idx="115">
                  <c:v>45818</c:v>
                </c:pt>
                <c:pt idx="116">
                  <c:v>45817</c:v>
                </c:pt>
                <c:pt idx="117">
                  <c:v>45816</c:v>
                </c:pt>
                <c:pt idx="118">
                  <c:v>45815</c:v>
                </c:pt>
                <c:pt idx="119">
                  <c:v>45814</c:v>
                </c:pt>
                <c:pt idx="120">
                  <c:v>45813</c:v>
                </c:pt>
                <c:pt idx="121">
                  <c:v>45812</c:v>
                </c:pt>
                <c:pt idx="122">
                  <c:v>45811</c:v>
                </c:pt>
                <c:pt idx="123">
                  <c:v>45810</c:v>
                </c:pt>
                <c:pt idx="124">
                  <c:v>45809</c:v>
                </c:pt>
                <c:pt idx="125">
                  <c:v>45808</c:v>
                </c:pt>
                <c:pt idx="126">
                  <c:v>45807</c:v>
                </c:pt>
                <c:pt idx="127">
                  <c:v>45806</c:v>
                </c:pt>
                <c:pt idx="128">
                  <c:v>45805</c:v>
                </c:pt>
                <c:pt idx="129">
                  <c:v>45804</c:v>
                </c:pt>
                <c:pt idx="130">
                  <c:v>45803</c:v>
                </c:pt>
                <c:pt idx="131">
                  <c:v>45802</c:v>
                </c:pt>
                <c:pt idx="132">
                  <c:v>45801</c:v>
                </c:pt>
                <c:pt idx="133">
                  <c:v>45800</c:v>
                </c:pt>
                <c:pt idx="134">
                  <c:v>45799</c:v>
                </c:pt>
                <c:pt idx="135">
                  <c:v>45798</c:v>
                </c:pt>
                <c:pt idx="136">
                  <c:v>45797</c:v>
                </c:pt>
                <c:pt idx="137">
                  <c:v>45796</c:v>
                </c:pt>
                <c:pt idx="138">
                  <c:v>45795</c:v>
                </c:pt>
                <c:pt idx="139">
                  <c:v>45794</c:v>
                </c:pt>
                <c:pt idx="140">
                  <c:v>45793</c:v>
                </c:pt>
                <c:pt idx="141">
                  <c:v>45792</c:v>
                </c:pt>
                <c:pt idx="142">
                  <c:v>45791</c:v>
                </c:pt>
                <c:pt idx="143">
                  <c:v>45790</c:v>
                </c:pt>
                <c:pt idx="144">
                  <c:v>45789</c:v>
                </c:pt>
                <c:pt idx="145">
                  <c:v>45788</c:v>
                </c:pt>
                <c:pt idx="146">
                  <c:v>45787</c:v>
                </c:pt>
                <c:pt idx="147">
                  <c:v>45786</c:v>
                </c:pt>
                <c:pt idx="148">
                  <c:v>45785</c:v>
                </c:pt>
                <c:pt idx="149">
                  <c:v>45784</c:v>
                </c:pt>
                <c:pt idx="150">
                  <c:v>45783</c:v>
                </c:pt>
                <c:pt idx="151">
                  <c:v>45782</c:v>
                </c:pt>
                <c:pt idx="152">
                  <c:v>45781</c:v>
                </c:pt>
                <c:pt idx="153">
                  <c:v>45780</c:v>
                </c:pt>
                <c:pt idx="154">
                  <c:v>45779</c:v>
                </c:pt>
                <c:pt idx="155">
                  <c:v>45778</c:v>
                </c:pt>
                <c:pt idx="156">
                  <c:v>45777</c:v>
                </c:pt>
                <c:pt idx="157">
                  <c:v>45776</c:v>
                </c:pt>
                <c:pt idx="158">
                  <c:v>45775</c:v>
                </c:pt>
                <c:pt idx="159">
                  <c:v>45774</c:v>
                </c:pt>
                <c:pt idx="160">
                  <c:v>45773</c:v>
                </c:pt>
                <c:pt idx="161">
                  <c:v>45772</c:v>
                </c:pt>
                <c:pt idx="162">
                  <c:v>45771</c:v>
                </c:pt>
                <c:pt idx="163">
                  <c:v>45770</c:v>
                </c:pt>
                <c:pt idx="164">
                  <c:v>45769</c:v>
                </c:pt>
                <c:pt idx="165">
                  <c:v>45768</c:v>
                </c:pt>
                <c:pt idx="166">
                  <c:v>45767</c:v>
                </c:pt>
                <c:pt idx="167">
                  <c:v>45766</c:v>
                </c:pt>
                <c:pt idx="168">
                  <c:v>45765</c:v>
                </c:pt>
                <c:pt idx="169">
                  <c:v>45764</c:v>
                </c:pt>
                <c:pt idx="170">
                  <c:v>45763</c:v>
                </c:pt>
                <c:pt idx="171">
                  <c:v>45762</c:v>
                </c:pt>
                <c:pt idx="172">
                  <c:v>45761</c:v>
                </c:pt>
                <c:pt idx="173">
                  <c:v>45760</c:v>
                </c:pt>
                <c:pt idx="174">
                  <c:v>45759</c:v>
                </c:pt>
                <c:pt idx="175">
                  <c:v>45758</c:v>
                </c:pt>
                <c:pt idx="176">
                  <c:v>45757</c:v>
                </c:pt>
                <c:pt idx="177">
                  <c:v>45756</c:v>
                </c:pt>
                <c:pt idx="178">
                  <c:v>45755</c:v>
                </c:pt>
                <c:pt idx="179">
                  <c:v>45754</c:v>
                </c:pt>
                <c:pt idx="180">
                  <c:v>45753</c:v>
                </c:pt>
                <c:pt idx="181">
                  <c:v>45752</c:v>
                </c:pt>
                <c:pt idx="182">
                  <c:v>45751</c:v>
                </c:pt>
                <c:pt idx="183">
                  <c:v>45750</c:v>
                </c:pt>
                <c:pt idx="184">
                  <c:v>45749</c:v>
                </c:pt>
                <c:pt idx="185">
                  <c:v>45748</c:v>
                </c:pt>
                <c:pt idx="186">
                  <c:v>45747</c:v>
                </c:pt>
                <c:pt idx="187">
                  <c:v>45746</c:v>
                </c:pt>
                <c:pt idx="188">
                  <c:v>45745</c:v>
                </c:pt>
                <c:pt idx="189">
                  <c:v>45744</c:v>
                </c:pt>
                <c:pt idx="190">
                  <c:v>45743</c:v>
                </c:pt>
                <c:pt idx="191">
                  <c:v>45742</c:v>
                </c:pt>
                <c:pt idx="192">
                  <c:v>45741</c:v>
                </c:pt>
                <c:pt idx="193">
                  <c:v>45740</c:v>
                </c:pt>
                <c:pt idx="194">
                  <c:v>45739</c:v>
                </c:pt>
                <c:pt idx="195">
                  <c:v>45738</c:v>
                </c:pt>
                <c:pt idx="196">
                  <c:v>45737</c:v>
                </c:pt>
                <c:pt idx="197">
                  <c:v>45736</c:v>
                </c:pt>
                <c:pt idx="198">
                  <c:v>45735</c:v>
                </c:pt>
                <c:pt idx="199">
                  <c:v>45734</c:v>
                </c:pt>
                <c:pt idx="200">
                  <c:v>45733</c:v>
                </c:pt>
                <c:pt idx="201">
                  <c:v>45732</c:v>
                </c:pt>
                <c:pt idx="202">
                  <c:v>45731</c:v>
                </c:pt>
                <c:pt idx="203">
                  <c:v>45730</c:v>
                </c:pt>
                <c:pt idx="204">
                  <c:v>45729</c:v>
                </c:pt>
                <c:pt idx="205">
                  <c:v>45728</c:v>
                </c:pt>
                <c:pt idx="206">
                  <c:v>45727</c:v>
                </c:pt>
                <c:pt idx="207">
                  <c:v>45726</c:v>
                </c:pt>
                <c:pt idx="208">
                  <c:v>45725</c:v>
                </c:pt>
                <c:pt idx="209">
                  <c:v>45724</c:v>
                </c:pt>
                <c:pt idx="210">
                  <c:v>45723</c:v>
                </c:pt>
                <c:pt idx="211">
                  <c:v>45722</c:v>
                </c:pt>
                <c:pt idx="212">
                  <c:v>45721</c:v>
                </c:pt>
                <c:pt idx="213">
                  <c:v>45720</c:v>
                </c:pt>
                <c:pt idx="214">
                  <c:v>45719</c:v>
                </c:pt>
                <c:pt idx="215">
                  <c:v>45718</c:v>
                </c:pt>
                <c:pt idx="216">
                  <c:v>45717</c:v>
                </c:pt>
                <c:pt idx="217">
                  <c:v>45716</c:v>
                </c:pt>
                <c:pt idx="218">
                  <c:v>45715</c:v>
                </c:pt>
                <c:pt idx="219">
                  <c:v>45714</c:v>
                </c:pt>
                <c:pt idx="220">
                  <c:v>45713</c:v>
                </c:pt>
                <c:pt idx="221">
                  <c:v>45712</c:v>
                </c:pt>
                <c:pt idx="222">
                  <c:v>45711</c:v>
                </c:pt>
                <c:pt idx="223">
                  <c:v>45710</c:v>
                </c:pt>
                <c:pt idx="224">
                  <c:v>45709</c:v>
                </c:pt>
                <c:pt idx="225">
                  <c:v>45708</c:v>
                </c:pt>
                <c:pt idx="226">
                  <c:v>45707</c:v>
                </c:pt>
                <c:pt idx="227">
                  <c:v>45706</c:v>
                </c:pt>
                <c:pt idx="228">
                  <c:v>45705</c:v>
                </c:pt>
                <c:pt idx="229">
                  <c:v>45704</c:v>
                </c:pt>
                <c:pt idx="230">
                  <c:v>45703</c:v>
                </c:pt>
                <c:pt idx="231">
                  <c:v>45702</c:v>
                </c:pt>
                <c:pt idx="232">
                  <c:v>45701</c:v>
                </c:pt>
                <c:pt idx="233">
                  <c:v>45700</c:v>
                </c:pt>
                <c:pt idx="234">
                  <c:v>45699</c:v>
                </c:pt>
                <c:pt idx="235">
                  <c:v>45698</c:v>
                </c:pt>
                <c:pt idx="236">
                  <c:v>45697</c:v>
                </c:pt>
                <c:pt idx="237">
                  <c:v>45696</c:v>
                </c:pt>
                <c:pt idx="238">
                  <c:v>45695</c:v>
                </c:pt>
                <c:pt idx="239">
                  <c:v>45694</c:v>
                </c:pt>
                <c:pt idx="240">
                  <c:v>45693</c:v>
                </c:pt>
                <c:pt idx="241">
                  <c:v>45692</c:v>
                </c:pt>
                <c:pt idx="242">
                  <c:v>45691</c:v>
                </c:pt>
                <c:pt idx="243">
                  <c:v>45690</c:v>
                </c:pt>
                <c:pt idx="244">
                  <c:v>45689</c:v>
                </c:pt>
                <c:pt idx="245">
                  <c:v>45688</c:v>
                </c:pt>
                <c:pt idx="246">
                  <c:v>45687</c:v>
                </c:pt>
                <c:pt idx="247">
                  <c:v>45686</c:v>
                </c:pt>
                <c:pt idx="248">
                  <c:v>45685</c:v>
                </c:pt>
                <c:pt idx="249">
                  <c:v>45684</c:v>
                </c:pt>
                <c:pt idx="250">
                  <c:v>45683</c:v>
                </c:pt>
                <c:pt idx="251">
                  <c:v>45682</c:v>
                </c:pt>
                <c:pt idx="252">
                  <c:v>45681</c:v>
                </c:pt>
                <c:pt idx="253">
                  <c:v>45680</c:v>
                </c:pt>
                <c:pt idx="254">
                  <c:v>45679</c:v>
                </c:pt>
                <c:pt idx="255">
                  <c:v>45678</c:v>
                </c:pt>
                <c:pt idx="256">
                  <c:v>45677</c:v>
                </c:pt>
                <c:pt idx="257">
                  <c:v>45676</c:v>
                </c:pt>
                <c:pt idx="258">
                  <c:v>45675</c:v>
                </c:pt>
                <c:pt idx="259">
                  <c:v>45674</c:v>
                </c:pt>
                <c:pt idx="260">
                  <c:v>45673</c:v>
                </c:pt>
                <c:pt idx="261">
                  <c:v>45672</c:v>
                </c:pt>
                <c:pt idx="262">
                  <c:v>45671</c:v>
                </c:pt>
                <c:pt idx="263">
                  <c:v>45670</c:v>
                </c:pt>
                <c:pt idx="264">
                  <c:v>45669</c:v>
                </c:pt>
                <c:pt idx="265">
                  <c:v>45668</c:v>
                </c:pt>
                <c:pt idx="266">
                  <c:v>45667</c:v>
                </c:pt>
                <c:pt idx="267">
                  <c:v>45666</c:v>
                </c:pt>
                <c:pt idx="268">
                  <c:v>45665</c:v>
                </c:pt>
                <c:pt idx="269">
                  <c:v>45664</c:v>
                </c:pt>
                <c:pt idx="270">
                  <c:v>45663</c:v>
                </c:pt>
                <c:pt idx="271">
                  <c:v>45662</c:v>
                </c:pt>
                <c:pt idx="272">
                  <c:v>45661</c:v>
                </c:pt>
                <c:pt idx="273">
                  <c:v>45660</c:v>
                </c:pt>
                <c:pt idx="274">
                  <c:v>45659</c:v>
                </c:pt>
                <c:pt idx="275">
                  <c:v>45658</c:v>
                </c:pt>
                <c:pt idx="276">
                  <c:v>45657</c:v>
                </c:pt>
                <c:pt idx="277">
                  <c:v>45656</c:v>
                </c:pt>
                <c:pt idx="278">
                  <c:v>45655</c:v>
                </c:pt>
                <c:pt idx="279">
                  <c:v>45654</c:v>
                </c:pt>
                <c:pt idx="280">
                  <c:v>45653</c:v>
                </c:pt>
                <c:pt idx="281">
                  <c:v>45652</c:v>
                </c:pt>
                <c:pt idx="282">
                  <c:v>45651</c:v>
                </c:pt>
                <c:pt idx="283">
                  <c:v>45650</c:v>
                </c:pt>
                <c:pt idx="284">
                  <c:v>45649</c:v>
                </c:pt>
                <c:pt idx="285">
                  <c:v>45648</c:v>
                </c:pt>
                <c:pt idx="286">
                  <c:v>45647</c:v>
                </c:pt>
                <c:pt idx="287">
                  <c:v>45646</c:v>
                </c:pt>
                <c:pt idx="288">
                  <c:v>45645</c:v>
                </c:pt>
                <c:pt idx="289">
                  <c:v>45644</c:v>
                </c:pt>
                <c:pt idx="290">
                  <c:v>45643</c:v>
                </c:pt>
                <c:pt idx="291">
                  <c:v>45642</c:v>
                </c:pt>
                <c:pt idx="292">
                  <c:v>45641</c:v>
                </c:pt>
                <c:pt idx="293">
                  <c:v>45640</c:v>
                </c:pt>
                <c:pt idx="294">
                  <c:v>45639</c:v>
                </c:pt>
                <c:pt idx="295">
                  <c:v>45638</c:v>
                </c:pt>
                <c:pt idx="296">
                  <c:v>45637</c:v>
                </c:pt>
                <c:pt idx="297">
                  <c:v>45636</c:v>
                </c:pt>
                <c:pt idx="298">
                  <c:v>45635</c:v>
                </c:pt>
                <c:pt idx="299">
                  <c:v>45634</c:v>
                </c:pt>
                <c:pt idx="300">
                  <c:v>45633</c:v>
                </c:pt>
                <c:pt idx="301">
                  <c:v>45632</c:v>
                </c:pt>
                <c:pt idx="302">
                  <c:v>45631</c:v>
                </c:pt>
                <c:pt idx="303">
                  <c:v>45630</c:v>
                </c:pt>
                <c:pt idx="304">
                  <c:v>45629</c:v>
                </c:pt>
                <c:pt idx="305">
                  <c:v>45628</c:v>
                </c:pt>
                <c:pt idx="306">
                  <c:v>45627</c:v>
                </c:pt>
                <c:pt idx="307">
                  <c:v>45626</c:v>
                </c:pt>
                <c:pt idx="308">
                  <c:v>45625</c:v>
                </c:pt>
                <c:pt idx="309">
                  <c:v>45624</c:v>
                </c:pt>
                <c:pt idx="310">
                  <c:v>45623</c:v>
                </c:pt>
                <c:pt idx="311">
                  <c:v>45622</c:v>
                </c:pt>
                <c:pt idx="312">
                  <c:v>45621</c:v>
                </c:pt>
                <c:pt idx="313">
                  <c:v>45620</c:v>
                </c:pt>
                <c:pt idx="314">
                  <c:v>45619</c:v>
                </c:pt>
                <c:pt idx="315">
                  <c:v>45618</c:v>
                </c:pt>
                <c:pt idx="316">
                  <c:v>45617</c:v>
                </c:pt>
                <c:pt idx="317">
                  <c:v>45616</c:v>
                </c:pt>
                <c:pt idx="318">
                  <c:v>45615</c:v>
                </c:pt>
                <c:pt idx="319">
                  <c:v>45614</c:v>
                </c:pt>
                <c:pt idx="320">
                  <c:v>45613</c:v>
                </c:pt>
                <c:pt idx="321">
                  <c:v>45612</c:v>
                </c:pt>
                <c:pt idx="322">
                  <c:v>45611</c:v>
                </c:pt>
                <c:pt idx="323">
                  <c:v>45610</c:v>
                </c:pt>
                <c:pt idx="324">
                  <c:v>45609</c:v>
                </c:pt>
                <c:pt idx="325">
                  <c:v>45608</c:v>
                </c:pt>
                <c:pt idx="326">
                  <c:v>45607</c:v>
                </c:pt>
                <c:pt idx="327">
                  <c:v>45606</c:v>
                </c:pt>
                <c:pt idx="328">
                  <c:v>45605</c:v>
                </c:pt>
                <c:pt idx="329">
                  <c:v>45604</c:v>
                </c:pt>
                <c:pt idx="330">
                  <c:v>45603</c:v>
                </c:pt>
                <c:pt idx="331">
                  <c:v>45602</c:v>
                </c:pt>
                <c:pt idx="332">
                  <c:v>45601</c:v>
                </c:pt>
                <c:pt idx="333">
                  <c:v>45600</c:v>
                </c:pt>
                <c:pt idx="334">
                  <c:v>45599</c:v>
                </c:pt>
                <c:pt idx="335">
                  <c:v>45598</c:v>
                </c:pt>
                <c:pt idx="336">
                  <c:v>45597</c:v>
                </c:pt>
                <c:pt idx="337">
                  <c:v>45596</c:v>
                </c:pt>
                <c:pt idx="338">
                  <c:v>45595</c:v>
                </c:pt>
                <c:pt idx="339">
                  <c:v>45594</c:v>
                </c:pt>
                <c:pt idx="340">
                  <c:v>45593</c:v>
                </c:pt>
                <c:pt idx="341">
                  <c:v>45592</c:v>
                </c:pt>
                <c:pt idx="342">
                  <c:v>45591</c:v>
                </c:pt>
                <c:pt idx="343">
                  <c:v>45590</c:v>
                </c:pt>
                <c:pt idx="344">
                  <c:v>45589</c:v>
                </c:pt>
                <c:pt idx="345">
                  <c:v>45588</c:v>
                </c:pt>
                <c:pt idx="346">
                  <c:v>45587</c:v>
                </c:pt>
                <c:pt idx="347">
                  <c:v>45586</c:v>
                </c:pt>
                <c:pt idx="348">
                  <c:v>45585</c:v>
                </c:pt>
                <c:pt idx="349">
                  <c:v>45584</c:v>
                </c:pt>
                <c:pt idx="350">
                  <c:v>45583</c:v>
                </c:pt>
                <c:pt idx="351">
                  <c:v>45582</c:v>
                </c:pt>
                <c:pt idx="352">
                  <c:v>45581</c:v>
                </c:pt>
                <c:pt idx="353">
                  <c:v>45580</c:v>
                </c:pt>
                <c:pt idx="354">
                  <c:v>45579</c:v>
                </c:pt>
                <c:pt idx="355">
                  <c:v>45578</c:v>
                </c:pt>
                <c:pt idx="356">
                  <c:v>45577</c:v>
                </c:pt>
                <c:pt idx="357">
                  <c:v>45576</c:v>
                </c:pt>
                <c:pt idx="358">
                  <c:v>45575</c:v>
                </c:pt>
                <c:pt idx="359">
                  <c:v>45574</c:v>
                </c:pt>
                <c:pt idx="360">
                  <c:v>45573</c:v>
                </c:pt>
                <c:pt idx="361">
                  <c:v>45572</c:v>
                </c:pt>
                <c:pt idx="362">
                  <c:v>45571</c:v>
                </c:pt>
                <c:pt idx="363">
                  <c:v>45570</c:v>
                </c:pt>
                <c:pt idx="364">
                  <c:v>45569</c:v>
                </c:pt>
                <c:pt idx="365">
                  <c:v>45568</c:v>
                </c:pt>
                <c:pt idx="366">
                  <c:v>45567</c:v>
                </c:pt>
                <c:pt idx="367">
                  <c:v>45566</c:v>
                </c:pt>
                <c:pt idx="368">
                  <c:v>45565</c:v>
                </c:pt>
                <c:pt idx="369">
                  <c:v>45564</c:v>
                </c:pt>
                <c:pt idx="370">
                  <c:v>45563</c:v>
                </c:pt>
                <c:pt idx="371">
                  <c:v>45562</c:v>
                </c:pt>
                <c:pt idx="372">
                  <c:v>45561</c:v>
                </c:pt>
                <c:pt idx="373">
                  <c:v>45560</c:v>
                </c:pt>
                <c:pt idx="374">
                  <c:v>45559</c:v>
                </c:pt>
                <c:pt idx="375">
                  <c:v>45558</c:v>
                </c:pt>
                <c:pt idx="376">
                  <c:v>45557</c:v>
                </c:pt>
                <c:pt idx="377">
                  <c:v>45556</c:v>
                </c:pt>
                <c:pt idx="378">
                  <c:v>45555</c:v>
                </c:pt>
                <c:pt idx="379">
                  <c:v>45554</c:v>
                </c:pt>
                <c:pt idx="380">
                  <c:v>45553</c:v>
                </c:pt>
                <c:pt idx="381">
                  <c:v>45552</c:v>
                </c:pt>
                <c:pt idx="382">
                  <c:v>45551</c:v>
                </c:pt>
                <c:pt idx="383">
                  <c:v>45550</c:v>
                </c:pt>
                <c:pt idx="384">
                  <c:v>45549</c:v>
                </c:pt>
                <c:pt idx="385">
                  <c:v>45548</c:v>
                </c:pt>
                <c:pt idx="386">
                  <c:v>45547</c:v>
                </c:pt>
                <c:pt idx="387">
                  <c:v>45546</c:v>
                </c:pt>
                <c:pt idx="388">
                  <c:v>45545</c:v>
                </c:pt>
                <c:pt idx="389">
                  <c:v>45544</c:v>
                </c:pt>
                <c:pt idx="390">
                  <c:v>45543</c:v>
                </c:pt>
                <c:pt idx="391">
                  <c:v>45542</c:v>
                </c:pt>
                <c:pt idx="392">
                  <c:v>45541</c:v>
                </c:pt>
                <c:pt idx="393">
                  <c:v>45540</c:v>
                </c:pt>
                <c:pt idx="394">
                  <c:v>45539</c:v>
                </c:pt>
                <c:pt idx="395">
                  <c:v>45538</c:v>
                </c:pt>
                <c:pt idx="396">
                  <c:v>45537</c:v>
                </c:pt>
                <c:pt idx="397">
                  <c:v>45536</c:v>
                </c:pt>
                <c:pt idx="398">
                  <c:v>45535</c:v>
                </c:pt>
                <c:pt idx="399">
                  <c:v>45534</c:v>
                </c:pt>
                <c:pt idx="400">
                  <c:v>45533</c:v>
                </c:pt>
                <c:pt idx="401">
                  <c:v>45532</c:v>
                </c:pt>
                <c:pt idx="402">
                  <c:v>45531</c:v>
                </c:pt>
                <c:pt idx="403">
                  <c:v>45530</c:v>
                </c:pt>
                <c:pt idx="404">
                  <c:v>45529</c:v>
                </c:pt>
                <c:pt idx="405">
                  <c:v>45528</c:v>
                </c:pt>
                <c:pt idx="406">
                  <c:v>45527</c:v>
                </c:pt>
                <c:pt idx="407">
                  <c:v>45526</c:v>
                </c:pt>
                <c:pt idx="408">
                  <c:v>45525</c:v>
                </c:pt>
                <c:pt idx="409">
                  <c:v>45524</c:v>
                </c:pt>
                <c:pt idx="410">
                  <c:v>45523</c:v>
                </c:pt>
                <c:pt idx="411">
                  <c:v>45522</c:v>
                </c:pt>
                <c:pt idx="412">
                  <c:v>45521</c:v>
                </c:pt>
                <c:pt idx="413">
                  <c:v>45520</c:v>
                </c:pt>
                <c:pt idx="414">
                  <c:v>45519</c:v>
                </c:pt>
                <c:pt idx="415">
                  <c:v>45518</c:v>
                </c:pt>
                <c:pt idx="416">
                  <c:v>45517</c:v>
                </c:pt>
                <c:pt idx="417">
                  <c:v>45516</c:v>
                </c:pt>
                <c:pt idx="418">
                  <c:v>45515</c:v>
                </c:pt>
                <c:pt idx="419">
                  <c:v>45514</c:v>
                </c:pt>
                <c:pt idx="420">
                  <c:v>45513</c:v>
                </c:pt>
                <c:pt idx="421">
                  <c:v>45512</c:v>
                </c:pt>
                <c:pt idx="422">
                  <c:v>45511</c:v>
                </c:pt>
                <c:pt idx="423">
                  <c:v>45510</c:v>
                </c:pt>
                <c:pt idx="424">
                  <c:v>45509</c:v>
                </c:pt>
                <c:pt idx="425">
                  <c:v>45508</c:v>
                </c:pt>
                <c:pt idx="426">
                  <c:v>45507</c:v>
                </c:pt>
                <c:pt idx="427">
                  <c:v>45506</c:v>
                </c:pt>
                <c:pt idx="428">
                  <c:v>45505</c:v>
                </c:pt>
                <c:pt idx="429">
                  <c:v>45504</c:v>
                </c:pt>
                <c:pt idx="430">
                  <c:v>45503</c:v>
                </c:pt>
                <c:pt idx="431">
                  <c:v>45502</c:v>
                </c:pt>
                <c:pt idx="432">
                  <c:v>45501</c:v>
                </c:pt>
                <c:pt idx="433">
                  <c:v>45500</c:v>
                </c:pt>
                <c:pt idx="434">
                  <c:v>45499</c:v>
                </c:pt>
                <c:pt idx="435">
                  <c:v>45498</c:v>
                </c:pt>
                <c:pt idx="436">
                  <c:v>45497</c:v>
                </c:pt>
                <c:pt idx="437">
                  <c:v>45496</c:v>
                </c:pt>
                <c:pt idx="438">
                  <c:v>45495</c:v>
                </c:pt>
                <c:pt idx="439">
                  <c:v>45494</c:v>
                </c:pt>
                <c:pt idx="440">
                  <c:v>45493</c:v>
                </c:pt>
                <c:pt idx="441">
                  <c:v>45492</c:v>
                </c:pt>
                <c:pt idx="442">
                  <c:v>45491</c:v>
                </c:pt>
                <c:pt idx="443">
                  <c:v>45490</c:v>
                </c:pt>
                <c:pt idx="444">
                  <c:v>45489</c:v>
                </c:pt>
                <c:pt idx="445">
                  <c:v>45488</c:v>
                </c:pt>
                <c:pt idx="446">
                  <c:v>45487</c:v>
                </c:pt>
                <c:pt idx="447">
                  <c:v>45486</c:v>
                </c:pt>
                <c:pt idx="448">
                  <c:v>45485</c:v>
                </c:pt>
                <c:pt idx="449">
                  <c:v>45484</c:v>
                </c:pt>
                <c:pt idx="450">
                  <c:v>45483</c:v>
                </c:pt>
                <c:pt idx="451">
                  <c:v>45482</c:v>
                </c:pt>
                <c:pt idx="452">
                  <c:v>45481</c:v>
                </c:pt>
                <c:pt idx="453">
                  <c:v>45480</c:v>
                </c:pt>
                <c:pt idx="454">
                  <c:v>45479</c:v>
                </c:pt>
                <c:pt idx="455">
                  <c:v>45478</c:v>
                </c:pt>
                <c:pt idx="456">
                  <c:v>45477</c:v>
                </c:pt>
                <c:pt idx="457">
                  <c:v>45476</c:v>
                </c:pt>
                <c:pt idx="458">
                  <c:v>45475</c:v>
                </c:pt>
                <c:pt idx="459">
                  <c:v>45474</c:v>
                </c:pt>
                <c:pt idx="460">
                  <c:v>45473</c:v>
                </c:pt>
                <c:pt idx="461">
                  <c:v>45472</c:v>
                </c:pt>
                <c:pt idx="462">
                  <c:v>45471</c:v>
                </c:pt>
                <c:pt idx="463">
                  <c:v>45470</c:v>
                </c:pt>
                <c:pt idx="464">
                  <c:v>45469</c:v>
                </c:pt>
                <c:pt idx="465">
                  <c:v>45468</c:v>
                </c:pt>
                <c:pt idx="466">
                  <c:v>45467</c:v>
                </c:pt>
                <c:pt idx="467">
                  <c:v>45466</c:v>
                </c:pt>
                <c:pt idx="468">
                  <c:v>45465</c:v>
                </c:pt>
                <c:pt idx="469">
                  <c:v>45464</c:v>
                </c:pt>
                <c:pt idx="470">
                  <c:v>45463</c:v>
                </c:pt>
                <c:pt idx="471">
                  <c:v>45462</c:v>
                </c:pt>
                <c:pt idx="472">
                  <c:v>45461</c:v>
                </c:pt>
                <c:pt idx="473">
                  <c:v>45460</c:v>
                </c:pt>
                <c:pt idx="474">
                  <c:v>45459</c:v>
                </c:pt>
                <c:pt idx="475">
                  <c:v>45458</c:v>
                </c:pt>
                <c:pt idx="476">
                  <c:v>45457</c:v>
                </c:pt>
                <c:pt idx="477">
                  <c:v>45456</c:v>
                </c:pt>
                <c:pt idx="478">
                  <c:v>45455</c:v>
                </c:pt>
                <c:pt idx="479">
                  <c:v>45454</c:v>
                </c:pt>
                <c:pt idx="480">
                  <c:v>45453</c:v>
                </c:pt>
                <c:pt idx="481">
                  <c:v>45452</c:v>
                </c:pt>
                <c:pt idx="482">
                  <c:v>45451</c:v>
                </c:pt>
                <c:pt idx="483">
                  <c:v>45450</c:v>
                </c:pt>
                <c:pt idx="484">
                  <c:v>45449</c:v>
                </c:pt>
                <c:pt idx="485">
                  <c:v>45448</c:v>
                </c:pt>
                <c:pt idx="486">
                  <c:v>45447</c:v>
                </c:pt>
                <c:pt idx="487">
                  <c:v>45446</c:v>
                </c:pt>
                <c:pt idx="488">
                  <c:v>45445</c:v>
                </c:pt>
                <c:pt idx="489">
                  <c:v>45444</c:v>
                </c:pt>
                <c:pt idx="490">
                  <c:v>45443</c:v>
                </c:pt>
                <c:pt idx="491">
                  <c:v>45442</c:v>
                </c:pt>
                <c:pt idx="492">
                  <c:v>45441</c:v>
                </c:pt>
                <c:pt idx="493">
                  <c:v>45440</c:v>
                </c:pt>
                <c:pt idx="494">
                  <c:v>45439</c:v>
                </c:pt>
                <c:pt idx="495">
                  <c:v>45438</c:v>
                </c:pt>
                <c:pt idx="496">
                  <c:v>45437</c:v>
                </c:pt>
                <c:pt idx="497">
                  <c:v>45436</c:v>
                </c:pt>
                <c:pt idx="498">
                  <c:v>45435</c:v>
                </c:pt>
                <c:pt idx="499">
                  <c:v>45434</c:v>
                </c:pt>
                <c:pt idx="500">
                  <c:v>45433</c:v>
                </c:pt>
                <c:pt idx="501">
                  <c:v>45432</c:v>
                </c:pt>
                <c:pt idx="502">
                  <c:v>45431</c:v>
                </c:pt>
                <c:pt idx="503">
                  <c:v>45430</c:v>
                </c:pt>
                <c:pt idx="504">
                  <c:v>45429</c:v>
                </c:pt>
                <c:pt idx="505">
                  <c:v>45428</c:v>
                </c:pt>
                <c:pt idx="506">
                  <c:v>45427</c:v>
                </c:pt>
                <c:pt idx="507">
                  <c:v>45426</c:v>
                </c:pt>
                <c:pt idx="508">
                  <c:v>45425</c:v>
                </c:pt>
                <c:pt idx="509">
                  <c:v>45424</c:v>
                </c:pt>
                <c:pt idx="510">
                  <c:v>45423</c:v>
                </c:pt>
                <c:pt idx="511">
                  <c:v>45422</c:v>
                </c:pt>
                <c:pt idx="512">
                  <c:v>45421</c:v>
                </c:pt>
                <c:pt idx="513">
                  <c:v>45420</c:v>
                </c:pt>
                <c:pt idx="514">
                  <c:v>45419</c:v>
                </c:pt>
                <c:pt idx="515">
                  <c:v>45418</c:v>
                </c:pt>
                <c:pt idx="516">
                  <c:v>45417</c:v>
                </c:pt>
                <c:pt idx="517">
                  <c:v>45416</c:v>
                </c:pt>
                <c:pt idx="518">
                  <c:v>45415</c:v>
                </c:pt>
                <c:pt idx="519">
                  <c:v>45414</c:v>
                </c:pt>
                <c:pt idx="520">
                  <c:v>45413</c:v>
                </c:pt>
                <c:pt idx="521">
                  <c:v>45412</c:v>
                </c:pt>
                <c:pt idx="522">
                  <c:v>45411</c:v>
                </c:pt>
                <c:pt idx="523">
                  <c:v>45410</c:v>
                </c:pt>
                <c:pt idx="524">
                  <c:v>45409</c:v>
                </c:pt>
                <c:pt idx="525">
                  <c:v>45408</c:v>
                </c:pt>
                <c:pt idx="526">
                  <c:v>45407</c:v>
                </c:pt>
                <c:pt idx="527">
                  <c:v>45406</c:v>
                </c:pt>
                <c:pt idx="528">
                  <c:v>45405</c:v>
                </c:pt>
                <c:pt idx="529">
                  <c:v>45404</c:v>
                </c:pt>
                <c:pt idx="530">
                  <c:v>45403</c:v>
                </c:pt>
                <c:pt idx="531">
                  <c:v>45402</c:v>
                </c:pt>
                <c:pt idx="532">
                  <c:v>45401</c:v>
                </c:pt>
                <c:pt idx="533">
                  <c:v>45400</c:v>
                </c:pt>
                <c:pt idx="534">
                  <c:v>45399</c:v>
                </c:pt>
                <c:pt idx="535">
                  <c:v>45398</c:v>
                </c:pt>
                <c:pt idx="536">
                  <c:v>45397</c:v>
                </c:pt>
                <c:pt idx="537">
                  <c:v>45396</c:v>
                </c:pt>
                <c:pt idx="538">
                  <c:v>45395</c:v>
                </c:pt>
                <c:pt idx="539">
                  <c:v>45394</c:v>
                </c:pt>
                <c:pt idx="540">
                  <c:v>45393</c:v>
                </c:pt>
                <c:pt idx="541">
                  <c:v>45392</c:v>
                </c:pt>
                <c:pt idx="542">
                  <c:v>45391</c:v>
                </c:pt>
                <c:pt idx="543">
                  <c:v>45390</c:v>
                </c:pt>
                <c:pt idx="544">
                  <c:v>45389</c:v>
                </c:pt>
                <c:pt idx="545">
                  <c:v>45388</c:v>
                </c:pt>
                <c:pt idx="546">
                  <c:v>45387</c:v>
                </c:pt>
                <c:pt idx="547">
                  <c:v>45386</c:v>
                </c:pt>
                <c:pt idx="548">
                  <c:v>45385</c:v>
                </c:pt>
                <c:pt idx="549">
                  <c:v>45384</c:v>
                </c:pt>
                <c:pt idx="550">
                  <c:v>45383</c:v>
                </c:pt>
                <c:pt idx="551">
                  <c:v>45382</c:v>
                </c:pt>
                <c:pt idx="552">
                  <c:v>45381</c:v>
                </c:pt>
                <c:pt idx="553">
                  <c:v>45380</c:v>
                </c:pt>
                <c:pt idx="554">
                  <c:v>45379</c:v>
                </c:pt>
                <c:pt idx="555">
                  <c:v>45378</c:v>
                </c:pt>
                <c:pt idx="556">
                  <c:v>45377</c:v>
                </c:pt>
                <c:pt idx="557">
                  <c:v>45376</c:v>
                </c:pt>
                <c:pt idx="558">
                  <c:v>45375</c:v>
                </c:pt>
                <c:pt idx="559">
                  <c:v>45374</c:v>
                </c:pt>
                <c:pt idx="560">
                  <c:v>45373</c:v>
                </c:pt>
                <c:pt idx="561">
                  <c:v>45372</c:v>
                </c:pt>
                <c:pt idx="562">
                  <c:v>45371</c:v>
                </c:pt>
                <c:pt idx="563">
                  <c:v>45370</c:v>
                </c:pt>
                <c:pt idx="564">
                  <c:v>45369</c:v>
                </c:pt>
                <c:pt idx="565">
                  <c:v>45368</c:v>
                </c:pt>
                <c:pt idx="566">
                  <c:v>45367</c:v>
                </c:pt>
                <c:pt idx="567">
                  <c:v>45366</c:v>
                </c:pt>
                <c:pt idx="568">
                  <c:v>45365</c:v>
                </c:pt>
                <c:pt idx="569">
                  <c:v>45364</c:v>
                </c:pt>
                <c:pt idx="570">
                  <c:v>45363</c:v>
                </c:pt>
                <c:pt idx="571">
                  <c:v>45362</c:v>
                </c:pt>
                <c:pt idx="572">
                  <c:v>45361</c:v>
                </c:pt>
                <c:pt idx="573">
                  <c:v>45360</c:v>
                </c:pt>
                <c:pt idx="574">
                  <c:v>45359</c:v>
                </c:pt>
                <c:pt idx="575">
                  <c:v>45358</c:v>
                </c:pt>
                <c:pt idx="576">
                  <c:v>45357</c:v>
                </c:pt>
                <c:pt idx="577">
                  <c:v>45356</c:v>
                </c:pt>
                <c:pt idx="578">
                  <c:v>45355</c:v>
                </c:pt>
                <c:pt idx="579">
                  <c:v>45354</c:v>
                </c:pt>
                <c:pt idx="580">
                  <c:v>45353</c:v>
                </c:pt>
                <c:pt idx="581">
                  <c:v>45352</c:v>
                </c:pt>
                <c:pt idx="582">
                  <c:v>45351</c:v>
                </c:pt>
                <c:pt idx="583">
                  <c:v>45350</c:v>
                </c:pt>
                <c:pt idx="584">
                  <c:v>45349</c:v>
                </c:pt>
                <c:pt idx="585">
                  <c:v>45348</c:v>
                </c:pt>
                <c:pt idx="586">
                  <c:v>45347</c:v>
                </c:pt>
                <c:pt idx="587">
                  <c:v>45346</c:v>
                </c:pt>
                <c:pt idx="588">
                  <c:v>45345</c:v>
                </c:pt>
                <c:pt idx="589">
                  <c:v>45344</c:v>
                </c:pt>
                <c:pt idx="590">
                  <c:v>45343</c:v>
                </c:pt>
                <c:pt idx="591">
                  <c:v>45342</c:v>
                </c:pt>
                <c:pt idx="592">
                  <c:v>45341</c:v>
                </c:pt>
                <c:pt idx="593">
                  <c:v>45340</c:v>
                </c:pt>
                <c:pt idx="594">
                  <c:v>45339</c:v>
                </c:pt>
                <c:pt idx="595">
                  <c:v>45338</c:v>
                </c:pt>
                <c:pt idx="596">
                  <c:v>45337</c:v>
                </c:pt>
                <c:pt idx="597">
                  <c:v>45336</c:v>
                </c:pt>
                <c:pt idx="598">
                  <c:v>45335</c:v>
                </c:pt>
                <c:pt idx="599">
                  <c:v>45334</c:v>
                </c:pt>
                <c:pt idx="600">
                  <c:v>45333</c:v>
                </c:pt>
                <c:pt idx="601">
                  <c:v>45332</c:v>
                </c:pt>
                <c:pt idx="602">
                  <c:v>45331</c:v>
                </c:pt>
                <c:pt idx="603">
                  <c:v>45330</c:v>
                </c:pt>
                <c:pt idx="604">
                  <c:v>45329</c:v>
                </c:pt>
                <c:pt idx="605">
                  <c:v>45328</c:v>
                </c:pt>
                <c:pt idx="606">
                  <c:v>45327</c:v>
                </c:pt>
                <c:pt idx="607">
                  <c:v>45326</c:v>
                </c:pt>
                <c:pt idx="608">
                  <c:v>45325</c:v>
                </c:pt>
                <c:pt idx="609">
                  <c:v>45324</c:v>
                </c:pt>
                <c:pt idx="610">
                  <c:v>45323</c:v>
                </c:pt>
                <c:pt idx="611">
                  <c:v>45322</c:v>
                </c:pt>
                <c:pt idx="612">
                  <c:v>45321</c:v>
                </c:pt>
                <c:pt idx="613">
                  <c:v>45320</c:v>
                </c:pt>
                <c:pt idx="614">
                  <c:v>45319</c:v>
                </c:pt>
                <c:pt idx="615">
                  <c:v>45318</c:v>
                </c:pt>
                <c:pt idx="616">
                  <c:v>45317</c:v>
                </c:pt>
                <c:pt idx="617">
                  <c:v>45316</c:v>
                </c:pt>
                <c:pt idx="618">
                  <c:v>45315</c:v>
                </c:pt>
                <c:pt idx="619">
                  <c:v>45314</c:v>
                </c:pt>
                <c:pt idx="620">
                  <c:v>45313</c:v>
                </c:pt>
                <c:pt idx="621">
                  <c:v>45312</c:v>
                </c:pt>
                <c:pt idx="622">
                  <c:v>45311</c:v>
                </c:pt>
                <c:pt idx="623">
                  <c:v>45310</c:v>
                </c:pt>
                <c:pt idx="624">
                  <c:v>45309</c:v>
                </c:pt>
                <c:pt idx="625">
                  <c:v>45308</c:v>
                </c:pt>
                <c:pt idx="626">
                  <c:v>45307</c:v>
                </c:pt>
                <c:pt idx="627">
                  <c:v>45306</c:v>
                </c:pt>
                <c:pt idx="628">
                  <c:v>45305</c:v>
                </c:pt>
                <c:pt idx="629">
                  <c:v>45304</c:v>
                </c:pt>
                <c:pt idx="630">
                  <c:v>45303</c:v>
                </c:pt>
                <c:pt idx="631">
                  <c:v>45302</c:v>
                </c:pt>
                <c:pt idx="632">
                  <c:v>45301</c:v>
                </c:pt>
                <c:pt idx="633">
                  <c:v>45300</c:v>
                </c:pt>
                <c:pt idx="634">
                  <c:v>45299</c:v>
                </c:pt>
                <c:pt idx="635">
                  <c:v>45298</c:v>
                </c:pt>
                <c:pt idx="636">
                  <c:v>45297</c:v>
                </c:pt>
                <c:pt idx="637">
                  <c:v>45296</c:v>
                </c:pt>
                <c:pt idx="638">
                  <c:v>45295</c:v>
                </c:pt>
                <c:pt idx="639">
                  <c:v>45294</c:v>
                </c:pt>
                <c:pt idx="640">
                  <c:v>45293</c:v>
                </c:pt>
                <c:pt idx="641">
                  <c:v>45292</c:v>
                </c:pt>
                <c:pt idx="642">
                  <c:v>45291</c:v>
                </c:pt>
                <c:pt idx="643">
                  <c:v>45290</c:v>
                </c:pt>
                <c:pt idx="644">
                  <c:v>45289</c:v>
                </c:pt>
                <c:pt idx="645">
                  <c:v>45288</c:v>
                </c:pt>
                <c:pt idx="646">
                  <c:v>45287</c:v>
                </c:pt>
                <c:pt idx="647">
                  <c:v>45286</c:v>
                </c:pt>
                <c:pt idx="648">
                  <c:v>45285</c:v>
                </c:pt>
                <c:pt idx="649">
                  <c:v>45284</c:v>
                </c:pt>
                <c:pt idx="650">
                  <c:v>45283</c:v>
                </c:pt>
                <c:pt idx="651">
                  <c:v>45282</c:v>
                </c:pt>
                <c:pt idx="652">
                  <c:v>45281</c:v>
                </c:pt>
                <c:pt idx="653">
                  <c:v>45280</c:v>
                </c:pt>
                <c:pt idx="654">
                  <c:v>45279</c:v>
                </c:pt>
                <c:pt idx="655">
                  <c:v>45278</c:v>
                </c:pt>
                <c:pt idx="656">
                  <c:v>45277</c:v>
                </c:pt>
                <c:pt idx="657">
                  <c:v>45276</c:v>
                </c:pt>
                <c:pt idx="658">
                  <c:v>45275</c:v>
                </c:pt>
                <c:pt idx="659">
                  <c:v>45274</c:v>
                </c:pt>
                <c:pt idx="660">
                  <c:v>45273</c:v>
                </c:pt>
                <c:pt idx="661">
                  <c:v>45272</c:v>
                </c:pt>
                <c:pt idx="662">
                  <c:v>45271</c:v>
                </c:pt>
                <c:pt idx="663">
                  <c:v>45270</c:v>
                </c:pt>
                <c:pt idx="664">
                  <c:v>45269</c:v>
                </c:pt>
                <c:pt idx="665">
                  <c:v>45268</c:v>
                </c:pt>
                <c:pt idx="666">
                  <c:v>45267</c:v>
                </c:pt>
                <c:pt idx="667">
                  <c:v>45266</c:v>
                </c:pt>
                <c:pt idx="668">
                  <c:v>45265</c:v>
                </c:pt>
                <c:pt idx="669">
                  <c:v>45264</c:v>
                </c:pt>
                <c:pt idx="670">
                  <c:v>45263</c:v>
                </c:pt>
                <c:pt idx="671">
                  <c:v>45262</c:v>
                </c:pt>
                <c:pt idx="672">
                  <c:v>45261</c:v>
                </c:pt>
                <c:pt idx="673">
                  <c:v>45260</c:v>
                </c:pt>
                <c:pt idx="674">
                  <c:v>45259</c:v>
                </c:pt>
                <c:pt idx="675">
                  <c:v>45258</c:v>
                </c:pt>
                <c:pt idx="676">
                  <c:v>45257</c:v>
                </c:pt>
                <c:pt idx="677">
                  <c:v>45256</c:v>
                </c:pt>
                <c:pt idx="678">
                  <c:v>45255</c:v>
                </c:pt>
                <c:pt idx="679">
                  <c:v>45254</c:v>
                </c:pt>
                <c:pt idx="680">
                  <c:v>45253</c:v>
                </c:pt>
                <c:pt idx="681">
                  <c:v>45252</c:v>
                </c:pt>
                <c:pt idx="682">
                  <c:v>45251</c:v>
                </c:pt>
                <c:pt idx="683">
                  <c:v>45250</c:v>
                </c:pt>
                <c:pt idx="684">
                  <c:v>45249</c:v>
                </c:pt>
                <c:pt idx="685">
                  <c:v>45248</c:v>
                </c:pt>
                <c:pt idx="686">
                  <c:v>45247</c:v>
                </c:pt>
                <c:pt idx="687">
                  <c:v>45246</c:v>
                </c:pt>
                <c:pt idx="688">
                  <c:v>45245</c:v>
                </c:pt>
                <c:pt idx="689">
                  <c:v>45244</c:v>
                </c:pt>
                <c:pt idx="690">
                  <c:v>45243</c:v>
                </c:pt>
                <c:pt idx="691">
                  <c:v>45242</c:v>
                </c:pt>
                <c:pt idx="692">
                  <c:v>45241</c:v>
                </c:pt>
                <c:pt idx="693">
                  <c:v>45240</c:v>
                </c:pt>
                <c:pt idx="694">
                  <c:v>45239</c:v>
                </c:pt>
                <c:pt idx="695">
                  <c:v>45238</c:v>
                </c:pt>
                <c:pt idx="696">
                  <c:v>45237</c:v>
                </c:pt>
                <c:pt idx="697">
                  <c:v>45236</c:v>
                </c:pt>
                <c:pt idx="698">
                  <c:v>45235</c:v>
                </c:pt>
                <c:pt idx="699">
                  <c:v>45234</c:v>
                </c:pt>
                <c:pt idx="700">
                  <c:v>45233</c:v>
                </c:pt>
                <c:pt idx="701">
                  <c:v>45232</c:v>
                </c:pt>
                <c:pt idx="702">
                  <c:v>45231</c:v>
                </c:pt>
                <c:pt idx="703">
                  <c:v>45230</c:v>
                </c:pt>
                <c:pt idx="704">
                  <c:v>45229</c:v>
                </c:pt>
                <c:pt idx="705">
                  <c:v>45228</c:v>
                </c:pt>
                <c:pt idx="706">
                  <c:v>45227</c:v>
                </c:pt>
                <c:pt idx="707">
                  <c:v>45226</c:v>
                </c:pt>
                <c:pt idx="708">
                  <c:v>45225</c:v>
                </c:pt>
                <c:pt idx="709">
                  <c:v>45224</c:v>
                </c:pt>
                <c:pt idx="710">
                  <c:v>45223</c:v>
                </c:pt>
                <c:pt idx="711">
                  <c:v>45222</c:v>
                </c:pt>
                <c:pt idx="712">
                  <c:v>45221</c:v>
                </c:pt>
                <c:pt idx="713">
                  <c:v>45220</c:v>
                </c:pt>
                <c:pt idx="714">
                  <c:v>45219</c:v>
                </c:pt>
                <c:pt idx="715">
                  <c:v>45218</c:v>
                </c:pt>
                <c:pt idx="716">
                  <c:v>45217</c:v>
                </c:pt>
                <c:pt idx="717">
                  <c:v>45216</c:v>
                </c:pt>
                <c:pt idx="718">
                  <c:v>45215</c:v>
                </c:pt>
                <c:pt idx="719">
                  <c:v>45214</c:v>
                </c:pt>
                <c:pt idx="720">
                  <c:v>45213</c:v>
                </c:pt>
                <c:pt idx="721">
                  <c:v>45212</c:v>
                </c:pt>
                <c:pt idx="722">
                  <c:v>45211</c:v>
                </c:pt>
                <c:pt idx="723">
                  <c:v>45210</c:v>
                </c:pt>
                <c:pt idx="724">
                  <c:v>45209</c:v>
                </c:pt>
                <c:pt idx="725">
                  <c:v>45208</c:v>
                </c:pt>
                <c:pt idx="726">
                  <c:v>45207</c:v>
                </c:pt>
                <c:pt idx="727">
                  <c:v>45206</c:v>
                </c:pt>
                <c:pt idx="728">
                  <c:v>45205</c:v>
                </c:pt>
                <c:pt idx="729">
                  <c:v>45204</c:v>
                </c:pt>
                <c:pt idx="730">
                  <c:v>45203</c:v>
                </c:pt>
                <c:pt idx="731">
                  <c:v>45202</c:v>
                </c:pt>
                <c:pt idx="732">
                  <c:v>45201</c:v>
                </c:pt>
                <c:pt idx="733">
                  <c:v>45200</c:v>
                </c:pt>
                <c:pt idx="734">
                  <c:v>45199</c:v>
                </c:pt>
                <c:pt idx="735">
                  <c:v>45198</c:v>
                </c:pt>
                <c:pt idx="736">
                  <c:v>45197</c:v>
                </c:pt>
                <c:pt idx="737">
                  <c:v>45196</c:v>
                </c:pt>
                <c:pt idx="738">
                  <c:v>45195</c:v>
                </c:pt>
                <c:pt idx="739">
                  <c:v>45194</c:v>
                </c:pt>
                <c:pt idx="740">
                  <c:v>45193</c:v>
                </c:pt>
                <c:pt idx="741">
                  <c:v>45192</c:v>
                </c:pt>
                <c:pt idx="742">
                  <c:v>45191</c:v>
                </c:pt>
                <c:pt idx="743">
                  <c:v>45190</c:v>
                </c:pt>
                <c:pt idx="744">
                  <c:v>45189</c:v>
                </c:pt>
                <c:pt idx="745">
                  <c:v>45188</c:v>
                </c:pt>
                <c:pt idx="746">
                  <c:v>45187</c:v>
                </c:pt>
                <c:pt idx="747">
                  <c:v>45186</c:v>
                </c:pt>
                <c:pt idx="748">
                  <c:v>45185</c:v>
                </c:pt>
                <c:pt idx="749">
                  <c:v>45184</c:v>
                </c:pt>
                <c:pt idx="750">
                  <c:v>45183</c:v>
                </c:pt>
                <c:pt idx="751">
                  <c:v>45182</c:v>
                </c:pt>
                <c:pt idx="752">
                  <c:v>45181</c:v>
                </c:pt>
                <c:pt idx="753">
                  <c:v>45180</c:v>
                </c:pt>
                <c:pt idx="754">
                  <c:v>45179</c:v>
                </c:pt>
                <c:pt idx="755">
                  <c:v>45178</c:v>
                </c:pt>
                <c:pt idx="756">
                  <c:v>45177</c:v>
                </c:pt>
                <c:pt idx="757">
                  <c:v>45176</c:v>
                </c:pt>
                <c:pt idx="758">
                  <c:v>45175</c:v>
                </c:pt>
                <c:pt idx="759">
                  <c:v>45174</c:v>
                </c:pt>
                <c:pt idx="760">
                  <c:v>45173</c:v>
                </c:pt>
                <c:pt idx="761">
                  <c:v>45172</c:v>
                </c:pt>
                <c:pt idx="762">
                  <c:v>45171</c:v>
                </c:pt>
                <c:pt idx="763">
                  <c:v>45170</c:v>
                </c:pt>
                <c:pt idx="764">
                  <c:v>45169</c:v>
                </c:pt>
                <c:pt idx="765">
                  <c:v>45168</c:v>
                </c:pt>
                <c:pt idx="766">
                  <c:v>45167</c:v>
                </c:pt>
                <c:pt idx="767">
                  <c:v>45166</c:v>
                </c:pt>
                <c:pt idx="768">
                  <c:v>45165</c:v>
                </c:pt>
                <c:pt idx="769">
                  <c:v>45164</c:v>
                </c:pt>
                <c:pt idx="770">
                  <c:v>45163</c:v>
                </c:pt>
                <c:pt idx="771">
                  <c:v>45162</c:v>
                </c:pt>
                <c:pt idx="772">
                  <c:v>45161</c:v>
                </c:pt>
                <c:pt idx="773">
                  <c:v>45160</c:v>
                </c:pt>
                <c:pt idx="774">
                  <c:v>45159</c:v>
                </c:pt>
                <c:pt idx="775">
                  <c:v>45158</c:v>
                </c:pt>
                <c:pt idx="776">
                  <c:v>45157</c:v>
                </c:pt>
                <c:pt idx="777">
                  <c:v>45156</c:v>
                </c:pt>
                <c:pt idx="778">
                  <c:v>45155</c:v>
                </c:pt>
                <c:pt idx="779">
                  <c:v>45154</c:v>
                </c:pt>
                <c:pt idx="780">
                  <c:v>45153</c:v>
                </c:pt>
                <c:pt idx="781">
                  <c:v>45152</c:v>
                </c:pt>
                <c:pt idx="782">
                  <c:v>45151</c:v>
                </c:pt>
                <c:pt idx="783">
                  <c:v>45150</c:v>
                </c:pt>
                <c:pt idx="784">
                  <c:v>45149</c:v>
                </c:pt>
                <c:pt idx="785">
                  <c:v>45148</c:v>
                </c:pt>
                <c:pt idx="786">
                  <c:v>45147</c:v>
                </c:pt>
                <c:pt idx="787">
                  <c:v>45146</c:v>
                </c:pt>
                <c:pt idx="788">
                  <c:v>45145</c:v>
                </c:pt>
                <c:pt idx="789">
                  <c:v>45144</c:v>
                </c:pt>
                <c:pt idx="790">
                  <c:v>45143</c:v>
                </c:pt>
                <c:pt idx="791">
                  <c:v>45142</c:v>
                </c:pt>
                <c:pt idx="792">
                  <c:v>45141</c:v>
                </c:pt>
                <c:pt idx="793">
                  <c:v>45140</c:v>
                </c:pt>
                <c:pt idx="794">
                  <c:v>45139</c:v>
                </c:pt>
                <c:pt idx="795">
                  <c:v>45138</c:v>
                </c:pt>
                <c:pt idx="796">
                  <c:v>45137</c:v>
                </c:pt>
                <c:pt idx="797">
                  <c:v>45136</c:v>
                </c:pt>
                <c:pt idx="798">
                  <c:v>45135</c:v>
                </c:pt>
                <c:pt idx="799">
                  <c:v>45134</c:v>
                </c:pt>
                <c:pt idx="800">
                  <c:v>45133</c:v>
                </c:pt>
                <c:pt idx="801">
                  <c:v>45132</c:v>
                </c:pt>
                <c:pt idx="802">
                  <c:v>45131</c:v>
                </c:pt>
                <c:pt idx="803">
                  <c:v>45130</c:v>
                </c:pt>
                <c:pt idx="804">
                  <c:v>45129</c:v>
                </c:pt>
                <c:pt idx="805">
                  <c:v>45128</c:v>
                </c:pt>
                <c:pt idx="806">
                  <c:v>45127</c:v>
                </c:pt>
                <c:pt idx="807">
                  <c:v>45126</c:v>
                </c:pt>
                <c:pt idx="808">
                  <c:v>45125</c:v>
                </c:pt>
                <c:pt idx="809">
                  <c:v>45124</c:v>
                </c:pt>
                <c:pt idx="810">
                  <c:v>45123</c:v>
                </c:pt>
                <c:pt idx="811">
                  <c:v>45122</c:v>
                </c:pt>
                <c:pt idx="812">
                  <c:v>45121</c:v>
                </c:pt>
                <c:pt idx="813">
                  <c:v>45120</c:v>
                </c:pt>
                <c:pt idx="814">
                  <c:v>45119</c:v>
                </c:pt>
                <c:pt idx="815">
                  <c:v>45118</c:v>
                </c:pt>
                <c:pt idx="816">
                  <c:v>45117</c:v>
                </c:pt>
                <c:pt idx="817">
                  <c:v>45116</c:v>
                </c:pt>
                <c:pt idx="818">
                  <c:v>45115</c:v>
                </c:pt>
                <c:pt idx="819">
                  <c:v>45114</c:v>
                </c:pt>
                <c:pt idx="820">
                  <c:v>45113</c:v>
                </c:pt>
                <c:pt idx="821">
                  <c:v>45112</c:v>
                </c:pt>
                <c:pt idx="822">
                  <c:v>45111</c:v>
                </c:pt>
                <c:pt idx="823">
                  <c:v>45110</c:v>
                </c:pt>
                <c:pt idx="824">
                  <c:v>45109</c:v>
                </c:pt>
                <c:pt idx="825">
                  <c:v>45108</c:v>
                </c:pt>
                <c:pt idx="826">
                  <c:v>45107</c:v>
                </c:pt>
                <c:pt idx="827">
                  <c:v>45106</c:v>
                </c:pt>
                <c:pt idx="828">
                  <c:v>45105</c:v>
                </c:pt>
                <c:pt idx="829">
                  <c:v>45104</c:v>
                </c:pt>
                <c:pt idx="830">
                  <c:v>45103</c:v>
                </c:pt>
                <c:pt idx="831">
                  <c:v>45102</c:v>
                </c:pt>
                <c:pt idx="832">
                  <c:v>45101</c:v>
                </c:pt>
                <c:pt idx="833">
                  <c:v>45100</c:v>
                </c:pt>
                <c:pt idx="834">
                  <c:v>45099</c:v>
                </c:pt>
                <c:pt idx="835">
                  <c:v>45098</c:v>
                </c:pt>
                <c:pt idx="836">
                  <c:v>45097</c:v>
                </c:pt>
                <c:pt idx="837">
                  <c:v>45096</c:v>
                </c:pt>
                <c:pt idx="838">
                  <c:v>45095</c:v>
                </c:pt>
                <c:pt idx="839">
                  <c:v>45094</c:v>
                </c:pt>
                <c:pt idx="840">
                  <c:v>45093</c:v>
                </c:pt>
                <c:pt idx="841">
                  <c:v>45092</c:v>
                </c:pt>
                <c:pt idx="842">
                  <c:v>45091</c:v>
                </c:pt>
                <c:pt idx="843">
                  <c:v>45090</c:v>
                </c:pt>
                <c:pt idx="844">
                  <c:v>45089</c:v>
                </c:pt>
                <c:pt idx="845">
                  <c:v>45088</c:v>
                </c:pt>
                <c:pt idx="846">
                  <c:v>45087</c:v>
                </c:pt>
                <c:pt idx="847">
                  <c:v>45086</c:v>
                </c:pt>
                <c:pt idx="848">
                  <c:v>45085</c:v>
                </c:pt>
                <c:pt idx="849">
                  <c:v>45084</c:v>
                </c:pt>
                <c:pt idx="850">
                  <c:v>45083</c:v>
                </c:pt>
                <c:pt idx="851">
                  <c:v>45082</c:v>
                </c:pt>
                <c:pt idx="852">
                  <c:v>45081</c:v>
                </c:pt>
                <c:pt idx="853">
                  <c:v>45080</c:v>
                </c:pt>
                <c:pt idx="854">
                  <c:v>45079</c:v>
                </c:pt>
                <c:pt idx="855">
                  <c:v>45078</c:v>
                </c:pt>
                <c:pt idx="856">
                  <c:v>45077</c:v>
                </c:pt>
                <c:pt idx="857">
                  <c:v>45076</c:v>
                </c:pt>
                <c:pt idx="858">
                  <c:v>45075</c:v>
                </c:pt>
                <c:pt idx="859">
                  <c:v>45074</c:v>
                </c:pt>
                <c:pt idx="860">
                  <c:v>45073</c:v>
                </c:pt>
                <c:pt idx="861">
                  <c:v>45072</c:v>
                </c:pt>
                <c:pt idx="862">
                  <c:v>45071</c:v>
                </c:pt>
                <c:pt idx="863">
                  <c:v>45070</c:v>
                </c:pt>
                <c:pt idx="864">
                  <c:v>45069</c:v>
                </c:pt>
                <c:pt idx="865">
                  <c:v>45068</c:v>
                </c:pt>
                <c:pt idx="866">
                  <c:v>45067</c:v>
                </c:pt>
                <c:pt idx="867">
                  <c:v>45066</c:v>
                </c:pt>
                <c:pt idx="868">
                  <c:v>45065</c:v>
                </c:pt>
                <c:pt idx="869">
                  <c:v>45064</c:v>
                </c:pt>
                <c:pt idx="870">
                  <c:v>45063</c:v>
                </c:pt>
                <c:pt idx="871">
                  <c:v>45062</c:v>
                </c:pt>
                <c:pt idx="872">
                  <c:v>45061</c:v>
                </c:pt>
                <c:pt idx="873">
                  <c:v>45060</c:v>
                </c:pt>
                <c:pt idx="874">
                  <c:v>45059</c:v>
                </c:pt>
                <c:pt idx="875">
                  <c:v>45058</c:v>
                </c:pt>
                <c:pt idx="876">
                  <c:v>45057</c:v>
                </c:pt>
                <c:pt idx="877">
                  <c:v>45056</c:v>
                </c:pt>
                <c:pt idx="878">
                  <c:v>45055</c:v>
                </c:pt>
                <c:pt idx="879">
                  <c:v>45054</c:v>
                </c:pt>
                <c:pt idx="880">
                  <c:v>45053</c:v>
                </c:pt>
                <c:pt idx="881">
                  <c:v>45052</c:v>
                </c:pt>
                <c:pt idx="882">
                  <c:v>45051</c:v>
                </c:pt>
                <c:pt idx="883">
                  <c:v>45050</c:v>
                </c:pt>
                <c:pt idx="884">
                  <c:v>45049</c:v>
                </c:pt>
                <c:pt idx="885">
                  <c:v>45048</c:v>
                </c:pt>
                <c:pt idx="886">
                  <c:v>45047</c:v>
                </c:pt>
                <c:pt idx="887">
                  <c:v>45046</c:v>
                </c:pt>
                <c:pt idx="888">
                  <c:v>45045</c:v>
                </c:pt>
                <c:pt idx="889">
                  <c:v>45044</c:v>
                </c:pt>
                <c:pt idx="890">
                  <c:v>45043</c:v>
                </c:pt>
                <c:pt idx="891">
                  <c:v>45042</c:v>
                </c:pt>
                <c:pt idx="892">
                  <c:v>45041</c:v>
                </c:pt>
                <c:pt idx="893">
                  <c:v>45040</c:v>
                </c:pt>
                <c:pt idx="894">
                  <c:v>45039</c:v>
                </c:pt>
                <c:pt idx="895">
                  <c:v>45038</c:v>
                </c:pt>
                <c:pt idx="896">
                  <c:v>45037</c:v>
                </c:pt>
                <c:pt idx="897">
                  <c:v>45036</c:v>
                </c:pt>
                <c:pt idx="898">
                  <c:v>45035</c:v>
                </c:pt>
                <c:pt idx="899">
                  <c:v>45034</c:v>
                </c:pt>
                <c:pt idx="900">
                  <c:v>45033</c:v>
                </c:pt>
                <c:pt idx="901">
                  <c:v>45032</c:v>
                </c:pt>
                <c:pt idx="902">
                  <c:v>45031</c:v>
                </c:pt>
                <c:pt idx="903">
                  <c:v>45030</c:v>
                </c:pt>
                <c:pt idx="904">
                  <c:v>45029</c:v>
                </c:pt>
                <c:pt idx="905">
                  <c:v>45028</c:v>
                </c:pt>
                <c:pt idx="906">
                  <c:v>45027</c:v>
                </c:pt>
                <c:pt idx="907">
                  <c:v>45026</c:v>
                </c:pt>
                <c:pt idx="908">
                  <c:v>45025</c:v>
                </c:pt>
                <c:pt idx="909">
                  <c:v>45024</c:v>
                </c:pt>
                <c:pt idx="910">
                  <c:v>45023</c:v>
                </c:pt>
                <c:pt idx="911">
                  <c:v>45022</c:v>
                </c:pt>
                <c:pt idx="912">
                  <c:v>45021</c:v>
                </c:pt>
                <c:pt idx="913">
                  <c:v>45020</c:v>
                </c:pt>
                <c:pt idx="914">
                  <c:v>45019</c:v>
                </c:pt>
                <c:pt idx="915">
                  <c:v>45018</c:v>
                </c:pt>
                <c:pt idx="916">
                  <c:v>45017</c:v>
                </c:pt>
                <c:pt idx="917">
                  <c:v>45016</c:v>
                </c:pt>
                <c:pt idx="918">
                  <c:v>45015</c:v>
                </c:pt>
                <c:pt idx="919">
                  <c:v>45014</c:v>
                </c:pt>
                <c:pt idx="920">
                  <c:v>45013</c:v>
                </c:pt>
                <c:pt idx="921">
                  <c:v>45012</c:v>
                </c:pt>
                <c:pt idx="922">
                  <c:v>45011</c:v>
                </c:pt>
                <c:pt idx="923">
                  <c:v>45010</c:v>
                </c:pt>
                <c:pt idx="924">
                  <c:v>45009</c:v>
                </c:pt>
                <c:pt idx="925">
                  <c:v>45008</c:v>
                </c:pt>
                <c:pt idx="926">
                  <c:v>45007</c:v>
                </c:pt>
                <c:pt idx="927">
                  <c:v>45006</c:v>
                </c:pt>
                <c:pt idx="928">
                  <c:v>45005</c:v>
                </c:pt>
                <c:pt idx="929">
                  <c:v>45004</c:v>
                </c:pt>
                <c:pt idx="930">
                  <c:v>45003</c:v>
                </c:pt>
                <c:pt idx="931">
                  <c:v>45002</c:v>
                </c:pt>
                <c:pt idx="932">
                  <c:v>45001</c:v>
                </c:pt>
                <c:pt idx="933">
                  <c:v>45000</c:v>
                </c:pt>
                <c:pt idx="934">
                  <c:v>44999</c:v>
                </c:pt>
                <c:pt idx="935">
                  <c:v>44998</c:v>
                </c:pt>
                <c:pt idx="936">
                  <c:v>44997</c:v>
                </c:pt>
                <c:pt idx="937">
                  <c:v>44996</c:v>
                </c:pt>
                <c:pt idx="938">
                  <c:v>44995</c:v>
                </c:pt>
                <c:pt idx="939">
                  <c:v>44994</c:v>
                </c:pt>
                <c:pt idx="940">
                  <c:v>44993</c:v>
                </c:pt>
                <c:pt idx="941">
                  <c:v>44992</c:v>
                </c:pt>
                <c:pt idx="942">
                  <c:v>44991</c:v>
                </c:pt>
                <c:pt idx="943">
                  <c:v>44990</c:v>
                </c:pt>
                <c:pt idx="944">
                  <c:v>44989</c:v>
                </c:pt>
                <c:pt idx="945">
                  <c:v>44988</c:v>
                </c:pt>
                <c:pt idx="946">
                  <c:v>44987</c:v>
                </c:pt>
                <c:pt idx="947">
                  <c:v>44986</c:v>
                </c:pt>
                <c:pt idx="948">
                  <c:v>44985</c:v>
                </c:pt>
                <c:pt idx="949">
                  <c:v>44984</c:v>
                </c:pt>
                <c:pt idx="950">
                  <c:v>44983</c:v>
                </c:pt>
                <c:pt idx="951">
                  <c:v>44982</c:v>
                </c:pt>
                <c:pt idx="952">
                  <c:v>44981</c:v>
                </c:pt>
                <c:pt idx="953">
                  <c:v>44980</c:v>
                </c:pt>
                <c:pt idx="954">
                  <c:v>44979</c:v>
                </c:pt>
                <c:pt idx="955">
                  <c:v>44978</c:v>
                </c:pt>
                <c:pt idx="956">
                  <c:v>44977</c:v>
                </c:pt>
                <c:pt idx="957">
                  <c:v>44976</c:v>
                </c:pt>
                <c:pt idx="958">
                  <c:v>44975</c:v>
                </c:pt>
                <c:pt idx="959">
                  <c:v>44974</c:v>
                </c:pt>
                <c:pt idx="960">
                  <c:v>44973</c:v>
                </c:pt>
                <c:pt idx="961">
                  <c:v>44972</c:v>
                </c:pt>
                <c:pt idx="962">
                  <c:v>44971</c:v>
                </c:pt>
                <c:pt idx="963">
                  <c:v>44970</c:v>
                </c:pt>
                <c:pt idx="964">
                  <c:v>44969</c:v>
                </c:pt>
                <c:pt idx="965">
                  <c:v>44968</c:v>
                </c:pt>
                <c:pt idx="966">
                  <c:v>44967</c:v>
                </c:pt>
                <c:pt idx="967">
                  <c:v>44966</c:v>
                </c:pt>
                <c:pt idx="968">
                  <c:v>44965</c:v>
                </c:pt>
                <c:pt idx="969">
                  <c:v>44964</c:v>
                </c:pt>
                <c:pt idx="970">
                  <c:v>44963</c:v>
                </c:pt>
                <c:pt idx="971">
                  <c:v>44962</c:v>
                </c:pt>
                <c:pt idx="972">
                  <c:v>44961</c:v>
                </c:pt>
                <c:pt idx="973">
                  <c:v>44960</c:v>
                </c:pt>
                <c:pt idx="974">
                  <c:v>44959</c:v>
                </c:pt>
                <c:pt idx="975">
                  <c:v>44958</c:v>
                </c:pt>
                <c:pt idx="976">
                  <c:v>44957</c:v>
                </c:pt>
                <c:pt idx="977">
                  <c:v>44956</c:v>
                </c:pt>
                <c:pt idx="978">
                  <c:v>44955</c:v>
                </c:pt>
                <c:pt idx="979">
                  <c:v>44954</c:v>
                </c:pt>
                <c:pt idx="980">
                  <c:v>44953</c:v>
                </c:pt>
                <c:pt idx="981">
                  <c:v>44952</c:v>
                </c:pt>
                <c:pt idx="982">
                  <c:v>44951</c:v>
                </c:pt>
                <c:pt idx="983">
                  <c:v>44950</c:v>
                </c:pt>
                <c:pt idx="984">
                  <c:v>44949</c:v>
                </c:pt>
                <c:pt idx="985">
                  <c:v>44948</c:v>
                </c:pt>
                <c:pt idx="986">
                  <c:v>44947</c:v>
                </c:pt>
                <c:pt idx="987">
                  <c:v>44946</c:v>
                </c:pt>
                <c:pt idx="988">
                  <c:v>44945</c:v>
                </c:pt>
                <c:pt idx="989">
                  <c:v>44944</c:v>
                </c:pt>
                <c:pt idx="990">
                  <c:v>44943</c:v>
                </c:pt>
                <c:pt idx="991">
                  <c:v>44942</c:v>
                </c:pt>
                <c:pt idx="992">
                  <c:v>44941</c:v>
                </c:pt>
                <c:pt idx="993">
                  <c:v>44940</c:v>
                </c:pt>
                <c:pt idx="994">
                  <c:v>44939</c:v>
                </c:pt>
                <c:pt idx="995">
                  <c:v>44938</c:v>
                </c:pt>
                <c:pt idx="996">
                  <c:v>44937</c:v>
                </c:pt>
                <c:pt idx="997">
                  <c:v>44936</c:v>
                </c:pt>
                <c:pt idx="998">
                  <c:v>44935</c:v>
                </c:pt>
                <c:pt idx="999">
                  <c:v>44934</c:v>
                </c:pt>
                <c:pt idx="1000">
                  <c:v>44933</c:v>
                </c:pt>
                <c:pt idx="1001">
                  <c:v>44932</c:v>
                </c:pt>
                <c:pt idx="1002">
                  <c:v>44931</c:v>
                </c:pt>
                <c:pt idx="1003">
                  <c:v>44930</c:v>
                </c:pt>
                <c:pt idx="1004">
                  <c:v>44929</c:v>
                </c:pt>
                <c:pt idx="1005">
                  <c:v>44928</c:v>
                </c:pt>
                <c:pt idx="1006">
                  <c:v>44927</c:v>
                </c:pt>
                <c:pt idx="1007">
                  <c:v>44926</c:v>
                </c:pt>
                <c:pt idx="1008">
                  <c:v>44925</c:v>
                </c:pt>
                <c:pt idx="1009">
                  <c:v>44924</c:v>
                </c:pt>
                <c:pt idx="1010">
                  <c:v>44923</c:v>
                </c:pt>
                <c:pt idx="1011">
                  <c:v>44922</c:v>
                </c:pt>
                <c:pt idx="1012">
                  <c:v>44921</c:v>
                </c:pt>
                <c:pt idx="1013">
                  <c:v>44920</c:v>
                </c:pt>
                <c:pt idx="1014">
                  <c:v>44919</c:v>
                </c:pt>
                <c:pt idx="1015">
                  <c:v>44918</c:v>
                </c:pt>
                <c:pt idx="1016">
                  <c:v>44917</c:v>
                </c:pt>
                <c:pt idx="1017">
                  <c:v>44916</c:v>
                </c:pt>
                <c:pt idx="1018">
                  <c:v>44915</c:v>
                </c:pt>
                <c:pt idx="1019">
                  <c:v>44914</c:v>
                </c:pt>
                <c:pt idx="1020">
                  <c:v>44913</c:v>
                </c:pt>
                <c:pt idx="1021">
                  <c:v>44912</c:v>
                </c:pt>
                <c:pt idx="1022">
                  <c:v>44911</c:v>
                </c:pt>
                <c:pt idx="1023">
                  <c:v>44910</c:v>
                </c:pt>
                <c:pt idx="1024">
                  <c:v>44909</c:v>
                </c:pt>
                <c:pt idx="1025">
                  <c:v>44908</c:v>
                </c:pt>
                <c:pt idx="1026">
                  <c:v>44907</c:v>
                </c:pt>
                <c:pt idx="1027">
                  <c:v>44906</c:v>
                </c:pt>
                <c:pt idx="1028">
                  <c:v>44905</c:v>
                </c:pt>
                <c:pt idx="1029">
                  <c:v>44904</c:v>
                </c:pt>
                <c:pt idx="1030">
                  <c:v>44903</c:v>
                </c:pt>
                <c:pt idx="1031">
                  <c:v>44902</c:v>
                </c:pt>
                <c:pt idx="1032">
                  <c:v>44901</c:v>
                </c:pt>
                <c:pt idx="1033">
                  <c:v>44900</c:v>
                </c:pt>
                <c:pt idx="1034">
                  <c:v>44899</c:v>
                </c:pt>
                <c:pt idx="1035">
                  <c:v>44898</c:v>
                </c:pt>
                <c:pt idx="1036">
                  <c:v>44897</c:v>
                </c:pt>
                <c:pt idx="1037">
                  <c:v>44896</c:v>
                </c:pt>
                <c:pt idx="1038">
                  <c:v>44895</c:v>
                </c:pt>
                <c:pt idx="1039">
                  <c:v>44894</c:v>
                </c:pt>
                <c:pt idx="1040">
                  <c:v>44893</c:v>
                </c:pt>
                <c:pt idx="1041">
                  <c:v>44892</c:v>
                </c:pt>
                <c:pt idx="1042">
                  <c:v>44891</c:v>
                </c:pt>
                <c:pt idx="1043">
                  <c:v>44890</c:v>
                </c:pt>
                <c:pt idx="1044">
                  <c:v>44889</c:v>
                </c:pt>
              </c:numCache>
            </c:numRef>
          </c:cat>
          <c:val>
            <c:numRef>
              <c:f>'Stock Data'!$AO$4:$AO$1048</c:f>
              <c:numCache>
                <c:formatCode>#,##0.00_);\(#,##0.00\)</c:formatCode>
                <c:ptCount val="1045"/>
                <c:pt idx="0">
                  <c:v>421400</c:v>
                </c:pt>
                <c:pt idx="1">
                  <c:v>421400</c:v>
                </c:pt>
                <c:pt idx="2">
                  <c:v>221800</c:v>
                </c:pt>
                <c:pt idx="3">
                  <c:v>221800</c:v>
                </c:pt>
                <c:pt idx="4">
                  <c:v>221800</c:v>
                </c:pt>
                <c:pt idx="5">
                  <c:v>214500</c:v>
                </c:pt>
                <c:pt idx="6">
                  <c:v>133600</c:v>
                </c:pt>
                <c:pt idx="7">
                  <c:v>257100</c:v>
                </c:pt>
                <c:pt idx="8">
                  <c:v>452600</c:v>
                </c:pt>
                <c:pt idx="9">
                  <c:v>423300</c:v>
                </c:pt>
                <c:pt idx="10">
                  <c:v>423300</c:v>
                </c:pt>
                <c:pt idx="11">
                  <c:v>423300</c:v>
                </c:pt>
                <c:pt idx="12">
                  <c:v>412300</c:v>
                </c:pt>
                <c:pt idx="13">
                  <c:v>797200</c:v>
                </c:pt>
                <c:pt idx="14">
                  <c:v>249600</c:v>
                </c:pt>
                <c:pt idx="15">
                  <c:v>199800</c:v>
                </c:pt>
                <c:pt idx="16">
                  <c:v>1126100</c:v>
                </c:pt>
                <c:pt idx="17">
                  <c:v>1126100</c:v>
                </c:pt>
                <c:pt idx="18">
                  <c:v>1126100</c:v>
                </c:pt>
                <c:pt idx="19">
                  <c:v>234200</c:v>
                </c:pt>
                <c:pt idx="20">
                  <c:v>353700</c:v>
                </c:pt>
                <c:pt idx="21">
                  <c:v>428000</c:v>
                </c:pt>
                <c:pt idx="22">
                  <c:v>403100</c:v>
                </c:pt>
                <c:pt idx="23">
                  <c:v>87800</c:v>
                </c:pt>
                <c:pt idx="24">
                  <c:v>87800</c:v>
                </c:pt>
                <c:pt idx="25">
                  <c:v>87800</c:v>
                </c:pt>
                <c:pt idx="26">
                  <c:v>169100</c:v>
                </c:pt>
                <c:pt idx="27">
                  <c:v>100300</c:v>
                </c:pt>
                <c:pt idx="28">
                  <c:v>458600</c:v>
                </c:pt>
                <c:pt idx="29">
                  <c:v>271700</c:v>
                </c:pt>
                <c:pt idx="30">
                  <c:v>256600</c:v>
                </c:pt>
                <c:pt idx="31">
                  <c:v>256600</c:v>
                </c:pt>
                <c:pt idx="32">
                  <c:v>256600</c:v>
                </c:pt>
                <c:pt idx="33">
                  <c:v>417800</c:v>
                </c:pt>
                <c:pt idx="34">
                  <c:v>198900</c:v>
                </c:pt>
                <c:pt idx="35">
                  <c:v>76900</c:v>
                </c:pt>
                <c:pt idx="36">
                  <c:v>417400</c:v>
                </c:pt>
                <c:pt idx="37">
                  <c:v>450600</c:v>
                </c:pt>
                <c:pt idx="38">
                  <c:v>450600</c:v>
                </c:pt>
                <c:pt idx="39">
                  <c:v>450600</c:v>
                </c:pt>
                <c:pt idx="40">
                  <c:v>433200</c:v>
                </c:pt>
                <c:pt idx="41">
                  <c:v>76900</c:v>
                </c:pt>
                <c:pt idx="42">
                  <c:v>381600</c:v>
                </c:pt>
                <c:pt idx="43">
                  <c:v>642700</c:v>
                </c:pt>
                <c:pt idx="44">
                  <c:v>511900</c:v>
                </c:pt>
                <c:pt idx="45">
                  <c:v>511900</c:v>
                </c:pt>
                <c:pt idx="46">
                  <c:v>511900</c:v>
                </c:pt>
                <c:pt idx="47">
                  <c:v>121000</c:v>
                </c:pt>
                <c:pt idx="48">
                  <c:v>344600</c:v>
                </c:pt>
                <c:pt idx="49">
                  <c:v>269600</c:v>
                </c:pt>
                <c:pt idx="50">
                  <c:v>723400</c:v>
                </c:pt>
                <c:pt idx="51">
                  <c:v>211800</c:v>
                </c:pt>
                <c:pt idx="52">
                  <c:v>211800</c:v>
                </c:pt>
                <c:pt idx="53">
                  <c:v>211800</c:v>
                </c:pt>
                <c:pt idx="54">
                  <c:v>135200</c:v>
                </c:pt>
                <c:pt idx="55">
                  <c:v>187500</c:v>
                </c:pt>
                <c:pt idx="56">
                  <c:v>121700</c:v>
                </c:pt>
                <c:pt idx="57">
                  <c:v>291500</c:v>
                </c:pt>
                <c:pt idx="58">
                  <c:v>511500</c:v>
                </c:pt>
                <c:pt idx="59">
                  <c:v>511500</c:v>
                </c:pt>
                <c:pt idx="60">
                  <c:v>511500</c:v>
                </c:pt>
                <c:pt idx="61">
                  <c:v>503200</c:v>
                </c:pt>
                <c:pt idx="62">
                  <c:v>232400</c:v>
                </c:pt>
                <c:pt idx="63">
                  <c:v>1470900</c:v>
                </c:pt>
                <c:pt idx="64">
                  <c:v>334300</c:v>
                </c:pt>
                <c:pt idx="65">
                  <c:v>128200</c:v>
                </c:pt>
                <c:pt idx="66">
                  <c:v>128200</c:v>
                </c:pt>
                <c:pt idx="67">
                  <c:v>128200</c:v>
                </c:pt>
                <c:pt idx="68">
                  <c:v>272200</c:v>
                </c:pt>
                <c:pt idx="69">
                  <c:v>601900</c:v>
                </c:pt>
                <c:pt idx="70">
                  <c:v>156800</c:v>
                </c:pt>
                <c:pt idx="71">
                  <c:v>308600</c:v>
                </c:pt>
                <c:pt idx="72">
                  <c:v>96600</c:v>
                </c:pt>
                <c:pt idx="73">
                  <c:v>96600</c:v>
                </c:pt>
                <c:pt idx="74">
                  <c:v>96600</c:v>
                </c:pt>
                <c:pt idx="75">
                  <c:v>240900</c:v>
                </c:pt>
                <c:pt idx="76">
                  <c:v>239800</c:v>
                </c:pt>
                <c:pt idx="77">
                  <c:v>409800</c:v>
                </c:pt>
                <c:pt idx="78">
                  <c:v>510600</c:v>
                </c:pt>
                <c:pt idx="79">
                  <c:v>335900</c:v>
                </c:pt>
                <c:pt idx="80">
                  <c:v>335900</c:v>
                </c:pt>
                <c:pt idx="81">
                  <c:v>335900</c:v>
                </c:pt>
                <c:pt idx="82">
                  <c:v>401300</c:v>
                </c:pt>
                <c:pt idx="83">
                  <c:v>401300</c:v>
                </c:pt>
                <c:pt idx="84">
                  <c:v>593900</c:v>
                </c:pt>
                <c:pt idx="85">
                  <c:v>645900</c:v>
                </c:pt>
                <c:pt idx="86">
                  <c:v>606100</c:v>
                </c:pt>
                <c:pt idx="87">
                  <c:v>606100</c:v>
                </c:pt>
                <c:pt idx="88">
                  <c:v>606100</c:v>
                </c:pt>
                <c:pt idx="89">
                  <c:v>320800</c:v>
                </c:pt>
                <c:pt idx="90">
                  <c:v>363400</c:v>
                </c:pt>
                <c:pt idx="91">
                  <c:v>371200</c:v>
                </c:pt>
                <c:pt idx="92">
                  <c:v>455900</c:v>
                </c:pt>
                <c:pt idx="93">
                  <c:v>275100</c:v>
                </c:pt>
                <c:pt idx="94">
                  <c:v>275100</c:v>
                </c:pt>
                <c:pt idx="95">
                  <c:v>275100</c:v>
                </c:pt>
                <c:pt idx="96">
                  <c:v>290100</c:v>
                </c:pt>
                <c:pt idx="97">
                  <c:v>417400</c:v>
                </c:pt>
                <c:pt idx="98">
                  <c:v>254600</c:v>
                </c:pt>
                <c:pt idx="99">
                  <c:v>150900</c:v>
                </c:pt>
                <c:pt idx="100">
                  <c:v>189500</c:v>
                </c:pt>
                <c:pt idx="101">
                  <c:v>189500</c:v>
                </c:pt>
                <c:pt idx="102">
                  <c:v>189500</c:v>
                </c:pt>
                <c:pt idx="103">
                  <c:v>224300</c:v>
                </c:pt>
                <c:pt idx="104">
                  <c:v>69000</c:v>
                </c:pt>
                <c:pt idx="105">
                  <c:v>394000</c:v>
                </c:pt>
                <c:pt idx="106">
                  <c:v>321800</c:v>
                </c:pt>
                <c:pt idx="107">
                  <c:v>582100</c:v>
                </c:pt>
                <c:pt idx="108">
                  <c:v>582100</c:v>
                </c:pt>
                <c:pt idx="109">
                  <c:v>582100</c:v>
                </c:pt>
                <c:pt idx="110">
                  <c:v>263000</c:v>
                </c:pt>
                <c:pt idx="111">
                  <c:v>263000</c:v>
                </c:pt>
                <c:pt idx="112">
                  <c:v>518700</c:v>
                </c:pt>
                <c:pt idx="113">
                  <c:v>138600</c:v>
                </c:pt>
                <c:pt idx="114">
                  <c:v>373300</c:v>
                </c:pt>
                <c:pt idx="115">
                  <c:v>373300</c:v>
                </c:pt>
                <c:pt idx="116">
                  <c:v>373300</c:v>
                </c:pt>
                <c:pt idx="117">
                  <c:v>370500</c:v>
                </c:pt>
                <c:pt idx="118">
                  <c:v>437800</c:v>
                </c:pt>
                <c:pt idx="119">
                  <c:v>455400</c:v>
                </c:pt>
                <c:pt idx="120">
                  <c:v>163500</c:v>
                </c:pt>
                <c:pt idx="121">
                  <c:v>900300</c:v>
                </c:pt>
                <c:pt idx="122">
                  <c:v>900300</c:v>
                </c:pt>
                <c:pt idx="123">
                  <c:v>900300</c:v>
                </c:pt>
                <c:pt idx="124">
                  <c:v>344200</c:v>
                </c:pt>
                <c:pt idx="125">
                  <c:v>174200</c:v>
                </c:pt>
                <c:pt idx="126">
                  <c:v>143900</c:v>
                </c:pt>
                <c:pt idx="127">
                  <c:v>84700</c:v>
                </c:pt>
                <c:pt idx="128">
                  <c:v>277200</c:v>
                </c:pt>
                <c:pt idx="129">
                  <c:v>277200</c:v>
                </c:pt>
                <c:pt idx="130">
                  <c:v>277200</c:v>
                </c:pt>
                <c:pt idx="131">
                  <c:v>186200</c:v>
                </c:pt>
                <c:pt idx="132">
                  <c:v>186200</c:v>
                </c:pt>
                <c:pt idx="133">
                  <c:v>177000</c:v>
                </c:pt>
                <c:pt idx="134">
                  <c:v>172500</c:v>
                </c:pt>
                <c:pt idx="135">
                  <c:v>176100</c:v>
                </c:pt>
                <c:pt idx="136">
                  <c:v>176100</c:v>
                </c:pt>
                <c:pt idx="137">
                  <c:v>176100</c:v>
                </c:pt>
                <c:pt idx="138">
                  <c:v>570700</c:v>
                </c:pt>
                <c:pt idx="139">
                  <c:v>313300</c:v>
                </c:pt>
                <c:pt idx="140">
                  <c:v>169200</c:v>
                </c:pt>
                <c:pt idx="141">
                  <c:v>182200</c:v>
                </c:pt>
                <c:pt idx="142">
                  <c:v>182200</c:v>
                </c:pt>
                <c:pt idx="143">
                  <c:v>182200</c:v>
                </c:pt>
                <c:pt idx="144">
                  <c:v>182200</c:v>
                </c:pt>
                <c:pt idx="145">
                  <c:v>182200</c:v>
                </c:pt>
                <c:pt idx="146">
                  <c:v>309800</c:v>
                </c:pt>
                <c:pt idx="147">
                  <c:v>318500</c:v>
                </c:pt>
                <c:pt idx="148">
                  <c:v>226700</c:v>
                </c:pt>
                <c:pt idx="149">
                  <c:v>512200</c:v>
                </c:pt>
                <c:pt idx="150">
                  <c:v>512200</c:v>
                </c:pt>
                <c:pt idx="151">
                  <c:v>512200</c:v>
                </c:pt>
                <c:pt idx="152">
                  <c:v>511300</c:v>
                </c:pt>
                <c:pt idx="153">
                  <c:v>753800</c:v>
                </c:pt>
                <c:pt idx="154">
                  <c:v>1037900</c:v>
                </c:pt>
                <c:pt idx="155">
                  <c:v>481100</c:v>
                </c:pt>
                <c:pt idx="156">
                  <c:v>372400</c:v>
                </c:pt>
                <c:pt idx="157">
                  <c:v>372400</c:v>
                </c:pt>
                <c:pt idx="158">
                  <c:v>372400</c:v>
                </c:pt>
                <c:pt idx="159">
                  <c:v>385600</c:v>
                </c:pt>
                <c:pt idx="160">
                  <c:v>211100</c:v>
                </c:pt>
                <c:pt idx="161">
                  <c:v>134900</c:v>
                </c:pt>
                <c:pt idx="162">
                  <c:v>195100</c:v>
                </c:pt>
                <c:pt idx="163">
                  <c:v>340600</c:v>
                </c:pt>
                <c:pt idx="164">
                  <c:v>340600</c:v>
                </c:pt>
                <c:pt idx="165">
                  <c:v>340600</c:v>
                </c:pt>
                <c:pt idx="166">
                  <c:v>569400</c:v>
                </c:pt>
                <c:pt idx="167">
                  <c:v>148100</c:v>
                </c:pt>
                <c:pt idx="168">
                  <c:v>218700</c:v>
                </c:pt>
                <c:pt idx="169">
                  <c:v>115700</c:v>
                </c:pt>
                <c:pt idx="170">
                  <c:v>376000</c:v>
                </c:pt>
                <c:pt idx="171">
                  <c:v>376000</c:v>
                </c:pt>
                <c:pt idx="172">
                  <c:v>376000</c:v>
                </c:pt>
                <c:pt idx="173">
                  <c:v>207200</c:v>
                </c:pt>
                <c:pt idx="174">
                  <c:v>147600</c:v>
                </c:pt>
                <c:pt idx="175">
                  <c:v>348700</c:v>
                </c:pt>
                <c:pt idx="176">
                  <c:v>1000500</c:v>
                </c:pt>
                <c:pt idx="177">
                  <c:v>542900</c:v>
                </c:pt>
                <c:pt idx="178">
                  <c:v>542900</c:v>
                </c:pt>
                <c:pt idx="179">
                  <c:v>542900</c:v>
                </c:pt>
                <c:pt idx="180">
                  <c:v>357100</c:v>
                </c:pt>
                <c:pt idx="181">
                  <c:v>529000</c:v>
                </c:pt>
                <c:pt idx="182">
                  <c:v>469700</c:v>
                </c:pt>
                <c:pt idx="183">
                  <c:v>207300</c:v>
                </c:pt>
                <c:pt idx="184">
                  <c:v>312900</c:v>
                </c:pt>
                <c:pt idx="185">
                  <c:v>312900</c:v>
                </c:pt>
                <c:pt idx="186">
                  <c:v>312900</c:v>
                </c:pt>
                <c:pt idx="187">
                  <c:v>673600</c:v>
                </c:pt>
                <c:pt idx="188">
                  <c:v>287700</c:v>
                </c:pt>
                <c:pt idx="189">
                  <c:v>617600</c:v>
                </c:pt>
                <c:pt idx="190">
                  <c:v>617600</c:v>
                </c:pt>
                <c:pt idx="191">
                  <c:v>617600</c:v>
                </c:pt>
                <c:pt idx="192">
                  <c:v>617600</c:v>
                </c:pt>
                <c:pt idx="193">
                  <c:v>617600</c:v>
                </c:pt>
                <c:pt idx="194">
                  <c:v>346200</c:v>
                </c:pt>
                <c:pt idx="195">
                  <c:v>229800</c:v>
                </c:pt>
                <c:pt idx="196">
                  <c:v>399900</c:v>
                </c:pt>
                <c:pt idx="197">
                  <c:v>183300</c:v>
                </c:pt>
                <c:pt idx="198">
                  <c:v>247100</c:v>
                </c:pt>
                <c:pt idx="199">
                  <c:v>247100</c:v>
                </c:pt>
                <c:pt idx="200">
                  <c:v>247100</c:v>
                </c:pt>
                <c:pt idx="201">
                  <c:v>428100</c:v>
                </c:pt>
                <c:pt idx="202">
                  <c:v>584400</c:v>
                </c:pt>
                <c:pt idx="203">
                  <c:v>372400</c:v>
                </c:pt>
                <c:pt idx="204">
                  <c:v>794000</c:v>
                </c:pt>
                <c:pt idx="205">
                  <c:v>517100</c:v>
                </c:pt>
                <c:pt idx="206">
                  <c:v>517100</c:v>
                </c:pt>
                <c:pt idx="207">
                  <c:v>517100</c:v>
                </c:pt>
                <c:pt idx="208">
                  <c:v>262600</c:v>
                </c:pt>
                <c:pt idx="209">
                  <c:v>217300</c:v>
                </c:pt>
                <c:pt idx="210">
                  <c:v>218400</c:v>
                </c:pt>
                <c:pt idx="211">
                  <c:v>387100</c:v>
                </c:pt>
                <c:pt idx="212">
                  <c:v>695700</c:v>
                </c:pt>
                <c:pt idx="213">
                  <c:v>695700</c:v>
                </c:pt>
                <c:pt idx="214">
                  <c:v>695700</c:v>
                </c:pt>
                <c:pt idx="215">
                  <c:v>576000</c:v>
                </c:pt>
                <c:pt idx="216">
                  <c:v>259700</c:v>
                </c:pt>
                <c:pt idx="217">
                  <c:v>146500</c:v>
                </c:pt>
                <c:pt idx="218">
                  <c:v>130500</c:v>
                </c:pt>
                <c:pt idx="219">
                  <c:v>261600</c:v>
                </c:pt>
                <c:pt idx="220">
                  <c:v>261600</c:v>
                </c:pt>
                <c:pt idx="221">
                  <c:v>261600</c:v>
                </c:pt>
                <c:pt idx="222">
                  <c:v>371000</c:v>
                </c:pt>
                <c:pt idx="223">
                  <c:v>249300</c:v>
                </c:pt>
                <c:pt idx="224">
                  <c:v>320600</c:v>
                </c:pt>
                <c:pt idx="225">
                  <c:v>536200</c:v>
                </c:pt>
                <c:pt idx="226">
                  <c:v>115700</c:v>
                </c:pt>
                <c:pt idx="227">
                  <c:v>115700</c:v>
                </c:pt>
                <c:pt idx="228">
                  <c:v>115700</c:v>
                </c:pt>
                <c:pt idx="229">
                  <c:v>168700</c:v>
                </c:pt>
                <c:pt idx="230">
                  <c:v>169600</c:v>
                </c:pt>
                <c:pt idx="231">
                  <c:v>171300</c:v>
                </c:pt>
                <c:pt idx="232">
                  <c:v>359600</c:v>
                </c:pt>
                <c:pt idx="233">
                  <c:v>294500</c:v>
                </c:pt>
                <c:pt idx="234">
                  <c:v>294500</c:v>
                </c:pt>
                <c:pt idx="235">
                  <c:v>294500</c:v>
                </c:pt>
                <c:pt idx="236">
                  <c:v>386200</c:v>
                </c:pt>
                <c:pt idx="237">
                  <c:v>612700</c:v>
                </c:pt>
                <c:pt idx="238">
                  <c:v>698700</c:v>
                </c:pt>
                <c:pt idx="239">
                  <c:v>508000</c:v>
                </c:pt>
                <c:pt idx="240">
                  <c:v>196600</c:v>
                </c:pt>
                <c:pt idx="241">
                  <c:v>196600</c:v>
                </c:pt>
                <c:pt idx="242">
                  <c:v>196600</c:v>
                </c:pt>
                <c:pt idx="243">
                  <c:v>151400</c:v>
                </c:pt>
                <c:pt idx="244">
                  <c:v>233600</c:v>
                </c:pt>
                <c:pt idx="245">
                  <c:v>148500</c:v>
                </c:pt>
                <c:pt idx="246">
                  <c:v>246200</c:v>
                </c:pt>
                <c:pt idx="247">
                  <c:v>770800</c:v>
                </c:pt>
                <c:pt idx="248">
                  <c:v>770800</c:v>
                </c:pt>
                <c:pt idx="249">
                  <c:v>770800</c:v>
                </c:pt>
                <c:pt idx="250">
                  <c:v>833000</c:v>
                </c:pt>
                <c:pt idx="251">
                  <c:v>861000</c:v>
                </c:pt>
                <c:pt idx="252">
                  <c:v>861000</c:v>
                </c:pt>
                <c:pt idx="253">
                  <c:v>861000</c:v>
                </c:pt>
                <c:pt idx="254">
                  <c:v>430300</c:v>
                </c:pt>
                <c:pt idx="255">
                  <c:v>430300</c:v>
                </c:pt>
                <c:pt idx="256">
                  <c:v>430300</c:v>
                </c:pt>
                <c:pt idx="257">
                  <c:v>743600</c:v>
                </c:pt>
                <c:pt idx="258">
                  <c:v>662000</c:v>
                </c:pt>
                <c:pt idx="259">
                  <c:v>662000</c:v>
                </c:pt>
                <c:pt idx="260">
                  <c:v>662000</c:v>
                </c:pt>
                <c:pt idx="261">
                  <c:v>585500</c:v>
                </c:pt>
                <c:pt idx="262">
                  <c:v>585500</c:v>
                </c:pt>
                <c:pt idx="263">
                  <c:v>585500</c:v>
                </c:pt>
                <c:pt idx="264">
                  <c:v>666900</c:v>
                </c:pt>
                <c:pt idx="265">
                  <c:v>944200</c:v>
                </c:pt>
                <c:pt idx="266">
                  <c:v>1423200</c:v>
                </c:pt>
                <c:pt idx="267">
                  <c:v>594900</c:v>
                </c:pt>
                <c:pt idx="268">
                  <c:v>397700</c:v>
                </c:pt>
                <c:pt idx="269">
                  <c:v>397700</c:v>
                </c:pt>
                <c:pt idx="270">
                  <c:v>397700</c:v>
                </c:pt>
                <c:pt idx="271">
                  <c:v>1233300</c:v>
                </c:pt>
                <c:pt idx="272">
                  <c:v>762500</c:v>
                </c:pt>
                <c:pt idx="273">
                  <c:v>383400</c:v>
                </c:pt>
                <c:pt idx="274">
                  <c:v>460400</c:v>
                </c:pt>
                <c:pt idx="275">
                  <c:v>577700</c:v>
                </c:pt>
                <c:pt idx="276">
                  <c:v>577700</c:v>
                </c:pt>
                <c:pt idx="277">
                  <c:v>577700</c:v>
                </c:pt>
                <c:pt idx="278">
                  <c:v>780000</c:v>
                </c:pt>
                <c:pt idx="279">
                  <c:v>385300</c:v>
                </c:pt>
                <c:pt idx="280">
                  <c:v>633100</c:v>
                </c:pt>
                <c:pt idx="281">
                  <c:v>603300</c:v>
                </c:pt>
                <c:pt idx="282">
                  <c:v>869500</c:v>
                </c:pt>
                <c:pt idx="283">
                  <c:v>869500</c:v>
                </c:pt>
                <c:pt idx="284">
                  <c:v>869500</c:v>
                </c:pt>
                <c:pt idx="285">
                  <c:v>1040600</c:v>
                </c:pt>
                <c:pt idx="286">
                  <c:v>1559600</c:v>
                </c:pt>
                <c:pt idx="287">
                  <c:v>1326700</c:v>
                </c:pt>
                <c:pt idx="288">
                  <c:v>600100</c:v>
                </c:pt>
                <c:pt idx="289">
                  <c:v>444300</c:v>
                </c:pt>
                <c:pt idx="290">
                  <c:v>444300</c:v>
                </c:pt>
                <c:pt idx="291">
                  <c:v>444300</c:v>
                </c:pt>
                <c:pt idx="292">
                  <c:v>775800</c:v>
                </c:pt>
                <c:pt idx="293">
                  <c:v>377400</c:v>
                </c:pt>
                <c:pt idx="294">
                  <c:v>377400</c:v>
                </c:pt>
                <c:pt idx="295">
                  <c:v>674900</c:v>
                </c:pt>
                <c:pt idx="296">
                  <c:v>738000</c:v>
                </c:pt>
                <c:pt idx="297">
                  <c:v>738000</c:v>
                </c:pt>
                <c:pt idx="298">
                  <c:v>738000</c:v>
                </c:pt>
                <c:pt idx="299">
                  <c:v>738000</c:v>
                </c:pt>
                <c:pt idx="300">
                  <c:v>692300</c:v>
                </c:pt>
                <c:pt idx="301">
                  <c:v>668600</c:v>
                </c:pt>
                <c:pt idx="302">
                  <c:v>664700</c:v>
                </c:pt>
                <c:pt idx="303">
                  <c:v>1149200</c:v>
                </c:pt>
                <c:pt idx="304">
                  <c:v>1149200</c:v>
                </c:pt>
                <c:pt idx="305">
                  <c:v>1149200</c:v>
                </c:pt>
                <c:pt idx="306">
                  <c:v>1000400</c:v>
                </c:pt>
                <c:pt idx="307">
                  <c:v>409200</c:v>
                </c:pt>
                <c:pt idx="308">
                  <c:v>292400</c:v>
                </c:pt>
                <c:pt idx="309">
                  <c:v>468000</c:v>
                </c:pt>
                <c:pt idx="310">
                  <c:v>521600</c:v>
                </c:pt>
                <c:pt idx="311">
                  <c:v>521600</c:v>
                </c:pt>
                <c:pt idx="312">
                  <c:v>521600</c:v>
                </c:pt>
                <c:pt idx="313">
                  <c:v>1026100</c:v>
                </c:pt>
                <c:pt idx="314">
                  <c:v>388800</c:v>
                </c:pt>
                <c:pt idx="315">
                  <c:v>478200</c:v>
                </c:pt>
                <c:pt idx="316">
                  <c:v>503800</c:v>
                </c:pt>
                <c:pt idx="317">
                  <c:v>431100</c:v>
                </c:pt>
                <c:pt idx="318">
                  <c:v>431100</c:v>
                </c:pt>
                <c:pt idx="319">
                  <c:v>431100</c:v>
                </c:pt>
                <c:pt idx="320">
                  <c:v>716300</c:v>
                </c:pt>
                <c:pt idx="321">
                  <c:v>975000</c:v>
                </c:pt>
                <c:pt idx="322">
                  <c:v>680900</c:v>
                </c:pt>
                <c:pt idx="323">
                  <c:v>771100</c:v>
                </c:pt>
                <c:pt idx="324">
                  <c:v>526800</c:v>
                </c:pt>
                <c:pt idx="325">
                  <c:v>526800</c:v>
                </c:pt>
                <c:pt idx="326">
                  <c:v>526800</c:v>
                </c:pt>
                <c:pt idx="327">
                  <c:v>292100</c:v>
                </c:pt>
                <c:pt idx="328">
                  <c:v>265000</c:v>
                </c:pt>
                <c:pt idx="329">
                  <c:v>260200</c:v>
                </c:pt>
                <c:pt idx="330">
                  <c:v>333700</c:v>
                </c:pt>
                <c:pt idx="331">
                  <c:v>344800</c:v>
                </c:pt>
                <c:pt idx="332">
                  <c:v>344800</c:v>
                </c:pt>
                <c:pt idx="333">
                  <c:v>344800</c:v>
                </c:pt>
                <c:pt idx="334">
                  <c:v>311600</c:v>
                </c:pt>
                <c:pt idx="335">
                  <c:v>357500</c:v>
                </c:pt>
                <c:pt idx="336">
                  <c:v>285700</c:v>
                </c:pt>
                <c:pt idx="337">
                  <c:v>428600</c:v>
                </c:pt>
                <c:pt idx="338">
                  <c:v>393700</c:v>
                </c:pt>
                <c:pt idx="339">
                  <c:v>393700</c:v>
                </c:pt>
                <c:pt idx="340">
                  <c:v>393700</c:v>
                </c:pt>
                <c:pt idx="341">
                  <c:v>544200</c:v>
                </c:pt>
                <c:pt idx="342">
                  <c:v>755000</c:v>
                </c:pt>
                <c:pt idx="343">
                  <c:v>437000</c:v>
                </c:pt>
                <c:pt idx="344">
                  <c:v>567100</c:v>
                </c:pt>
                <c:pt idx="345">
                  <c:v>677800</c:v>
                </c:pt>
                <c:pt idx="346">
                  <c:v>677800</c:v>
                </c:pt>
                <c:pt idx="347">
                  <c:v>677800</c:v>
                </c:pt>
                <c:pt idx="348">
                  <c:v>282200</c:v>
                </c:pt>
                <c:pt idx="349">
                  <c:v>533600</c:v>
                </c:pt>
                <c:pt idx="350">
                  <c:v>773200</c:v>
                </c:pt>
                <c:pt idx="351">
                  <c:v>352100</c:v>
                </c:pt>
                <c:pt idx="352">
                  <c:v>972600</c:v>
                </c:pt>
                <c:pt idx="353">
                  <c:v>972600</c:v>
                </c:pt>
                <c:pt idx="354">
                  <c:v>972600</c:v>
                </c:pt>
                <c:pt idx="355">
                  <c:v>406300</c:v>
                </c:pt>
                <c:pt idx="356">
                  <c:v>270400</c:v>
                </c:pt>
                <c:pt idx="357">
                  <c:v>210500</c:v>
                </c:pt>
                <c:pt idx="358">
                  <c:v>193500</c:v>
                </c:pt>
                <c:pt idx="359">
                  <c:v>270100</c:v>
                </c:pt>
                <c:pt idx="360">
                  <c:v>270100</c:v>
                </c:pt>
                <c:pt idx="361">
                  <c:v>270100</c:v>
                </c:pt>
                <c:pt idx="362">
                  <c:v>321100</c:v>
                </c:pt>
                <c:pt idx="363">
                  <c:v>144500</c:v>
                </c:pt>
                <c:pt idx="364">
                  <c:v>469000</c:v>
                </c:pt>
                <c:pt idx="365">
                  <c:v>381300</c:v>
                </c:pt>
                <c:pt idx="366">
                  <c:v>423800</c:v>
                </c:pt>
                <c:pt idx="367">
                  <c:v>423800</c:v>
                </c:pt>
                <c:pt idx="368">
                  <c:v>423800</c:v>
                </c:pt>
                <c:pt idx="369">
                  <c:v>208700</c:v>
                </c:pt>
                <c:pt idx="370">
                  <c:v>338300</c:v>
                </c:pt>
                <c:pt idx="371">
                  <c:v>500500</c:v>
                </c:pt>
                <c:pt idx="372">
                  <c:v>260300</c:v>
                </c:pt>
                <c:pt idx="373">
                  <c:v>545400</c:v>
                </c:pt>
                <c:pt idx="374">
                  <c:v>545400</c:v>
                </c:pt>
                <c:pt idx="375">
                  <c:v>545400</c:v>
                </c:pt>
                <c:pt idx="376">
                  <c:v>303300</c:v>
                </c:pt>
                <c:pt idx="377">
                  <c:v>133000</c:v>
                </c:pt>
                <c:pt idx="378">
                  <c:v>220000</c:v>
                </c:pt>
                <c:pt idx="379">
                  <c:v>258000</c:v>
                </c:pt>
                <c:pt idx="380">
                  <c:v>187300</c:v>
                </c:pt>
                <c:pt idx="381">
                  <c:v>187300</c:v>
                </c:pt>
                <c:pt idx="382">
                  <c:v>187300</c:v>
                </c:pt>
                <c:pt idx="383">
                  <c:v>391300</c:v>
                </c:pt>
                <c:pt idx="384">
                  <c:v>167700</c:v>
                </c:pt>
                <c:pt idx="385">
                  <c:v>169900</c:v>
                </c:pt>
                <c:pt idx="386">
                  <c:v>166000</c:v>
                </c:pt>
                <c:pt idx="387">
                  <c:v>226100</c:v>
                </c:pt>
                <c:pt idx="388">
                  <c:v>226100</c:v>
                </c:pt>
                <c:pt idx="389">
                  <c:v>226100</c:v>
                </c:pt>
                <c:pt idx="390">
                  <c:v>382600</c:v>
                </c:pt>
                <c:pt idx="391">
                  <c:v>298600</c:v>
                </c:pt>
                <c:pt idx="392">
                  <c:v>395900</c:v>
                </c:pt>
                <c:pt idx="393">
                  <c:v>366500</c:v>
                </c:pt>
                <c:pt idx="394">
                  <c:v>481600</c:v>
                </c:pt>
                <c:pt idx="395">
                  <c:v>481600</c:v>
                </c:pt>
                <c:pt idx="396">
                  <c:v>481600</c:v>
                </c:pt>
                <c:pt idx="397">
                  <c:v>290400</c:v>
                </c:pt>
                <c:pt idx="398">
                  <c:v>289400</c:v>
                </c:pt>
                <c:pt idx="399">
                  <c:v>71900</c:v>
                </c:pt>
                <c:pt idx="400">
                  <c:v>470400</c:v>
                </c:pt>
                <c:pt idx="401">
                  <c:v>302200</c:v>
                </c:pt>
                <c:pt idx="402">
                  <c:v>302200</c:v>
                </c:pt>
                <c:pt idx="403">
                  <c:v>302200</c:v>
                </c:pt>
                <c:pt idx="404">
                  <c:v>458900</c:v>
                </c:pt>
                <c:pt idx="405">
                  <c:v>471300</c:v>
                </c:pt>
                <c:pt idx="406">
                  <c:v>343800</c:v>
                </c:pt>
                <c:pt idx="407">
                  <c:v>253500</c:v>
                </c:pt>
                <c:pt idx="408">
                  <c:v>169000</c:v>
                </c:pt>
                <c:pt idx="409">
                  <c:v>169000</c:v>
                </c:pt>
                <c:pt idx="410">
                  <c:v>169000</c:v>
                </c:pt>
                <c:pt idx="411">
                  <c:v>183200</c:v>
                </c:pt>
                <c:pt idx="412">
                  <c:v>327100</c:v>
                </c:pt>
                <c:pt idx="413">
                  <c:v>302000</c:v>
                </c:pt>
                <c:pt idx="414">
                  <c:v>210400</c:v>
                </c:pt>
                <c:pt idx="415">
                  <c:v>277500</c:v>
                </c:pt>
                <c:pt idx="416">
                  <c:v>277500</c:v>
                </c:pt>
                <c:pt idx="417">
                  <c:v>277500</c:v>
                </c:pt>
                <c:pt idx="418">
                  <c:v>483300</c:v>
                </c:pt>
                <c:pt idx="419">
                  <c:v>301500</c:v>
                </c:pt>
                <c:pt idx="420">
                  <c:v>282100</c:v>
                </c:pt>
                <c:pt idx="421">
                  <c:v>384500</c:v>
                </c:pt>
                <c:pt idx="422">
                  <c:v>970800</c:v>
                </c:pt>
                <c:pt idx="423">
                  <c:v>970800</c:v>
                </c:pt>
                <c:pt idx="424">
                  <c:v>970800</c:v>
                </c:pt>
                <c:pt idx="425">
                  <c:v>217400</c:v>
                </c:pt>
                <c:pt idx="426">
                  <c:v>230700</c:v>
                </c:pt>
                <c:pt idx="427">
                  <c:v>397200</c:v>
                </c:pt>
                <c:pt idx="428">
                  <c:v>275100</c:v>
                </c:pt>
                <c:pt idx="429">
                  <c:v>438200</c:v>
                </c:pt>
                <c:pt idx="430">
                  <c:v>438200</c:v>
                </c:pt>
                <c:pt idx="431">
                  <c:v>438200</c:v>
                </c:pt>
                <c:pt idx="432">
                  <c:v>555900</c:v>
                </c:pt>
                <c:pt idx="433">
                  <c:v>329800</c:v>
                </c:pt>
                <c:pt idx="434">
                  <c:v>220700</c:v>
                </c:pt>
                <c:pt idx="435">
                  <c:v>335200</c:v>
                </c:pt>
                <c:pt idx="436">
                  <c:v>178800</c:v>
                </c:pt>
                <c:pt idx="437">
                  <c:v>178800</c:v>
                </c:pt>
                <c:pt idx="438">
                  <c:v>178800</c:v>
                </c:pt>
                <c:pt idx="439">
                  <c:v>253800</c:v>
                </c:pt>
                <c:pt idx="440">
                  <c:v>259400</c:v>
                </c:pt>
                <c:pt idx="441">
                  <c:v>615200</c:v>
                </c:pt>
                <c:pt idx="442">
                  <c:v>431500</c:v>
                </c:pt>
                <c:pt idx="443">
                  <c:v>455500</c:v>
                </c:pt>
                <c:pt idx="444">
                  <c:v>455500</c:v>
                </c:pt>
                <c:pt idx="445">
                  <c:v>455500</c:v>
                </c:pt>
                <c:pt idx="446">
                  <c:v>556300</c:v>
                </c:pt>
                <c:pt idx="447">
                  <c:v>294500</c:v>
                </c:pt>
                <c:pt idx="448">
                  <c:v>390600</c:v>
                </c:pt>
                <c:pt idx="449">
                  <c:v>334000</c:v>
                </c:pt>
                <c:pt idx="450">
                  <c:v>272200</c:v>
                </c:pt>
                <c:pt idx="451">
                  <c:v>272200</c:v>
                </c:pt>
                <c:pt idx="452">
                  <c:v>272200</c:v>
                </c:pt>
                <c:pt idx="453">
                  <c:v>583100</c:v>
                </c:pt>
                <c:pt idx="454">
                  <c:v>291600</c:v>
                </c:pt>
                <c:pt idx="455">
                  <c:v>409600</c:v>
                </c:pt>
                <c:pt idx="456">
                  <c:v>1342700</c:v>
                </c:pt>
                <c:pt idx="457">
                  <c:v>395900</c:v>
                </c:pt>
                <c:pt idx="458">
                  <c:v>395900</c:v>
                </c:pt>
                <c:pt idx="459">
                  <c:v>395900</c:v>
                </c:pt>
                <c:pt idx="460">
                  <c:v>1071000</c:v>
                </c:pt>
                <c:pt idx="461">
                  <c:v>235800</c:v>
                </c:pt>
                <c:pt idx="462">
                  <c:v>1248200</c:v>
                </c:pt>
                <c:pt idx="463">
                  <c:v>689000</c:v>
                </c:pt>
                <c:pt idx="464">
                  <c:v>334400</c:v>
                </c:pt>
                <c:pt idx="465">
                  <c:v>334400</c:v>
                </c:pt>
                <c:pt idx="466">
                  <c:v>334400</c:v>
                </c:pt>
                <c:pt idx="467">
                  <c:v>342100</c:v>
                </c:pt>
                <c:pt idx="468">
                  <c:v>342100</c:v>
                </c:pt>
                <c:pt idx="469">
                  <c:v>665300</c:v>
                </c:pt>
                <c:pt idx="470">
                  <c:v>159100</c:v>
                </c:pt>
                <c:pt idx="471">
                  <c:v>278700</c:v>
                </c:pt>
                <c:pt idx="472">
                  <c:v>278700</c:v>
                </c:pt>
                <c:pt idx="473">
                  <c:v>278700</c:v>
                </c:pt>
                <c:pt idx="474">
                  <c:v>556700</c:v>
                </c:pt>
                <c:pt idx="475">
                  <c:v>1104300</c:v>
                </c:pt>
                <c:pt idx="476">
                  <c:v>271900</c:v>
                </c:pt>
                <c:pt idx="477">
                  <c:v>289600</c:v>
                </c:pt>
                <c:pt idx="478">
                  <c:v>89200</c:v>
                </c:pt>
                <c:pt idx="479">
                  <c:v>89200</c:v>
                </c:pt>
                <c:pt idx="480">
                  <c:v>89200</c:v>
                </c:pt>
                <c:pt idx="481">
                  <c:v>411300</c:v>
                </c:pt>
                <c:pt idx="482">
                  <c:v>339500</c:v>
                </c:pt>
                <c:pt idx="483">
                  <c:v>632800</c:v>
                </c:pt>
                <c:pt idx="484">
                  <c:v>535800</c:v>
                </c:pt>
                <c:pt idx="485">
                  <c:v>432900</c:v>
                </c:pt>
                <c:pt idx="486">
                  <c:v>432900</c:v>
                </c:pt>
                <c:pt idx="487">
                  <c:v>432900</c:v>
                </c:pt>
                <c:pt idx="488">
                  <c:v>1084700</c:v>
                </c:pt>
                <c:pt idx="489">
                  <c:v>529100</c:v>
                </c:pt>
                <c:pt idx="490">
                  <c:v>204800</c:v>
                </c:pt>
                <c:pt idx="491">
                  <c:v>343200</c:v>
                </c:pt>
                <c:pt idx="492">
                  <c:v>437500</c:v>
                </c:pt>
                <c:pt idx="493">
                  <c:v>437500</c:v>
                </c:pt>
                <c:pt idx="494">
                  <c:v>437500</c:v>
                </c:pt>
                <c:pt idx="495">
                  <c:v>353300</c:v>
                </c:pt>
                <c:pt idx="496">
                  <c:v>397300</c:v>
                </c:pt>
                <c:pt idx="497">
                  <c:v>397300</c:v>
                </c:pt>
                <c:pt idx="498">
                  <c:v>809200</c:v>
                </c:pt>
                <c:pt idx="499">
                  <c:v>337700</c:v>
                </c:pt>
                <c:pt idx="500">
                  <c:v>337700</c:v>
                </c:pt>
                <c:pt idx="501">
                  <c:v>337700</c:v>
                </c:pt>
                <c:pt idx="502">
                  <c:v>254200</c:v>
                </c:pt>
                <c:pt idx="503">
                  <c:v>442600</c:v>
                </c:pt>
                <c:pt idx="504">
                  <c:v>507100</c:v>
                </c:pt>
                <c:pt idx="505">
                  <c:v>896900</c:v>
                </c:pt>
                <c:pt idx="506">
                  <c:v>674900</c:v>
                </c:pt>
                <c:pt idx="507">
                  <c:v>674900</c:v>
                </c:pt>
                <c:pt idx="508">
                  <c:v>674900</c:v>
                </c:pt>
                <c:pt idx="509">
                  <c:v>386700</c:v>
                </c:pt>
                <c:pt idx="510">
                  <c:v>815100</c:v>
                </c:pt>
                <c:pt idx="511">
                  <c:v>1001100</c:v>
                </c:pt>
                <c:pt idx="512">
                  <c:v>706700</c:v>
                </c:pt>
                <c:pt idx="513">
                  <c:v>1000700</c:v>
                </c:pt>
                <c:pt idx="514">
                  <c:v>1000700</c:v>
                </c:pt>
                <c:pt idx="515">
                  <c:v>1000700</c:v>
                </c:pt>
                <c:pt idx="516">
                  <c:v>989700</c:v>
                </c:pt>
                <c:pt idx="517">
                  <c:v>568700</c:v>
                </c:pt>
                <c:pt idx="518">
                  <c:v>370700</c:v>
                </c:pt>
                <c:pt idx="519">
                  <c:v>835400</c:v>
                </c:pt>
                <c:pt idx="520">
                  <c:v>863000</c:v>
                </c:pt>
                <c:pt idx="521">
                  <c:v>863000</c:v>
                </c:pt>
                <c:pt idx="522">
                  <c:v>863000</c:v>
                </c:pt>
                <c:pt idx="523">
                  <c:v>572900</c:v>
                </c:pt>
                <c:pt idx="524">
                  <c:v>1016500</c:v>
                </c:pt>
                <c:pt idx="525">
                  <c:v>854400</c:v>
                </c:pt>
                <c:pt idx="526">
                  <c:v>1156200</c:v>
                </c:pt>
                <c:pt idx="527">
                  <c:v>739800</c:v>
                </c:pt>
                <c:pt idx="528">
                  <c:v>739800</c:v>
                </c:pt>
                <c:pt idx="529">
                  <c:v>739800</c:v>
                </c:pt>
                <c:pt idx="530">
                  <c:v>739800</c:v>
                </c:pt>
                <c:pt idx="531">
                  <c:v>1498900</c:v>
                </c:pt>
                <c:pt idx="532">
                  <c:v>876400</c:v>
                </c:pt>
                <c:pt idx="533">
                  <c:v>1810500</c:v>
                </c:pt>
                <c:pt idx="534">
                  <c:v>903100</c:v>
                </c:pt>
                <c:pt idx="535">
                  <c:v>903100</c:v>
                </c:pt>
                <c:pt idx="536">
                  <c:v>903100</c:v>
                </c:pt>
                <c:pt idx="537">
                  <c:v>775900</c:v>
                </c:pt>
                <c:pt idx="538">
                  <c:v>2909800</c:v>
                </c:pt>
                <c:pt idx="539">
                  <c:v>1130000</c:v>
                </c:pt>
                <c:pt idx="540">
                  <c:v>969900</c:v>
                </c:pt>
                <c:pt idx="541">
                  <c:v>1091900</c:v>
                </c:pt>
                <c:pt idx="542">
                  <c:v>1091900</c:v>
                </c:pt>
                <c:pt idx="543">
                  <c:v>1091900</c:v>
                </c:pt>
                <c:pt idx="544">
                  <c:v>913200</c:v>
                </c:pt>
                <c:pt idx="545">
                  <c:v>3907800</c:v>
                </c:pt>
                <c:pt idx="546">
                  <c:v>710400</c:v>
                </c:pt>
                <c:pt idx="547">
                  <c:v>359100</c:v>
                </c:pt>
                <c:pt idx="548">
                  <c:v>274300</c:v>
                </c:pt>
                <c:pt idx="549">
                  <c:v>274300</c:v>
                </c:pt>
                <c:pt idx="550">
                  <c:v>274300</c:v>
                </c:pt>
                <c:pt idx="551">
                  <c:v>537700</c:v>
                </c:pt>
                <c:pt idx="552">
                  <c:v>513100</c:v>
                </c:pt>
                <c:pt idx="553">
                  <c:v>718500</c:v>
                </c:pt>
                <c:pt idx="554">
                  <c:v>1414300</c:v>
                </c:pt>
                <c:pt idx="555">
                  <c:v>998400</c:v>
                </c:pt>
                <c:pt idx="556">
                  <c:v>998400</c:v>
                </c:pt>
                <c:pt idx="557">
                  <c:v>998400</c:v>
                </c:pt>
                <c:pt idx="558">
                  <c:v>654800</c:v>
                </c:pt>
                <c:pt idx="559">
                  <c:v>1900000</c:v>
                </c:pt>
                <c:pt idx="560">
                  <c:v>928400</c:v>
                </c:pt>
                <c:pt idx="561">
                  <c:v>99700</c:v>
                </c:pt>
                <c:pt idx="562">
                  <c:v>216600</c:v>
                </c:pt>
                <c:pt idx="563">
                  <c:v>216600</c:v>
                </c:pt>
                <c:pt idx="564">
                  <c:v>216600</c:v>
                </c:pt>
                <c:pt idx="565">
                  <c:v>202400</c:v>
                </c:pt>
                <c:pt idx="566">
                  <c:v>802500</c:v>
                </c:pt>
                <c:pt idx="567">
                  <c:v>117400</c:v>
                </c:pt>
                <c:pt idx="568">
                  <c:v>104800</c:v>
                </c:pt>
                <c:pt idx="569">
                  <c:v>446100</c:v>
                </c:pt>
                <c:pt idx="570">
                  <c:v>446100</c:v>
                </c:pt>
                <c:pt idx="571">
                  <c:v>446100</c:v>
                </c:pt>
                <c:pt idx="572">
                  <c:v>130400</c:v>
                </c:pt>
                <c:pt idx="573">
                  <c:v>128900</c:v>
                </c:pt>
                <c:pt idx="574">
                  <c:v>225600</c:v>
                </c:pt>
                <c:pt idx="575">
                  <c:v>225600</c:v>
                </c:pt>
                <c:pt idx="576">
                  <c:v>225600</c:v>
                </c:pt>
                <c:pt idx="577">
                  <c:v>225600</c:v>
                </c:pt>
                <c:pt idx="578">
                  <c:v>225600</c:v>
                </c:pt>
                <c:pt idx="579">
                  <c:v>528800</c:v>
                </c:pt>
                <c:pt idx="580">
                  <c:v>230400</c:v>
                </c:pt>
                <c:pt idx="581">
                  <c:v>392400</c:v>
                </c:pt>
                <c:pt idx="582">
                  <c:v>406300</c:v>
                </c:pt>
                <c:pt idx="583">
                  <c:v>1002900</c:v>
                </c:pt>
                <c:pt idx="584">
                  <c:v>1002900</c:v>
                </c:pt>
                <c:pt idx="585">
                  <c:v>1002900</c:v>
                </c:pt>
                <c:pt idx="586">
                  <c:v>715600</c:v>
                </c:pt>
                <c:pt idx="587">
                  <c:v>404600</c:v>
                </c:pt>
                <c:pt idx="588">
                  <c:v>495800</c:v>
                </c:pt>
                <c:pt idx="589">
                  <c:v>492200</c:v>
                </c:pt>
                <c:pt idx="590">
                  <c:v>772400</c:v>
                </c:pt>
                <c:pt idx="591">
                  <c:v>772400</c:v>
                </c:pt>
                <c:pt idx="592">
                  <c:v>772400</c:v>
                </c:pt>
                <c:pt idx="593">
                  <c:v>338000</c:v>
                </c:pt>
                <c:pt idx="594">
                  <c:v>249600</c:v>
                </c:pt>
                <c:pt idx="595">
                  <c:v>229800</c:v>
                </c:pt>
                <c:pt idx="596">
                  <c:v>694400</c:v>
                </c:pt>
                <c:pt idx="597">
                  <c:v>262000</c:v>
                </c:pt>
                <c:pt idx="598">
                  <c:v>262000</c:v>
                </c:pt>
                <c:pt idx="599">
                  <c:v>262000</c:v>
                </c:pt>
                <c:pt idx="600">
                  <c:v>267500</c:v>
                </c:pt>
                <c:pt idx="601">
                  <c:v>139700</c:v>
                </c:pt>
                <c:pt idx="602">
                  <c:v>207600</c:v>
                </c:pt>
                <c:pt idx="603">
                  <c:v>425900</c:v>
                </c:pt>
                <c:pt idx="604">
                  <c:v>422200</c:v>
                </c:pt>
                <c:pt idx="605">
                  <c:v>422200</c:v>
                </c:pt>
                <c:pt idx="606">
                  <c:v>422200</c:v>
                </c:pt>
                <c:pt idx="607">
                  <c:v>244100</c:v>
                </c:pt>
                <c:pt idx="608">
                  <c:v>280600</c:v>
                </c:pt>
                <c:pt idx="609">
                  <c:v>255200</c:v>
                </c:pt>
                <c:pt idx="610">
                  <c:v>590800</c:v>
                </c:pt>
                <c:pt idx="611">
                  <c:v>356400</c:v>
                </c:pt>
                <c:pt idx="612">
                  <c:v>356400</c:v>
                </c:pt>
                <c:pt idx="613">
                  <c:v>356400</c:v>
                </c:pt>
                <c:pt idx="614">
                  <c:v>234400</c:v>
                </c:pt>
                <c:pt idx="615">
                  <c:v>527000</c:v>
                </c:pt>
                <c:pt idx="616">
                  <c:v>527000</c:v>
                </c:pt>
                <c:pt idx="617">
                  <c:v>384200</c:v>
                </c:pt>
                <c:pt idx="618">
                  <c:v>384200</c:v>
                </c:pt>
                <c:pt idx="619">
                  <c:v>384200</c:v>
                </c:pt>
                <c:pt idx="620">
                  <c:v>384200</c:v>
                </c:pt>
                <c:pt idx="621">
                  <c:v>384200</c:v>
                </c:pt>
                <c:pt idx="622">
                  <c:v>1158700</c:v>
                </c:pt>
                <c:pt idx="623">
                  <c:v>333600</c:v>
                </c:pt>
                <c:pt idx="624">
                  <c:v>1412500</c:v>
                </c:pt>
                <c:pt idx="625">
                  <c:v>1412500</c:v>
                </c:pt>
                <c:pt idx="626">
                  <c:v>1412500</c:v>
                </c:pt>
                <c:pt idx="627">
                  <c:v>1412500</c:v>
                </c:pt>
                <c:pt idx="628">
                  <c:v>1135100</c:v>
                </c:pt>
                <c:pt idx="629">
                  <c:v>247500</c:v>
                </c:pt>
                <c:pt idx="630">
                  <c:v>1552100</c:v>
                </c:pt>
                <c:pt idx="631">
                  <c:v>865000</c:v>
                </c:pt>
                <c:pt idx="632">
                  <c:v>461500</c:v>
                </c:pt>
                <c:pt idx="633">
                  <c:v>461500</c:v>
                </c:pt>
                <c:pt idx="634">
                  <c:v>461500</c:v>
                </c:pt>
                <c:pt idx="635">
                  <c:v>1191600</c:v>
                </c:pt>
                <c:pt idx="636">
                  <c:v>458800</c:v>
                </c:pt>
                <c:pt idx="637">
                  <c:v>339900</c:v>
                </c:pt>
                <c:pt idx="638">
                  <c:v>75100</c:v>
                </c:pt>
                <c:pt idx="639">
                  <c:v>287300</c:v>
                </c:pt>
                <c:pt idx="640">
                  <c:v>287300</c:v>
                </c:pt>
                <c:pt idx="641">
                  <c:v>287300</c:v>
                </c:pt>
                <c:pt idx="642">
                  <c:v>312100</c:v>
                </c:pt>
                <c:pt idx="643">
                  <c:v>359700</c:v>
                </c:pt>
                <c:pt idx="644">
                  <c:v>393600</c:v>
                </c:pt>
                <c:pt idx="645">
                  <c:v>200700</c:v>
                </c:pt>
                <c:pt idx="646">
                  <c:v>474300</c:v>
                </c:pt>
                <c:pt idx="647">
                  <c:v>474300</c:v>
                </c:pt>
                <c:pt idx="648">
                  <c:v>474300</c:v>
                </c:pt>
                <c:pt idx="649">
                  <c:v>265400</c:v>
                </c:pt>
                <c:pt idx="650">
                  <c:v>422200</c:v>
                </c:pt>
                <c:pt idx="651">
                  <c:v>107700</c:v>
                </c:pt>
                <c:pt idx="652">
                  <c:v>249800</c:v>
                </c:pt>
                <c:pt idx="653">
                  <c:v>220500</c:v>
                </c:pt>
                <c:pt idx="654">
                  <c:v>220500</c:v>
                </c:pt>
                <c:pt idx="655">
                  <c:v>220500</c:v>
                </c:pt>
                <c:pt idx="656">
                  <c:v>151000</c:v>
                </c:pt>
                <c:pt idx="657">
                  <c:v>155500</c:v>
                </c:pt>
                <c:pt idx="658">
                  <c:v>381000</c:v>
                </c:pt>
                <c:pt idx="659">
                  <c:v>470200</c:v>
                </c:pt>
                <c:pt idx="660">
                  <c:v>323200</c:v>
                </c:pt>
                <c:pt idx="661">
                  <c:v>323200</c:v>
                </c:pt>
                <c:pt idx="662">
                  <c:v>323200</c:v>
                </c:pt>
                <c:pt idx="663">
                  <c:v>381800</c:v>
                </c:pt>
                <c:pt idx="664">
                  <c:v>390900</c:v>
                </c:pt>
                <c:pt idx="665">
                  <c:v>390900</c:v>
                </c:pt>
                <c:pt idx="666">
                  <c:v>194400</c:v>
                </c:pt>
                <c:pt idx="667">
                  <c:v>325100</c:v>
                </c:pt>
                <c:pt idx="668">
                  <c:v>325100</c:v>
                </c:pt>
                <c:pt idx="669">
                  <c:v>325100</c:v>
                </c:pt>
                <c:pt idx="670">
                  <c:v>162800</c:v>
                </c:pt>
                <c:pt idx="671">
                  <c:v>291000</c:v>
                </c:pt>
                <c:pt idx="672">
                  <c:v>159400</c:v>
                </c:pt>
                <c:pt idx="673">
                  <c:v>138300</c:v>
                </c:pt>
                <c:pt idx="674">
                  <c:v>299800</c:v>
                </c:pt>
                <c:pt idx="675">
                  <c:v>299800</c:v>
                </c:pt>
                <c:pt idx="676">
                  <c:v>299800</c:v>
                </c:pt>
                <c:pt idx="677">
                  <c:v>99400</c:v>
                </c:pt>
                <c:pt idx="678">
                  <c:v>99400</c:v>
                </c:pt>
                <c:pt idx="679">
                  <c:v>243600</c:v>
                </c:pt>
                <c:pt idx="680">
                  <c:v>109000</c:v>
                </c:pt>
                <c:pt idx="681">
                  <c:v>127000</c:v>
                </c:pt>
                <c:pt idx="682">
                  <c:v>127000</c:v>
                </c:pt>
                <c:pt idx="683">
                  <c:v>127000</c:v>
                </c:pt>
                <c:pt idx="684">
                  <c:v>112500</c:v>
                </c:pt>
                <c:pt idx="685">
                  <c:v>89800</c:v>
                </c:pt>
                <c:pt idx="686">
                  <c:v>87300</c:v>
                </c:pt>
                <c:pt idx="687">
                  <c:v>180500</c:v>
                </c:pt>
                <c:pt idx="688">
                  <c:v>117800</c:v>
                </c:pt>
                <c:pt idx="689">
                  <c:v>117800</c:v>
                </c:pt>
                <c:pt idx="690">
                  <c:v>117800</c:v>
                </c:pt>
                <c:pt idx="691">
                  <c:v>401700</c:v>
                </c:pt>
                <c:pt idx="692">
                  <c:v>198800</c:v>
                </c:pt>
                <c:pt idx="693">
                  <c:v>137100</c:v>
                </c:pt>
                <c:pt idx="694">
                  <c:v>165100</c:v>
                </c:pt>
                <c:pt idx="695">
                  <c:v>151200</c:v>
                </c:pt>
                <c:pt idx="696">
                  <c:v>151200</c:v>
                </c:pt>
                <c:pt idx="697">
                  <c:v>151200</c:v>
                </c:pt>
                <c:pt idx="698">
                  <c:v>171900</c:v>
                </c:pt>
                <c:pt idx="699">
                  <c:v>171900</c:v>
                </c:pt>
                <c:pt idx="700">
                  <c:v>397100</c:v>
                </c:pt>
                <c:pt idx="701">
                  <c:v>334300</c:v>
                </c:pt>
                <c:pt idx="702">
                  <c:v>438400</c:v>
                </c:pt>
                <c:pt idx="703">
                  <c:v>438400</c:v>
                </c:pt>
                <c:pt idx="704">
                  <c:v>438400</c:v>
                </c:pt>
                <c:pt idx="705">
                  <c:v>394000</c:v>
                </c:pt>
                <c:pt idx="706">
                  <c:v>399500</c:v>
                </c:pt>
                <c:pt idx="707">
                  <c:v>294100</c:v>
                </c:pt>
                <c:pt idx="708">
                  <c:v>212000</c:v>
                </c:pt>
                <c:pt idx="709">
                  <c:v>202200</c:v>
                </c:pt>
                <c:pt idx="710">
                  <c:v>202200</c:v>
                </c:pt>
                <c:pt idx="711">
                  <c:v>202200</c:v>
                </c:pt>
                <c:pt idx="712">
                  <c:v>384100</c:v>
                </c:pt>
                <c:pt idx="713">
                  <c:v>647900</c:v>
                </c:pt>
                <c:pt idx="714">
                  <c:v>253500</c:v>
                </c:pt>
                <c:pt idx="715">
                  <c:v>143000</c:v>
                </c:pt>
                <c:pt idx="716">
                  <c:v>442900</c:v>
                </c:pt>
                <c:pt idx="717">
                  <c:v>442900</c:v>
                </c:pt>
                <c:pt idx="718">
                  <c:v>442900</c:v>
                </c:pt>
                <c:pt idx="719">
                  <c:v>216200</c:v>
                </c:pt>
                <c:pt idx="720">
                  <c:v>120500</c:v>
                </c:pt>
                <c:pt idx="721">
                  <c:v>99600</c:v>
                </c:pt>
                <c:pt idx="722">
                  <c:v>67400</c:v>
                </c:pt>
                <c:pt idx="723">
                  <c:v>72500</c:v>
                </c:pt>
                <c:pt idx="724">
                  <c:v>72500</c:v>
                </c:pt>
                <c:pt idx="725">
                  <c:v>72500</c:v>
                </c:pt>
                <c:pt idx="726">
                  <c:v>108700</c:v>
                </c:pt>
                <c:pt idx="727">
                  <c:v>153200</c:v>
                </c:pt>
                <c:pt idx="728">
                  <c:v>100100</c:v>
                </c:pt>
                <c:pt idx="729">
                  <c:v>92500</c:v>
                </c:pt>
                <c:pt idx="730">
                  <c:v>84100</c:v>
                </c:pt>
                <c:pt idx="731">
                  <c:v>84100</c:v>
                </c:pt>
                <c:pt idx="732">
                  <c:v>84100</c:v>
                </c:pt>
                <c:pt idx="733">
                  <c:v>247900</c:v>
                </c:pt>
                <c:pt idx="734">
                  <c:v>247900</c:v>
                </c:pt>
                <c:pt idx="735">
                  <c:v>690100</c:v>
                </c:pt>
                <c:pt idx="736">
                  <c:v>330800</c:v>
                </c:pt>
                <c:pt idx="737">
                  <c:v>235200</c:v>
                </c:pt>
                <c:pt idx="738">
                  <c:v>235200</c:v>
                </c:pt>
                <c:pt idx="739">
                  <c:v>235200</c:v>
                </c:pt>
                <c:pt idx="740">
                  <c:v>301500</c:v>
                </c:pt>
                <c:pt idx="741">
                  <c:v>212100</c:v>
                </c:pt>
                <c:pt idx="742">
                  <c:v>314100</c:v>
                </c:pt>
                <c:pt idx="743">
                  <c:v>203600</c:v>
                </c:pt>
                <c:pt idx="744">
                  <c:v>373900</c:v>
                </c:pt>
                <c:pt idx="745">
                  <c:v>373900</c:v>
                </c:pt>
                <c:pt idx="746">
                  <c:v>373900</c:v>
                </c:pt>
                <c:pt idx="747">
                  <c:v>240200</c:v>
                </c:pt>
                <c:pt idx="748">
                  <c:v>270900</c:v>
                </c:pt>
                <c:pt idx="749">
                  <c:v>344700</c:v>
                </c:pt>
                <c:pt idx="750">
                  <c:v>250000</c:v>
                </c:pt>
                <c:pt idx="751">
                  <c:v>570400</c:v>
                </c:pt>
                <c:pt idx="752">
                  <c:v>570400</c:v>
                </c:pt>
                <c:pt idx="753">
                  <c:v>570400</c:v>
                </c:pt>
                <c:pt idx="754">
                  <c:v>725000</c:v>
                </c:pt>
                <c:pt idx="755">
                  <c:v>20225100</c:v>
                </c:pt>
                <c:pt idx="756">
                  <c:v>807700</c:v>
                </c:pt>
                <c:pt idx="757">
                  <c:v>1517900</c:v>
                </c:pt>
                <c:pt idx="758">
                  <c:v>301600</c:v>
                </c:pt>
                <c:pt idx="759">
                  <c:v>301600</c:v>
                </c:pt>
                <c:pt idx="760">
                  <c:v>301600</c:v>
                </c:pt>
                <c:pt idx="761">
                  <c:v>502800</c:v>
                </c:pt>
                <c:pt idx="762">
                  <c:v>1028400</c:v>
                </c:pt>
                <c:pt idx="763">
                  <c:v>85200</c:v>
                </c:pt>
                <c:pt idx="764">
                  <c:v>162300</c:v>
                </c:pt>
                <c:pt idx="765">
                  <c:v>403400</c:v>
                </c:pt>
                <c:pt idx="766">
                  <c:v>403400</c:v>
                </c:pt>
                <c:pt idx="767">
                  <c:v>403400</c:v>
                </c:pt>
                <c:pt idx="768">
                  <c:v>879200</c:v>
                </c:pt>
                <c:pt idx="769">
                  <c:v>246700</c:v>
                </c:pt>
                <c:pt idx="770">
                  <c:v>78400</c:v>
                </c:pt>
                <c:pt idx="771">
                  <c:v>215000</c:v>
                </c:pt>
                <c:pt idx="772">
                  <c:v>227700</c:v>
                </c:pt>
                <c:pt idx="773">
                  <c:v>227700</c:v>
                </c:pt>
                <c:pt idx="774">
                  <c:v>227700</c:v>
                </c:pt>
                <c:pt idx="775">
                  <c:v>214000</c:v>
                </c:pt>
                <c:pt idx="776">
                  <c:v>67500</c:v>
                </c:pt>
                <c:pt idx="777">
                  <c:v>272400</c:v>
                </c:pt>
                <c:pt idx="778">
                  <c:v>155400</c:v>
                </c:pt>
                <c:pt idx="779">
                  <c:v>218100</c:v>
                </c:pt>
                <c:pt idx="780">
                  <c:v>218100</c:v>
                </c:pt>
                <c:pt idx="781">
                  <c:v>218100</c:v>
                </c:pt>
                <c:pt idx="782">
                  <c:v>254500</c:v>
                </c:pt>
                <c:pt idx="783">
                  <c:v>461600</c:v>
                </c:pt>
                <c:pt idx="784">
                  <c:v>214200</c:v>
                </c:pt>
                <c:pt idx="785">
                  <c:v>187700</c:v>
                </c:pt>
                <c:pt idx="786">
                  <c:v>298600</c:v>
                </c:pt>
                <c:pt idx="787">
                  <c:v>298600</c:v>
                </c:pt>
                <c:pt idx="788">
                  <c:v>298600</c:v>
                </c:pt>
                <c:pt idx="789">
                  <c:v>262900</c:v>
                </c:pt>
                <c:pt idx="790">
                  <c:v>149000</c:v>
                </c:pt>
                <c:pt idx="791">
                  <c:v>118600</c:v>
                </c:pt>
                <c:pt idx="792">
                  <c:v>108100</c:v>
                </c:pt>
                <c:pt idx="793">
                  <c:v>326600</c:v>
                </c:pt>
                <c:pt idx="794">
                  <c:v>326600</c:v>
                </c:pt>
                <c:pt idx="795">
                  <c:v>326600</c:v>
                </c:pt>
                <c:pt idx="796">
                  <c:v>913600</c:v>
                </c:pt>
                <c:pt idx="797">
                  <c:v>813800</c:v>
                </c:pt>
                <c:pt idx="798">
                  <c:v>266500</c:v>
                </c:pt>
                <c:pt idx="799">
                  <c:v>150100</c:v>
                </c:pt>
                <c:pt idx="800">
                  <c:v>266700</c:v>
                </c:pt>
                <c:pt idx="801">
                  <c:v>266700</c:v>
                </c:pt>
                <c:pt idx="802">
                  <c:v>266700</c:v>
                </c:pt>
                <c:pt idx="803">
                  <c:v>262800</c:v>
                </c:pt>
                <c:pt idx="804">
                  <c:v>211300</c:v>
                </c:pt>
                <c:pt idx="805">
                  <c:v>358700</c:v>
                </c:pt>
                <c:pt idx="806">
                  <c:v>756300</c:v>
                </c:pt>
                <c:pt idx="807">
                  <c:v>1049600</c:v>
                </c:pt>
                <c:pt idx="808">
                  <c:v>1049600</c:v>
                </c:pt>
                <c:pt idx="809">
                  <c:v>1049600</c:v>
                </c:pt>
                <c:pt idx="810">
                  <c:v>489100</c:v>
                </c:pt>
                <c:pt idx="811">
                  <c:v>294900</c:v>
                </c:pt>
                <c:pt idx="812">
                  <c:v>228800</c:v>
                </c:pt>
                <c:pt idx="813">
                  <c:v>330400</c:v>
                </c:pt>
                <c:pt idx="814">
                  <c:v>432100</c:v>
                </c:pt>
                <c:pt idx="815">
                  <c:v>432100</c:v>
                </c:pt>
                <c:pt idx="816">
                  <c:v>432100</c:v>
                </c:pt>
                <c:pt idx="817">
                  <c:v>711600</c:v>
                </c:pt>
                <c:pt idx="818">
                  <c:v>458200</c:v>
                </c:pt>
                <c:pt idx="819">
                  <c:v>266900</c:v>
                </c:pt>
                <c:pt idx="820">
                  <c:v>461500</c:v>
                </c:pt>
                <c:pt idx="821">
                  <c:v>734400</c:v>
                </c:pt>
                <c:pt idx="822">
                  <c:v>734400</c:v>
                </c:pt>
                <c:pt idx="823">
                  <c:v>734400</c:v>
                </c:pt>
                <c:pt idx="824">
                  <c:v>560600</c:v>
                </c:pt>
                <c:pt idx="825">
                  <c:v>560600</c:v>
                </c:pt>
                <c:pt idx="826">
                  <c:v>233900</c:v>
                </c:pt>
                <c:pt idx="827">
                  <c:v>197500</c:v>
                </c:pt>
                <c:pt idx="828">
                  <c:v>654400</c:v>
                </c:pt>
                <c:pt idx="829">
                  <c:v>654400</c:v>
                </c:pt>
                <c:pt idx="830">
                  <c:v>654400</c:v>
                </c:pt>
                <c:pt idx="831">
                  <c:v>425900</c:v>
                </c:pt>
                <c:pt idx="832">
                  <c:v>238500</c:v>
                </c:pt>
                <c:pt idx="833">
                  <c:v>423400</c:v>
                </c:pt>
                <c:pt idx="834">
                  <c:v>862700</c:v>
                </c:pt>
                <c:pt idx="835">
                  <c:v>850100</c:v>
                </c:pt>
                <c:pt idx="836">
                  <c:v>850100</c:v>
                </c:pt>
                <c:pt idx="837">
                  <c:v>850100</c:v>
                </c:pt>
                <c:pt idx="838">
                  <c:v>583300</c:v>
                </c:pt>
                <c:pt idx="839">
                  <c:v>345900</c:v>
                </c:pt>
                <c:pt idx="840">
                  <c:v>741200</c:v>
                </c:pt>
                <c:pt idx="841">
                  <c:v>267000</c:v>
                </c:pt>
                <c:pt idx="842">
                  <c:v>144300</c:v>
                </c:pt>
                <c:pt idx="843">
                  <c:v>144300</c:v>
                </c:pt>
                <c:pt idx="844">
                  <c:v>144300</c:v>
                </c:pt>
                <c:pt idx="845">
                  <c:v>214800</c:v>
                </c:pt>
                <c:pt idx="846">
                  <c:v>249700</c:v>
                </c:pt>
                <c:pt idx="847">
                  <c:v>28700</c:v>
                </c:pt>
                <c:pt idx="848">
                  <c:v>127200</c:v>
                </c:pt>
                <c:pt idx="849">
                  <c:v>97700</c:v>
                </c:pt>
                <c:pt idx="850">
                  <c:v>97700</c:v>
                </c:pt>
                <c:pt idx="851">
                  <c:v>97700</c:v>
                </c:pt>
                <c:pt idx="852">
                  <c:v>526000</c:v>
                </c:pt>
                <c:pt idx="853">
                  <c:v>155200</c:v>
                </c:pt>
                <c:pt idx="854">
                  <c:v>245600</c:v>
                </c:pt>
                <c:pt idx="855">
                  <c:v>62300</c:v>
                </c:pt>
                <c:pt idx="856">
                  <c:v>130800</c:v>
                </c:pt>
                <c:pt idx="857">
                  <c:v>130800</c:v>
                </c:pt>
                <c:pt idx="858">
                  <c:v>130800</c:v>
                </c:pt>
                <c:pt idx="859">
                  <c:v>20200</c:v>
                </c:pt>
                <c:pt idx="860">
                  <c:v>68000</c:v>
                </c:pt>
                <c:pt idx="861">
                  <c:v>18900</c:v>
                </c:pt>
                <c:pt idx="862">
                  <c:v>72400</c:v>
                </c:pt>
                <c:pt idx="863">
                  <c:v>72400</c:v>
                </c:pt>
                <c:pt idx="864">
                  <c:v>72400</c:v>
                </c:pt>
                <c:pt idx="865">
                  <c:v>72400</c:v>
                </c:pt>
                <c:pt idx="866">
                  <c:v>101400</c:v>
                </c:pt>
                <c:pt idx="867">
                  <c:v>122100</c:v>
                </c:pt>
                <c:pt idx="868">
                  <c:v>49500</c:v>
                </c:pt>
                <c:pt idx="869">
                  <c:v>170500</c:v>
                </c:pt>
                <c:pt idx="870">
                  <c:v>100000</c:v>
                </c:pt>
                <c:pt idx="871">
                  <c:v>100000</c:v>
                </c:pt>
                <c:pt idx="872">
                  <c:v>100000</c:v>
                </c:pt>
                <c:pt idx="873">
                  <c:v>100000</c:v>
                </c:pt>
                <c:pt idx="874">
                  <c:v>79400</c:v>
                </c:pt>
                <c:pt idx="875">
                  <c:v>90100</c:v>
                </c:pt>
                <c:pt idx="876">
                  <c:v>150600</c:v>
                </c:pt>
                <c:pt idx="877">
                  <c:v>161500</c:v>
                </c:pt>
                <c:pt idx="878">
                  <c:v>161500</c:v>
                </c:pt>
                <c:pt idx="879">
                  <c:v>161500</c:v>
                </c:pt>
                <c:pt idx="880">
                  <c:v>66800</c:v>
                </c:pt>
                <c:pt idx="881">
                  <c:v>208500</c:v>
                </c:pt>
                <c:pt idx="882">
                  <c:v>85700</c:v>
                </c:pt>
                <c:pt idx="883">
                  <c:v>132500</c:v>
                </c:pt>
                <c:pt idx="884">
                  <c:v>32700</c:v>
                </c:pt>
                <c:pt idx="885">
                  <c:v>32700</c:v>
                </c:pt>
                <c:pt idx="886">
                  <c:v>32700</c:v>
                </c:pt>
                <c:pt idx="887">
                  <c:v>32700</c:v>
                </c:pt>
                <c:pt idx="888">
                  <c:v>27200</c:v>
                </c:pt>
                <c:pt idx="889">
                  <c:v>34900</c:v>
                </c:pt>
                <c:pt idx="890">
                  <c:v>114700</c:v>
                </c:pt>
                <c:pt idx="891">
                  <c:v>100000</c:v>
                </c:pt>
                <c:pt idx="892">
                  <c:v>100000</c:v>
                </c:pt>
                <c:pt idx="893">
                  <c:v>100000</c:v>
                </c:pt>
                <c:pt idx="894">
                  <c:v>16700</c:v>
                </c:pt>
                <c:pt idx="895">
                  <c:v>64700</c:v>
                </c:pt>
                <c:pt idx="896">
                  <c:v>114700</c:v>
                </c:pt>
                <c:pt idx="897">
                  <c:v>121300</c:v>
                </c:pt>
                <c:pt idx="898">
                  <c:v>162000</c:v>
                </c:pt>
                <c:pt idx="899">
                  <c:v>162000</c:v>
                </c:pt>
                <c:pt idx="900">
                  <c:v>162000</c:v>
                </c:pt>
                <c:pt idx="901">
                  <c:v>268800</c:v>
                </c:pt>
                <c:pt idx="902">
                  <c:v>276700</c:v>
                </c:pt>
                <c:pt idx="903">
                  <c:v>136300</c:v>
                </c:pt>
                <c:pt idx="904">
                  <c:v>95600</c:v>
                </c:pt>
                <c:pt idx="905">
                  <c:v>74600</c:v>
                </c:pt>
                <c:pt idx="906">
                  <c:v>74600</c:v>
                </c:pt>
                <c:pt idx="907">
                  <c:v>74600</c:v>
                </c:pt>
                <c:pt idx="908">
                  <c:v>68100</c:v>
                </c:pt>
                <c:pt idx="909">
                  <c:v>50700</c:v>
                </c:pt>
                <c:pt idx="910">
                  <c:v>1900</c:v>
                </c:pt>
                <c:pt idx="911">
                  <c:v>500</c:v>
                </c:pt>
                <c:pt idx="912">
                  <c:v>40300</c:v>
                </c:pt>
                <c:pt idx="913">
                  <c:v>40300</c:v>
                </c:pt>
                <c:pt idx="914">
                  <c:v>40300</c:v>
                </c:pt>
                <c:pt idx="915">
                  <c:v>57000</c:v>
                </c:pt>
                <c:pt idx="916">
                  <c:v>11400</c:v>
                </c:pt>
                <c:pt idx="917">
                  <c:v>41700</c:v>
                </c:pt>
                <c:pt idx="918">
                  <c:v>59200</c:v>
                </c:pt>
                <c:pt idx="919">
                  <c:v>5100</c:v>
                </c:pt>
                <c:pt idx="920">
                  <c:v>5100</c:v>
                </c:pt>
                <c:pt idx="921">
                  <c:v>5100</c:v>
                </c:pt>
                <c:pt idx="922">
                  <c:v>44600</c:v>
                </c:pt>
                <c:pt idx="923">
                  <c:v>4000</c:v>
                </c:pt>
                <c:pt idx="924">
                  <c:v>8000</c:v>
                </c:pt>
                <c:pt idx="925">
                  <c:v>47800</c:v>
                </c:pt>
                <c:pt idx="926">
                  <c:v>46000</c:v>
                </c:pt>
                <c:pt idx="927">
                  <c:v>46000</c:v>
                </c:pt>
                <c:pt idx="928">
                  <c:v>46000</c:v>
                </c:pt>
                <c:pt idx="929">
                  <c:v>99100</c:v>
                </c:pt>
                <c:pt idx="930">
                  <c:v>12400</c:v>
                </c:pt>
                <c:pt idx="931">
                  <c:v>12900</c:v>
                </c:pt>
                <c:pt idx="932">
                  <c:v>12900</c:v>
                </c:pt>
                <c:pt idx="933">
                  <c:v>12900</c:v>
                </c:pt>
                <c:pt idx="934">
                  <c:v>12900</c:v>
                </c:pt>
                <c:pt idx="935">
                  <c:v>12900</c:v>
                </c:pt>
                <c:pt idx="936">
                  <c:v>64200</c:v>
                </c:pt>
                <c:pt idx="937">
                  <c:v>14100</c:v>
                </c:pt>
                <c:pt idx="938">
                  <c:v>8400</c:v>
                </c:pt>
                <c:pt idx="939">
                  <c:v>114700</c:v>
                </c:pt>
                <c:pt idx="940">
                  <c:v>94500</c:v>
                </c:pt>
                <c:pt idx="941">
                  <c:v>94500</c:v>
                </c:pt>
                <c:pt idx="942">
                  <c:v>94500</c:v>
                </c:pt>
                <c:pt idx="943">
                  <c:v>130800</c:v>
                </c:pt>
                <c:pt idx="944">
                  <c:v>73100</c:v>
                </c:pt>
                <c:pt idx="945">
                  <c:v>73200</c:v>
                </c:pt>
                <c:pt idx="946">
                  <c:v>97100</c:v>
                </c:pt>
                <c:pt idx="947">
                  <c:v>59400</c:v>
                </c:pt>
                <c:pt idx="948">
                  <c:v>59400</c:v>
                </c:pt>
                <c:pt idx="949">
                  <c:v>59400</c:v>
                </c:pt>
                <c:pt idx="950">
                  <c:v>161800</c:v>
                </c:pt>
                <c:pt idx="951">
                  <c:v>104700</c:v>
                </c:pt>
                <c:pt idx="952">
                  <c:v>200800</c:v>
                </c:pt>
                <c:pt idx="953">
                  <c:v>60300</c:v>
                </c:pt>
                <c:pt idx="954">
                  <c:v>129500</c:v>
                </c:pt>
                <c:pt idx="955">
                  <c:v>129500</c:v>
                </c:pt>
                <c:pt idx="956">
                  <c:v>129500</c:v>
                </c:pt>
                <c:pt idx="957">
                  <c:v>292500</c:v>
                </c:pt>
                <c:pt idx="958">
                  <c:v>89100</c:v>
                </c:pt>
                <c:pt idx="959">
                  <c:v>121600</c:v>
                </c:pt>
                <c:pt idx="960">
                  <c:v>17300</c:v>
                </c:pt>
                <c:pt idx="961">
                  <c:v>59200</c:v>
                </c:pt>
                <c:pt idx="962">
                  <c:v>59200</c:v>
                </c:pt>
                <c:pt idx="963">
                  <c:v>59200</c:v>
                </c:pt>
                <c:pt idx="964">
                  <c:v>150200</c:v>
                </c:pt>
                <c:pt idx="965">
                  <c:v>37200</c:v>
                </c:pt>
                <c:pt idx="966">
                  <c:v>40000</c:v>
                </c:pt>
                <c:pt idx="967">
                  <c:v>32700</c:v>
                </c:pt>
                <c:pt idx="968">
                  <c:v>221200</c:v>
                </c:pt>
                <c:pt idx="969">
                  <c:v>221200</c:v>
                </c:pt>
                <c:pt idx="970">
                  <c:v>221200</c:v>
                </c:pt>
                <c:pt idx="971">
                  <c:v>182300</c:v>
                </c:pt>
                <c:pt idx="972">
                  <c:v>295700</c:v>
                </c:pt>
                <c:pt idx="973">
                  <c:v>87900</c:v>
                </c:pt>
                <c:pt idx="974">
                  <c:v>104400</c:v>
                </c:pt>
                <c:pt idx="975">
                  <c:v>276100</c:v>
                </c:pt>
                <c:pt idx="976">
                  <c:v>276100</c:v>
                </c:pt>
                <c:pt idx="977">
                  <c:v>276100</c:v>
                </c:pt>
                <c:pt idx="978">
                  <c:v>104200</c:v>
                </c:pt>
                <c:pt idx="979">
                  <c:v>157200</c:v>
                </c:pt>
                <c:pt idx="980">
                  <c:v>136000</c:v>
                </c:pt>
                <c:pt idx="981">
                  <c:v>101600</c:v>
                </c:pt>
                <c:pt idx="982">
                  <c:v>240200</c:v>
                </c:pt>
                <c:pt idx="983">
                  <c:v>240200</c:v>
                </c:pt>
                <c:pt idx="984">
                  <c:v>240200</c:v>
                </c:pt>
                <c:pt idx="985">
                  <c:v>240200</c:v>
                </c:pt>
                <c:pt idx="986">
                  <c:v>68300</c:v>
                </c:pt>
                <c:pt idx="987">
                  <c:v>32000</c:v>
                </c:pt>
                <c:pt idx="988">
                  <c:v>31500</c:v>
                </c:pt>
                <c:pt idx="989">
                  <c:v>42000</c:v>
                </c:pt>
                <c:pt idx="990">
                  <c:v>42000</c:v>
                </c:pt>
                <c:pt idx="991">
                  <c:v>42000</c:v>
                </c:pt>
                <c:pt idx="992">
                  <c:v>41600</c:v>
                </c:pt>
                <c:pt idx="993">
                  <c:v>176500</c:v>
                </c:pt>
                <c:pt idx="994">
                  <c:v>317400</c:v>
                </c:pt>
                <c:pt idx="995">
                  <c:v>225400</c:v>
                </c:pt>
                <c:pt idx="996">
                  <c:v>93600</c:v>
                </c:pt>
                <c:pt idx="997">
                  <c:v>93600</c:v>
                </c:pt>
                <c:pt idx="998">
                  <c:v>93600</c:v>
                </c:pt>
                <c:pt idx="999">
                  <c:v>172600</c:v>
                </c:pt>
                <c:pt idx="1000">
                  <c:v>35800</c:v>
                </c:pt>
                <c:pt idx="1001">
                  <c:v>9800</c:v>
                </c:pt>
                <c:pt idx="1002">
                  <c:v>19900</c:v>
                </c:pt>
                <c:pt idx="1003">
                  <c:v>11300</c:v>
                </c:pt>
                <c:pt idx="1004">
                  <c:v>11300</c:v>
                </c:pt>
                <c:pt idx="1005">
                  <c:v>11300</c:v>
                </c:pt>
                <c:pt idx="1006">
                  <c:v>23000</c:v>
                </c:pt>
                <c:pt idx="1007">
                  <c:v>49500</c:v>
                </c:pt>
                <c:pt idx="1008">
                  <c:v>71500</c:v>
                </c:pt>
                <c:pt idx="1009">
                  <c:v>54900</c:v>
                </c:pt>
                <c:pt idx="1010">
                  <c:v>9000</c:v>
                </c:pt>
                <c:pt idx="1011">
                  <c:v>9000</c:v>
                </c:pt>
                <c:pt idx="1012">
                  <c:v>9000</c:v>
                </c:pt>
                <c:pt idx="1013">
                  <c:v>13400</c:v>
                </c:pt>
                <c:pt idx="1014">
                  <c:v>14700</c:v>
                </c:pt>
                <c:pt idx="1015">
                  <c:v>43200</c:v>
                </c:pt>
                <c:pt idx="1016">
                  <c:v>33800</c:v>
                </c:pt>
                <c:pt idx="1017">
                  <c:v>34800</c:v>
                </c:pt>
                <c:pt idx="1018">
                  <c:v>34800</c:v>
                </c:pt>
                <c:pt idx="1019">
                  <c:v>34800</c:v>
                </c:pt>
                <c:pt idx="1020">
                  <c:v>42200</c:v>
                </c:pt>
                <c:pt idx="1021">
                  <c:v>68700</c:v>
                </c:pt>
                <c:pt idx="1022">
                  <c:v>258600</c:v>
                </c:pt>
                <c:pt idx="1023">
                  <c:v>17200</c:v>
                </c:pt>
                <c:pt idx="1024">
                  <c:v>13900</c:v>
                </c:pt>
                <c:pt idx="1025">
                  <c:v>13900</c:v>
                </c:pt>
                <c:pt idx="1026">
                  <c:v>13900</c:v>
                </c:pt>
                <c:pt idx="1027">
                  <c:v>10700</c:v>
                </c:pt>
                <c:pt idx="1028">
                  <c:v>46600</c:v>
                </c:pt>
                <c:pt idx="1029">
                  <c:v>21600</c:v>
                </c:pt>
                <c:pt idx="1030">
                  <c:v>21600</c:v>
                </c:pt>
                <c:pt idx="1031">
                  <c:v>2800</c:v>
                </c:pt>
                <c:pt idx="1032">
                  <c:v>2800</c:v>
                </c:pt>
                <c:pt idx="1033">
                  <c:v>2800</c:v>
                </c:pt>
                <c:pt idx="1034">
                  <c:v>31600</c:v>
                </c:pt>
                <c:pt idx="1035">
                  <c:v>6800</c:v>
                </c:pt>
                <c:pt idx="1036">
                  <c:v>6400</c:v>
                </c:pt>
                <c:pt idx="1037">
                  <c:v>7800</c:v>
                </c:pt>
                <c:pt idx="1038">
                  <c:v>26500</c:v>
                </c:pt>
                <c:pt idx="1039">
                  <c:v>26500</c:v>
                </c:pt>
                <c:pt idx="1040">
                  <c:v>26500</c:v>
                </c:pt>
                <c:pt idx="1041">
                  <c:v>8900</c:v>
                </c:pt>
                <c:pt idx="1042">
                  <c:v>12200</c:v>
                </c:pt>
                <c:pt idx="1043">
                  <c:v>12200</c:v>
                </c:pt>
                <c:pt idx="1044">
                  <c:v>4700</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45933</c:v>
                </c:pt>
                <c:pt idx="1">
                  <c:v>45932</c:v>
                </c:pt>
                <c:pt idx="2">
                  <c:v>45931</c:v>
                </c:pt>
                <c:pt idx="3">
                  <c:v>45930</c:v>
                </c:pt>
                <c:pt idx="4">
                  <c:v>45929</c:v>
                </c:pt>
                <c:pt idx="5">
                  <c:v>45928</c:v>
                </c:pt>
                <c:pt idx="6">
                  <c:v>45927</c:v>
                </c:pt>
                <c:pt idx="7">
                  <c:v>45926</c:v>
                </c:pt>
                <c:pt idx="8">
                  <c:v>45925</c:v>
                </c:pt>
                <c:pt idx="9">
                  <c:v>45924</c:v>
                </c:pt>
                <c:pt idx="10">
                  <c:v>45923</c:v>
                </c:pt>
                <c:pt idx="11">
                  <c:v>45922</c:v>
                </c:pt>
                <c:pt idx="12">
                  <c:v>45921</c:v>
                </c:pt>
                <c:pt idx="13">
                  <c:v>45920</c:v>
                </c:pt>
                <c:pt idx="14">
                  <c:v>45919</c:v>
                </c:pt>
                <c:pt idx="15">
                  <c:v>45918</c:v>
                </c:pt>
                <c:pt idx="16">
                  <c:v>45917</c:v>
                </c:pt>
                <c:pt idx="17">
                  <c:v>45916</c:v>
                </c:pt>
                <c:pt idx="18">
                  <c:v>45915</c:v>
                </c:pt>
                <c:pt idx="19">
                  <c:v>45914</c:v>
                </c:pt>
                <c:pt idx="20">
                  <c:v>45913</c:v>
                </c:pt>
                <c:pt idx="21">
                  <c:v>45912</c:v>
                </c:pt>
                <c:pt idx="22">
                  <c:v>45911</c:v>
                </c:pt>
                <c:pt idx="23">
                  <c:v>45910</c:v>
                </c:pt>
                <c:pt idx="24">
                  <c:v>45909</c:v>
                </c:pt>
                <c:pt idx="25">
                  <c:v>45908</c:v>
                </c:pt>
                <c:pt idx="26">
                  <c:v>45907</c:v>
                </c:pt>
                <c:pt idx="27">
                  <c:v>45906</c:v>
                </c:pt>
                <c:pt idx="28">
                  <c:v>45905</c:v>
                </c:pt>
                <c:pt idx="29">
                  <c:v>45904</c:v>
                </c:pt>
                <c:pt idx="30">
                  <c:v>45903</c:v>
                </c:pt>
                <c:pt idx="31">
                  <c:v>45902</c:v>
                </c:pt>
                <c:pt idx="32">
                  <c:v>45901</c:v>
                </c:pt>
                <c:pt idx="33">
                  <c:v>45900</c:v>
                </c:pt>
                <c:pt idx="34">
                  <c:v>45899</c:v>
                </c:pt>
                <c:pt idx="35">
                  <c:v>45898</c:v>
                </c:pt>
                <c:pt idx="36">
                  <c:v>45897</c:v>
                </c:pt>
                <c:pt idx="37">
                  <c:v>45896</c:v>
                </c:pt>
                <c:pt idx="38">
                  <c:v>45895</c:v>
                </c:pt>
                <c:pt idx="39">
                  <c:v>45894</c:v>
                </c:pt>
                <c:pt idx="40">
                  <c:v>45893</c:v>
                </c:pt>
                <c:pt idx="41">
                  <c:v>45892</c:v>
                </c:pt>
                <c:pt idx="42">
                  <c:v>45891</c:v>
                </c:pt>
                <c:pt idx="43">
                  <c:v>45890</c:v>
                </c:pt>
                <c:pt idx="44">
                  <c:v>45889</c:v>
                </c:pt>
                <c:pt idx="45">
                  <c:v>45888</c:v>
                </c:pt>
                <c:pt idx="46">
                  <c:v>45887</c:v>
                </c:pt>
                <c:pt idx="47">
                  <c:v>45886</c:v>
                </c:pt>
                <c:pt idx="48">
                  <c:v>45885</c:v>
                </c:pt>
                <c:pt idx="49">
                  <c:v>45884</c:v>
                </c:pt>
                <c:pt idx="50">
                  <c:v>45883</c:v>
                </c:pt>
                <c:pt idx="51">
                  <c:v>45882</c:v>
                </c:pt>
                <c:pt idx="52">
                  <c:v>45881</c:v>
                </c:pt>
                <c:pt idx="53">
                  <c:v>45880</c:v>
                </c:pt>
                <c:pt idx="54">
                  <c:v>45879</c:v>
                </c:pt>
                <c:pt idx="55">
                  <c:v>45878</c:v>
                </c:pt>
                <c:pt idx="56">
                  <c:v>45877</c:v>
                </c:pt>
                <c:pt idx="57">
                  <c:v>45876</c:v>
                </c:pt>
                <c:pt idx="58">
                  <c:v>45875</c:v>
                </c:pt>
                <c:pt idx="59">
                  <c:v>45874</c:v>
                </c:pt>
                <c:pt idx="60">
                  <c:v>45873</c:v>
                </c:pt>
                <c:pt idx="61">
                  <c:v>45872</c:v>
                </c:pt>
                <c:pt idx="62">
                  <c:v>45871</c:v>
                </c:pt>
                <c:pt idx="63">
                  <c:v>45870</c:v>
                </c:pt>
                <c:pt idx="64">
                  <c:v>45869</c:v>
                </c:pt>
                <c:pt idx="65">
                  <c:v>45868</c:v>
                </c:pt>
                <c:pt idx="66">
                  <c:v>45867</c:v>
                </c:pt>
                <c:pt idx="67">
                  <c:v>45866</c:v>
                </c:pt>
                <c:pt idx="68">
                  <c:v>45865</c:v>
                </c:pt>
                <c:pt idx="69">
                  <c:v>45864</c:v>
                </c:pt>
                <c:pt idx="70">
                  <c:v>45863</c:v>
                </c:pt>
                <c:pt idx="71">
                  <c:v>45862</c:v>
                </c:pt>
                <c:pt idx="72">
                  <c:v>45861</c:v>
                </c:pt>
                <c:pt idx="73">
                  <c:v>45860</c:v>
                </c:pt>
                <c:pt idx="74">
                  <c:v>45859</c:v>
                </c:pt>
                <c:pt idx="75">
                  <c:v>45858</c:v>
                </c:pt>
                <c:pt idx="76">
                  <c:v>45857</c:v>
                </c:pt>
                <c:pt idx="77">
                  <c:v>45856</c:v>
                </c:pt>
                <c:pt idx="78">
                  <c:v>45855</c:v>
                </c:pt>
                <c:pt idx="79">
                  <c:v>45854</c:v>
                </c:pt>
                <c:pt idx="80">
                  <c:v>45853</c:v>
                </c:pt>
                <c:pt idx="81">
                  <c:v>45852</c:v>
                </c:pt>
                <c:pt idx="82">
                  <c:v>45851</c:v>
                </c:pt>
                <c:pt idx="83">
                  <c:v>45850</c:v>
                </c:pt>
                <c:pt idx="84">
                  <c:v>45849</c:v>
                </c:pt>
                <c:pt idx="85">
                  <c:v>45848</c:v>
                </c:pt>
                <c:pt idx="86">
                  <c:v>45847</c:v>
                </c:pt>
                <c:pt idx="87">
                  <c:v>45846</c:v>
                </c:pt>
                <c:pt idx="88">
                  <c:v>45845</c:v>
                </c:pt>
                <c:pt idx="89">
                  <c:v>45844</c:v>
                </c:pt>
                <c:pt idx="90">
                  <c:v>45843</c:v>
                </c:pt>
                <c:pt idx="91">
                  <c:v>45842</c:v>
                </c:pt>
                <c:pt idx="92">
                  <c:v>45841</c:v>
                </c:pt>
                <c:pt idx="93">
                  <c:v>45840</c:v>
                </c:pt>
                <c:pt idx="94">
                  <c:v>45839</c:v>
                </c:pt>
                <c:pt idx="95">
                  <c:v>45838</c:v>
                </c:pt>
                <c:pt idx="96">
                  <c:v>45837</c:v>
                </c:pt>
                <c:pt idx="97">
                  <c:v>45836</c:v>
                </c:pt>
                <c:pt idx="98">
                  <c:v>45835</c:v>
                </c:pt>
                <c:pt idx="99">
                  <c:v>45834</c:v>
                </c:pt>
                <c:pt idx="100">
                  <c:v>45833</c:v>
                </c:pt>
                <c:pt idx="101">
                  <c:v>45832</c:v>
                </c:pt>
                <c:pt idx="102">
                  <c:v>45831</c:v>
                </c:pt>
                <c:pt idx="103">
                  <c:v>45830</c:v>
                </c:pt>
                <c:pt idx="104">
                  <c:v>45829</c:v>
                </c:pt>
                <c:pt idx="105">
                  <c:v>45828</c:v>
                </c:pt>
                <c:pt idx="106">
                  <c:v>45827</c:v>
                </c:pt>
                <c:pt idx="107">
                  <c:v>45826</c:v>
                </c:pt>
                <c:pt idx="108">
                  <c:v>45825</c:v>
                </c:pt>
                <c:pt idx="109">
                  <c:v>45824</c:v>
                </c:pt>
                <c:pt idx="110">
                  <c:v>45823</c:v>
                </c:pt>
                <c:pt idx="111">
                  <c:v>45822</c:v>
                </c:pt>
                <c:pt idx="112">
                  <c:v>45821</c:v>
                </c:pt>
                <c:pt idx="113">
                  <c:v>45820</c:v>
                </c:pt>
                <c:pt idx="114">
                  <c:v>45819</c:v>
                </c:pt>
                <c:pt idx="115">
                  <c:v>45818</c:v>
                </c:pt>
                <c:pt idx="116">
                  <c:v>45817</c:v>
                </c:pt>
                <c:pt idx="117">
                  <c:v>45816</c:v>
                </c:pt>
                <c:pt idx="118">
                  <c:v>45815</c:v>
                </c:pt>
                <c:pt idx="119">
                  <c:v>45814</c:v>
                </c:pt>
                <c:pt idx="120">
                  <c:v>45813</c:v>
                </c:pt>
                <c:pt idx="121">
                  <c:v>45812</c:v>
                </c:pt>
                <c:pt idx="122">
                  <c:v>45811</c:v>
                </c:pt>
                <c:pt idx="123">
                  <c:v>45810</c:v>
                </c:pt>
                <c:pt idx="124">
                  <c:v>45809</c:v>
                </c:pt>
                <c:pt idx="125">
                  <c:v>45808</c:v>
                </c:pt>
                <c:pt idx="126">
                  <c:v>45807</c:v>
                </c:pt>
                <c:pt idx="127">
                  <c:v>45806</c:v>
                </c:pt>
                <c:pt idx="128">
                  <c:v>45805</c:v>
                </c:pt>
                <c:pt idx="129">
                  <c:v>45804</c:v>
                </c:pt>
                <c:pt idx="130">
                  <c:v>45803</c:v>
                </c:pt>
                <c:pt idx="131">
                  <c:v>45802</c:v>
                </c:pt>
                <c:pt idx="132">
                  <c:v>45801</c:v>
                </c:pt>
                <c:pt idx="133">
                  <c:v>45800</c:v>
                </c:pt>
                <c:pt idx="134">
                  <c:v>45799</c:v>
                </c:pt>
                <c:pt idx="135">
                  <c:v>45798</c:v>
                </c:pt>
                <c:pt idx="136">
                  <c:v>45797</c:v>
                </c:pt>
                <c:pt idx="137">
                  <c:v>45796</c:v>
                </c:pt>
                <c:pt idx="138">
                  <c:v>45795</c:v>
                </c:pt>
                <c:pt idx="139">
                  <c:v>45794</c:v>
                </c:pt>
                <c:pt idx="140">
                  <c:v>45793</c:v>
                </c:pt>
                <c:pt idx="141">
                  <c:v>45792</c:v>
                </c:pt>
                <c:pt idx="142">
                  <c:v>45791</c:v>
                </c:pt>
                <c:pt idx="143">
                  <c:v>45790</c:v>
                </c:pt>
                <c:pt idx="144">
                  <c:v>45789</c:v>
                </c:pt>
                <c:pt idx="145">
                  <c:v>45788</c:v>
                </c:pt>
                <c:pt idx="146">
                  <c:v>45787</c:v>
                </c:pt>
                <c:pt idx="147">
                  <c:v>45786</c:v>
                </c:pt>
                <c:pt idx="148">
                  <c:v>45785</c:v>
                </c:pt>
                <c:pt idx="149">
                  <c:v>45784</c:v>
                </c:pt>
                <c:pt idx="150">
                  <c:v>45783</c:v>
                </c:pt>
                <c:pt idx="151">
                  <c:v>45782</c:v>
                </c:pt>
                <c:pt idx="152">
                  <c:v>45781</c:v>
                </c:pt>
                <c:pt idx="153">
                  <c:v>45780</c:v>
                </c:pt>
                <c:pt idx="154">
                  <c:v>45779</c:v>
                </c:pt>
                <c:pt idx="155">
                  <c:v>45778</c:v>
                </c:pt>
                <c:pt idx="156">
                  <c:v>45777</c:v>
                </c:pt>
                <c:pt idx="157">
                  <c:v>45776</c:v>
                </c:pt>
                <c:pt idx="158">
                  <c:v>45775</c:v>
                </c:pt>
                <c:pt idx="159">
                  <c:v>45774</c:v>
                </c:pt>
                <c:pt idx="160">
                  <c:v>45773</c:v>
                </c:pt>
                <c:pt idx="161">
                  <c:v>45772</c:v>
                </c:pt>
                <c:pt idx="162">
                  <c:v>45771</c:v>
                </c:pt>
                <c:pt idx="163">
                  <c:v>45770</c:v>
                </c:pt>
                <c:pt idx="164">
                  <c:v>45769</c:v>
                </c:pt>
                <c:pt idx="165">
                  <c:v>45768</c:v>
                </c:pt>
                <c:pt idx="166">
                  <c:v>45767</c:v>
                </c:pt>
                <c:pt idx="167">
                  <c:v>45766</c:v>
                </c:pt>
                <c:pt idx="168">
                  <c:v>45765</c:v>
                </c:pt>
                <c:pt idx="169">
                  <c:v>45764</c:v>
                </c:pt>
                <c:pt idx="170">
                  <c:v>45763</c:v>
                </c:pt>
                <c:pt idx="171">
                  <c:v>45762</c:v>
                </c:pt>
                <c:pt idx="172">
                  <c:v>45761</c:v>
                </c:pt>
                <c:pt idx="173">
                  <c:v>45760</c:v>
                </c:pt>
                <c:pt idx="174">
                  <c:v>45759</c:v>
                </c:pt>
                <c:pt idx="175">
                  <c:v>45758</c:v>
                </c:pt>
                <c:pt idx="176">
                  <c:v>45757</c:v>
                </c:pt>
                <c:pt idx="177">
                  <c:v>45756</c:v>
                </c:pt>
                <c:pt idx="178">
                  <c:v>45755</c:v>
                </c:pt>
                <c:pt idx="179">
                  <c:v>45754</c:v>
                </c:pt>
                <c:pt idx="180">
                  <c:v>45753</c:v>
                </c:pt>
                <c:pt idx="181">
                  <c:v>45752</c:v>
                </c:pt>
                <c:pt idx="182">
                  <c:v>45751</c:v>
                </c:pt>
                <c:pt idx="183">
                  <c:v>45750</c:v>
                </c:pt>
                <c:pt idx="184">
                  <c:v>45749</c:v>
                </c:pt>
                <c:pt idx="185">
                  <c:v>45748</c:v>
                </c:pt>
                <c:pt idx="186">
                  <c:v>45747</c:v>
                </c:pt>
                <c:pt idx="187">
                  <c:v>45746</c:v>
                </c:pt>
                <c:pt idx="188">
                  <c:v>45745</c:v>
                </c:pt>
                <c:pt idx="189">
                  <c:v>45744</c:v>
                </c:pt>
                <c:pt idx="190">
                  <c:v>45743</c:v>
                </c:pt>
                <c:pt idx="191">
                  <c:v>45742</c:v>
                </c:pt>
                <c:pt idx="192">
                  <c:v>45741</c:v>
                </c:pt>
                <c:pt idx="193">
                  <c:v>45740</c:v>
                </c:pt>
                <c:pt idx="194">
                  <c:v>45739</c:v>
                </c:pt>
                <c:pt idx="195">
                  <c:v>45738</c:v>
                </c:pt>
                <c:pt idx="196">
                  <c:v>45737</c:v>
                </c:pt>
                <c:pt idx="197">
                  <c:v>45736</c:v>
                </c:pt>
                <c:pt idx="198">
                  <c:v>45735</c:v>
                </c:pt>
                <c:pt idx="199">
                  <c:v>45734</c:v>
                </c:pt>
                <c:pt idx="200">
                  <c:v>45733</c:v>
                </c:pt>
                <c:pt idx="201">
                  <c:v>45732</c:v>
                </c:pt>
                <c:pt idx="202">
                  <c:v>45731</c:v>
                </c:pt>
                <c:pt idx="203">
                  <c:v>45730</c:v>
                </c:pt>
                <c:pt idx="204">
                  <c:v>45729</c:v>
                </c:pt>
                <c:pt idx="205">
                  <c:v>45728</c:v>
                </c:pt>
                <c:pt idx="206">
                  <c:v>45727</c:v>
                </c:pt>
                <c:pt idx="207">
                  <c:v>45726</c:v>
                </c:pt>
                <c:pt idx="208">
                  <c:v>45725</c:v>
                </c:pt>
                <c:pt idx="209">
                  <c:v>45724</c:v>
                </c:pt>
                <c:pt idx="210">
                  <c:v>45723</c:v>
                </c:pt>
                <c:pt idx="211">
                  <c:v>45722</c:v>
                </c:pt>
                <c:pt idx="212">
                  <c:v>45721</c:v>
                </c:pt>
                <c:pt idx="213">
                  <c:v>45720</c:v>
                </c:pt>
                <c:pt idx="214">
                  <c:v>45719</c:v>
                </c:pt>
                <c:pt idx="215">
                  <c:v>45718</c:v>
                </c:pt>
                <c:pt idx="216">
                  <c:v>45717</c:v>
                </c:pt>
                <c:pt idx="217">
                  <c:v>45716</c:v>
                </c:pt>
                <c:pt idx="218">
                  <c:v>45715</c:v>
                </c:pt>
                <c:pt idx="219">
                  <c:v>45714</c:v>
                </c:pt>
                <c:pt idx="220">
                  <c:v>45713</c:v>
                </c:pt>
                <c:pt idx="221">
                  <c:v>45712</c:v>
                </c:pt>
                <c:pt idx="222">
                  <c:v>45711</c:v>
                </c:pt>
                <c:pt idx="223">
                  <c:v>45710</c:v>
                </c:pt>
                <c:pt idx="224">
                  <c:v>45709</c:v>
                </c:pt>
                <c:pt idx="225">
                  <c:v>45708</c:v>
                </c:pt>
                <c:pt idx="226">
                  <c:v>45707</c:v>
                </c:pt>
                <c:pt idx="227">
                  <c:v>45706</c:v>
                </c:pt>
                <c:pt idx="228">
                  <c:v>45705</c:v>
                </c:pt>
                <c:pt idx="229">
                  <c:v>45704</c:v>
                </c:pt>
                <c:pt idx="230">
                  <c:v>45703</c:v>
                </c:pt>
                <c:pt idx="231">
                  <c:v>45702</c:v>
                </c:pt>
                <c:pt idx="232">
                  <c:v>45701</c:v>
                </c:pt>
                <c:pt idx="233">
                  <c:v>45700</c:v>
                </c:pt>
                <c:pt idx="234">
                  <c:v>45699</c:v>
                </c:pt>
                <c:pt idx="235">
                  <c:v>45698</c:v>
                </c:pt>
                <c:pt idx="236">
                  <c:v>45697</c:v>
                </c:pt>
                <c:pt idx="237">
                  <c:v>45696</c:v>
                </c:pt>
                <c:pt idx="238">
                  <c:v>45695</c:v>
                </c:pt>
                <c:pt idx="239">
                  <c:v>45694</c:v>
                </c:pt>
                <c:pt idx="240">
                  <c:v>45693</c:v>
                </c:pt>
                <c:pt idx="241">
                  <c:v>45692</c:v>
                </c:pt>
                <c:pt idx="242">
                  <c:v>45691</c:v>
                </c:pt>
                <c:pt idx="243">
                  <c:v>45690</c:v>
                </c:pt>
                <c:pt idx="244">
                  <c:v>45689</c:v>
                </c:pt>
                <c:pt idx="245">
                  <c:v>45688</c:v>
                </c:pt>
                <c:pt idx="246">
                  <c:v>45687</c:v>
                </c:pt>
                <c:pt idx="247">
                  <c:v>45686</c:v>
                </c:pt>
                <c:pt idx="248">
                  <c:v>45685</c:v>
                </c:pt>
                <c:pt idx="249">
                  <c:v>45684</c:v>
                </c:pt>
                <c:pt idx="250">
                  <c:v>45683</c:v>
                </c:pt>
                <c:pt idx="251">
                  <c:v>45682</c:v>
                </c:pt>
                <c:pt idx="252">
                  <c:v>45681</c:v>
                </c:pt>
                <c:pt idx="253">
                  <c:v>45680</c:v>
                </c:pt>
                <c:pt idx="254">
                  <c:v>45679</c:v>
                </c:pt>
                <c:pt idx="255">
                  <c:v>45678</c:v>
                </c:pt>
                <c:pt idx="256">
                  <c:v>45677</c:v>
                </c:pt>
                <c:pt idx="257">
                  <c:v>45676</c:v>
                </c:pt>
                <c:pt idx="258">
                  <c:v>45675</c:v>
                </c:pt>
                <c:pt idx="259">
                  <c:v>45674</c:v>
                </c:pt>
                <c:pt idx="260">
                  <c:v>45673</c:v>
                </c:pt>
                <c:pt idx="261">
                  <c:v>45672</c:v>
                </c:pt>
                <c:pt idx="262">
                  <c:v>45671</c:v>
                </c:pt>
                <c:pt idx="263">
                  <c:v>45670</c:v>
                </c:pt>
                <c:pt idx="264">
                  <c:v>45669</c:v>
                </c:pt>
                <c:pt idx="265">
                  <c:v>45668</c:v>
                </c:pt>
                <c:pt idx="266">
                  <c:v>45667</c:v>
                </c:pt>
                <c:pt idx="267">
                  <c:v>45666</c:v>
                </c:pt>
                <c:pt idx="268">
                  <c:v>45665</c:v>
                </c:pt>
                <c:pt idx="269">
                  <c:v>45664</c:v>
                </c:pt>
                <c:pt idx="270">
                  <c:v>45663</c:v>
                </c:pt>
                <c:pt idx="271">
                  <c:v>45662</c:v>
                </c:pt>
                <c:pt idx="272">
                  <c:v>45661</c:v>
                </c:pt>
                <c:pt idx="273">
                  <c:v>45660</c:v>
                </c:pt>
                <c:pt idx="274">
                  <c:v>45659</c:v>
                </c:pt>
                <c:pt idx="275">
                  <c:v>45658</c:v>
                </c:pt>
                <c:pt idx="276">
                  <c:v>45657</c:v>
                </c:pt>
                <c:pt idx="277">
                  <c:v>45656</c:v>
                </c:pt>
                <c:pt idx="278">
                  <c:v>45655</c:v>
                </c:pt>
                <c:pt idx="279">
                  <c:v>45654</c:v>
                </c:pt>
                <c:pt idx="280">
                  <c:v>45653</c:v>
                </c:pt>
                <c:pt idx="281">
                  <c:v>45652</c:v>
                </c:pt>
                <c:pt idx="282">
                  <c:v>45651</c:v>
                </c:pt>
                <c:pt idx="283">
                  <c:v>45650</c:v>
                </c:pt>
                <c:pt idx="284">
                  <c:v>45649</c:v>
                </c:pt>
                <c:pt idx="285">
                  <c:v>45648</c:v>
                </c:pt>
                <c:pt idx="286">
                  <c:v>45647</c:v>
                </c:pt>
                <c:pt idx="287">
                  <c:v>45646</c:v>
                </c:pt>
                <c:pt idx="288">
                  <c:v>45645</c:v>
                </c:pt>
                <c:pt idx="289">
                  <c:v>45644</c:v>
                </c:pt>
                <c:pt idx="290">
                  <c:v>45643</c:v>
                </c:pt>
                <c:pt idx="291">
                  <c:v>45642</c:v>
                </c:pt>
                <c:pt idx="292">
                  <c:v>45641</c:v>
                </c:pt>
                <c:pt idx="293">
                  <c:v>45640</c:v>
                </c:pt>
                <c:pt idx="294">
                  <c:v>45639</c:v>
                </c:pt>
                <c:pt idx="295">
                  <c:v>45638</c:v>
                </c:pt>
                <c:pt idx="296">
                  <c:v>45637</c:v>
                </c:pt>
                <c:pt idx="297">
                  <c:v>45636</c:v>
                </c:pt>
                <c:pt idx="298">
                  <c:v>45635</c:v>
                </c:pt>
                <c:pt idx="299">
                  <c:v>45634</c:v>
                </c:pt>
                <c:pt idx="300">
                  <c:v>45633</c:v>
                </c:pt>
                <c:pt idx="301">
                  <c:v>45632</c:v>
                </c:pt>
                <c:pt idx="302">
                  <c:v>45631</c:v>
                </c:pt>
                <c:pt idx="303">
                  <c:v>45630</c:v>
                </c:pt>
                <c:pt idx="304">
                  <c:v>45629</c:v>
                </c:pt>
                <c:pt idx="305">
                  <c:v>45628</c:v>
                </c:pt>
                <c:pt idx="306">
                  <c:v>45627</c:v>
                </c:pt>
                <c:pt idx="307">
                  <c:v>45626</c:v>
                </c:pt>
                <c:pt idx="308">
                  <c:v>45625</c:v>
                </c:pt>
                <c:pt idx="309">
                  <c:v>45624</c:v>
                </c:pt>
                <c:pt idx="310">
                  <c:v>45623</c:v>
                </c:pt>
                <c:pt idx="311">
                  <c:v>45622</c:v>
                </c:pt>
                <c:pt idx="312">
                  <c:v>45621</c:v>
                </c:pt>
                <c:pt idx="313">
                  <c:v>45620</c:v>
                </c:pt>
                <c:pt idx="314">
                  <c:v>45619</c:v>
                </c:pt>
                <c:pt idx="315">
                  <c:v>45618</c:v>
                </c:pt>
                <c:pt idx="316">
                  <c:v>45617</c:v>
                </c:pt>
                <c:pt idx="317">
                  <c:v>45616</c:v>
                </c:pt>
                <c:pt idx="318">
                  <c:v>45615</c:v>
                </c:pt>
                <c:pt idx="319">
                  <c:v>45614</c:v>
                </c:pt>
                <c:pt idx="320">
                  <c:v>45613</c:v>
                </c:pt>
                <c:pt idx="321">
                  <c:v>45612</c:v>
                </c:pt>
                <c:pt idx="322">
                  <c:v>45611</c:v>
                </c:pt>
                <c:pt idx="323">
                  <c:v>45610</c:v>
                </c:pt>
                <c:pt idx="324">
                  <c:v>45609</c:v>
                </c:pt>
                <c:pt idx="325">
                  <c:v>45608</c:v>
                </c:pt>
                <c:pt idx="326">
                  <c:v>45607</c:v>
                </c:pt>
                <c:pt idx="327">
                  <c:v>45606</c:v>
                </c:pt>
                <c:pt idx="328">
                  <c:v>45605</c:v>
                </c:pt>
                <c:pt idx="329">
                  <c:v>45604</c:v>
                </c:pt>
                <c:pt idx="330">
                  <c:v>45603</c:v>
                </c:pt>
                <c:pt idx="331">
                  <c:v>45602</c:v>
                </c:pt>
                <c:pt idx="332">
                  <c:v>45601</c:v>
                </c:pt>
                <c:pt idx="333">
                  <c:v>45600</c:v>
                </c:pt>
                <c:pt idx="334">
                  <c:v>45599</c:v>
                </c:pt>
                <c:pt idx="335">
                  <c:v>45598</c:v>
                </c:pt>
                <c:pt idx="336">
                  <c:v>45597</c:v>
                </c:pt>
                <c:pt idx="337">
                  <c:v>45596</c:v>
                </c:pt>
                <c:pt idx="338">
                  <c:v>45595</c:v>
                </c:pt>
                <c:pt idx="339">
                  <c:v>45594</c:v>
                </c:pt>
                <c:pt idx="340">
                  <c:v>45593</c:v>
                </c:pt>
                <c:pt idx="341">
                  <c:v>45592</c:v>
                </c:pt>
                <c:pt idx="342">
                  <c:v>45591</c:v>
                </c:pt>
                <c:pt idx="343">
                  <c:v>45590</c:v>
                </c:pt>
                <c:pt idx="344">
                  <c:v>45589</c:v>
                </c:pt>
                <c:pt idx="345">
                  <c:v>45588</c:v>
                </c:pt>
                <c:pt idx="346">
                  <c:v>45587</c:v>
                </c:pt>
                <c:pt idx="347">
                  <c:v>45586</c:v>
                </c:pt>
                <c:pt idx="348">
                  <c:v>45585</c:v>
                </c:pt>
                <c:pt idx="349">
                  <c:v>45584</c:v>
                </c:pt>
                <c:pt idx="350">
                  <c:v>45583</c:v>
                </c:pt>
                <c:pt idx="351">
                  <c:v>45582</c:v>
                </c:pt>
                <c:pt idx="352">
                  <c:v>45581</c:v>
                </c:pt>
                <c:pt idx="353">
                  <c:v>45580</c:v>
                </c:pt>
                <c:pt idx="354">
                  <c:v>45579</c:v>
                </c:pt>
                <c:pt idx="355">
                  <c:v>45578</c:v>
                </c:pt>
                <c:pt idx="356">
                  <c:v>45577</c:v>
                </c:pt>
                <c:pt idx="357">
                  <c:v>45576</c:v>
                </c:pt>
                <c:pt idx="358">
                  <c:v>45575</c:v>
                </c:pt>
                <c:pt idx="359">
                  <c:v>45574</c:v>
                </c:pt>
                <c:pt idx="360">
                  <c:v>45573</c:v>
                </c:pt>
                <c:pt idx="361">
                  <c:v>45572</c:v>
                </c:pt>
                <c:pt idx="362">
                  <c:v>45571</c:v>
                </c:pt>
                <c:pt idx="363">
                  <c:v>45570</c:v>
                </c:pt>
                <c:pt idx="364">
                  <c:v>45569</c:v>
                </c:pt>
                <c:pt idx="365">
                  <c:v>45568</c:v>
                </c:pt>
                <c:pt idx="366">
                  <c:v>45567</c:v>
                </c:pt>
                <c:pt idx="367">
                  <c:v>45566</c:v>
                </c:pt>
                <c:pt idx="368">
                  <c:v>45565</c:v>
                </c:pt>
                <c:pt idx="369">
                  <c:v>45564</c:v>
                </c:pt>
                <c:pt idx="370">
                  <c:v>45563</c:v>
                </c:pt>
                <c:pt idx="371">
                  <c:v>45562</c:v>
                </c:pt>
                <c:pt idx="372">
                  <c:v>45561</c:v>
                </c:pt>
                <c:pt idx="373">
                  <c:v>45560</c:v>
                </c:pt>
                <c:pt idx="374">
                  <c:v>45559</c:v>
                </c:pt>
                <c:pt idx="375">
                  <c:v>45558</c:v>
                </c:pt>
                <c:pt idx="376">
                  <c:v>45557</c:v>
                </c:pt>
                <c:pt idx="377">
                  <c:v>45556</c:v>
                </c:pt>
                <c:pt idx="378">
                  <c:v>45555</c:v>
                </c:pt>
                <c:pt idx="379">
                  <c:v>45554</c:v>
                </c:pt>
                <c:pt idx="380">
                  <c:v>45553</c:v>
                </c:pt>
                <c:pt idx="381">
                  <c:v>45552</c:v>
                </c:pt>
                <c:pt idx="382">
                  <c:v>45551</c:v>
                </c:pt>
                <c:pt idx="383">
                  <c:v>45550</c:v>
                </c:pt>
                <c:pt idx="384">
                  <c:v>45549</c:v>
                </c:pt>
                <c:pt idx="385">
                  <c:v>45548</c:v>
                </c:pt>
                <c:pt idx="386">
                  <c:v>45547</c:v>
                </c:pt>
                <c:pt idx="387">
                  <c:v>45546</c:v>
                </c:pt>
                <c:pt idx="388">
                  <c:v>45545</c:v>
                </c:pt>
                <c:pt idx="389">
                  <c:v>45544</c:v>
                </c:pt>
                <c:pt idx="390">
                  <c:v>45543</c:v>
                </c:pt>
                <c:pt idx="391">
                  <c:v>45542</c:v>
                </c:pt>
                <c:pt idx="392">
                  <c:v>45541</c:v>
                </c:pt>
                <c:pt idx="393">
                  <c:v>45540</c:v>
                </c:pt>
                <c:pt idx="394">
                  <c:v>45539</c:v>
                </c:pt>
                <c:pt idx="395">
                  <c:v>45538</c:v>
                </c:pt>
                <c:pt idx="396">
                  <c:v>45537</c:v>
                </c:pt>
                <c:pt idx="397">
                  <c:v>45536</c:v>
                </c:pt>
                <c:pt idx="398">
                  <c:v>45535</c:v>
                </c:pt>
                <c:pt idx="399">
                  <c:v>45534</c:v>
                </c:pt>
                <c:pt idx="400">
                  <c:v>45533</c:v>
                </c:pt>
                <c:pt idx="401">
                  <c:v>45532</c:v>
                </c:pt>
                <c:pt idx="402">
                  <c:v>45531</c:v>
                </c:pt>
                <c:pt idx="403">
                  <c:v>45530</c:v>
                </c:pt>
                <c:pt idx="404">
                  <c:v>45529</c:v>
                </c:pt>
                <c:pt idx="405">
                  <c:v>45528</c:v>
                </c:pt>
                <c:pt idx="406">
                  <c:v>45527</c:v>
                </c:pt>
                <c:pt idx="407">
                  <c:v>45526</c:v>
                </c:pt>
                <c:pt idx="408">
                  <c:v>45525</c:v>
                </c:pt>
                <c:pt idx="409">
                  <c:v>45524</c:v>
                </c:pt>
                <c:pt idx="410">
                  <c:v>45523</c:v>
                </c:pt>
                <c:pt idx="411">
                  <c:v>45522</c:v>
                </c:pt>
                <c:pt idx="412">
                  <c:v>45521</c:v>
                </c:pt>
                <c:pt idx="413">
                  <c:v>45520</c:v>
                </c:pt>
                <c:pt idx="414">
                  <c:v>45519</c:v>
                </c:pt>
                <c:pt idx="415">
                  <c:v>45518</c:v>
                </c:pt>
                <c:pt idx="416">
                  <c:v>45517</c:v>
                </c:pt>
                <c:pt idx="417">
                  <c:v>45516</c:v>
                </c:pt>
                <c:pt idx="418">
                  <c:v>45515</c:v>
                </c:pt>
                <c:pt idx="419">
                  <c:v>45514</c:v>
                </c:pt>
                <c:pt idx="420">
                  <c:v>45513</c:v>
                </c:pt>
                <c:pt idx="421">
                  <c:v>45512</c:v>
                </c:pt>
                <c:pt idx="422">
                  <c:v>45511</c:v>
                </c:pt>
                <c:pt idx="423">
                  <c:v>45510</c:v>
                </c:pt>
                <c:pt idx="424">
                  <c:v>45509</c:v>
                </c:pt>
                <c:pt idx="425">
                  <c:v>45508</c:v>
                </c:pt>
                <c:pt idx="426">
                  <c:v>45507</c:v>
                </c:pt>
                <c:pt idx="427">
                  <c:v>45506</c:v>
                </c:pt>
                <c:pt idx="428">
                  <c:v>45505</c:v>
                </c:pt>
                <c:pt idx="429">
                  <c:v>45504</c:v>
                </c:pt>
                <c:pt idx="430">
                  <c:v>45503</c:v>
                </c:pt>
                <c:pt idx="431">
                  <c:v>45502</c:v>
                </c:pt>
                <c:pt idx="432">
                  <c:v>45501</c:v>
                </c:pt>
                <c:pt idx="433">
                  <c:v>45500</c:v>
                </c:pt>
                <c:pt idx="434">
                  <c:v>45499</c:v>
                </c:pt>
                <c:pt idx="435">
                  <c:v>45498</c:v>
                </c:pt>
                <c:pt idx="436">
                  <c:v>45497</c:v>
                </c:pt>
                <c:pt idx="437">
                  <c:v>45496</c:v>
                </c:pt>
                <c:pt idx="438">
                  <c:v>45495</c:v>
                </c:pt>
                <c:pt idx="439">
                  <c:v>45494</c:v>
                </c:pt>
                <c:pt idx="440">
                  <c:v>45493</c:v>
                </c:pt>
                <c:pt idx="441">
                  <c:v>45492</c:v>
                </c:pt>
                <c:pt idx="442">
                  <c:v>45491</c:v>
                </c:pt>
                <c:pt idx="443">
                  <c:v>45490</c:v>
                </c:pt>
                <c:pt idx="444">
                  <c:v>45489</c:v>
                </c:pt>
                <c:pt idx="445">
                  <c:v>45488</c:v>
                </c:pt>
                <c:pt idx="446">
                  <c:v>45487</c:v>
                </c:pt>
                <c:pt idx="447">
                  <c:v>45486</c:v>
                </c:pt>
                <c:pt idx="448">
                  <c:v>45485</c:v>
                </c:pt>
                <c:pt idx="449">
                  <c:v>45484</c:v>
                </c:pt>
                <c:pt idx="450">
                  <c:v>45483</c:v>
                </c:pt>
                <c:pt idx="451">
                  <c:v>45482</c:v>
                </c:pt>
                <c:pt idx="452">
                  <c:v>45481</c:v>
                </c:pt>
                <c:pt idx="453">
                  <c:v>45480</c:v>
                </c:pt>
                <c:pt idx="454">
                  <c:v>45479</c:v>
                </c:pt>
                <c:pt idx="455">
                  <c:v>45478</c:v>
                </c:pt>
                <c:pt idx="456">
                  <c:v>45477</c:v>
                </c:pt>
                <c:pt idx="457">
                  <c:v>45476</c:v>
                </c:pt>
                <c:pt idx="458">
                  <c:v>45475</c:v>
                </c:pt>
                <c:pt idx="459">
                  <c:v>45474</c:v>
                </c:pt>
                <c:pt idx="460">
                  <c:v>45473</c:v>
                </c:pt>
                <c:pt idx="461">
                  <c:v>45472</c:v>
                </c:pt>
                <c:pt idx="462">
                  <c:v>45471</c:v>
                </c:pt>
                <c:pt idx="463">
                  <c:v>45470</c:v>
                </c:pt>
                <c:pt idx="464">
                  <c:v>45469</c:v>
                </c:pt>
                <c:pt idx="465">
                  <c:v>45468</c:v>
                </c:pt>
                <c:pt idx="466">
                  <c:v>45467</c:v>
                </c:pt>
                <c:pt idx="467">
                  <c:v>45466</c:v>
                </c:pt>
                <c:pt idx="468">
                  <c:v>45465</c:v>
                </c:pt>
                <c:pt idx="469">
                  <c:v>45464</c:v>
                </c:pt>
                <c:pt idx="470">
                  <c:v>45463</c:v>
                </c:pt>
                <c:pt idx="471">
                  <c:v>45462</c:v>
                </c:pt>
                <c:pt idx="472">
                  <c:v>45461</c:v>
                </c:pt>
                <c:pt idx="473">
                  <c:v>45460</c:v>
                </c:pt>
                <c:pt idx="474">
                  <c:v>45459</c:v>
                </c:pt>
                <c:pt idx="475">
                  <c:v>45458</c:v>
                </c:pt>
                <c:pt idx="476">
                  <c:v>45457</c:v>
                </c:pt>
                <c:pt idx="477">
                  <c:v>45456</c:v>
                </c:pt>
                <c:pt idx="478">
                  <c:v>45455</c:v>
                </c:pt>
                <c:pt idx="479">
                  <c:v>45454</c:v>
                </c:pt>
                <c:pt idx="480">
                  <c:v>45453</c:v>
                </c:pt>
                <c:pt idx="481">
                  <c:v>45452</c:v>
                </c:pt>
                <c:pt idx="482">
                  <c:v>45451</c:v>
                </c:pt>
                <c:pt idx="483">
                  <c:v>45450</c:v>
                </c:pt>
                <c:pt idx="484">
                  <c:v>45449</c:v>
                </c:pt>
                <c:pt idx="485">
                  <c:v>45448</c:v>
                </c:pt>
                <c:pt idx="486">
                  <c:v>45447</c:v>
                </c:pt>
                <c:pt idx="487">
                  <c:v>45446</c:v>
                </c:pt>
                <c:pt idx="488">
                  <c:v>45445</c:v>
                </c:pt>
                <c:pt idx="489">
                  <c:v>45444</c:v>
                </c:pt>
                <c:pt idx="490">
                  <c:v>45443</c:v>
                </c:pt>
                <c:pt idx="491">
                  <c:v>45442</c:v>
                </c:pt>
                <c:pt idx="492">
                  <c:v>45441</c:v>
                </c:pt>
                <c:pt idx="493">
                  <c:v>45440</c:v>
                </c:pt>
                <c:pt idx="494">
                  <c:v>45439</c:v>
                </c:pt>
                <c:pt idx="495">
                  <c:v>45438</c:v>
                </c:pt>
                <c:pt idx="496">
                  <c:v>45437</c:v>
                </c:pt>
                <c:pt idx="497">
                  <c:v>45436</c:v>
                </c:pt>
                <c:pt idx="498">
                  <c:v>45435</c:v>
                </c:pt>
                <c:pt idx="499">
                  <c:v>45434</c:v>
                </c:pt>
                <c:pt idx="500">
                  <c:v>45433</c:v>
                </c:pt>
                <c:pt idx="501">
                  <c:v>45432</c:v>
                </c:pt>
                <c:pt idx="502">
                  <c:v>45431</c:v>
                </c:pt>
                <c:pt idx="503">
                  <c:v>45430</c:v>
                </c:pt>
                <c:pt idx="504">
                  <c:v>45429</c:v>
                </c:pt>
                <c:pt idx="505">
                  <c:v>45428</c:v>
                </c:pt>
                <c:pt idx="506">
                  <c:v>45427</c:v>
                </c:pt>
                <c:pt idx="507">
                  <c:v>45426</c:v>
                </c:pt>
                <c:pt idx="508">
                  <c:v>45425</c:v>
                </c:pt>
                <c:pt idx="509">
                  <c:v>45424</c:v>
                </c:pt>
                <c:pt idx="510">
                  <c:v>45423</c:v>
                </c:pt>
                <c:pt idx="511">
                  <c:v>45422</c:v>
                </c:pt>
                <c:pt idx="512">
                  <c:v>45421</c:v>
                </c:pt>
                <c:pt idx="513">
                  <c:v>45420</c:v>
                </c:pt>
                <c:pt idx="514">
                  <c:v>45419</c:v>
                </c:pt>
                <c:pt idx="515">
                  <c:v>45418</c:v>
                </c:pt>
                <c:pt idx="516">
                  <c:v>45417</c:v>
                </c:pt>
                <c:pt idx="517">
                  <c:v>45416</c:v>
                </c:pt>
                <c:pt idx="518">
                  <c:v>45415</c:v>
                </c:pt>
                <c:pt idx="519">
                  <c:v>45414</c:v>
                </c:pt>
                <c:pt idx="520">
                  <c:v>45413</c:v>
                </c:pt>
                <c:pt idx="521">
                  <c:v>45412</c:v>
                </c:pt>
                <c:pt idx="522">
                  <c:v>45411</c:v>
                </c:pt>
                <c:pt idx="523">
                  <c:v>45410</c:v>
                </c:pt>
                <c:pt idx="524">
                  <c:v>45409</c:v>
                </c:pt>
                <c:pt idx="525">
                  <c:v>45408</c:v>
                </c:pt>
                <c:pt idx="526">
                  <c:v>45407</c:v>
                </c:pt>
                <c:pt idx="527">
                  <c:v>45406</c:v>
                </c:pt>
                <c:pt idx="528">
                  <c:v>45405</c:v>
                </c:pt>
                <c:pt idx="529">
                  <c:v>45404</c:v>
                </c:pt>
                <c:pt idx="530">
                  <c:v>45403</c:v>
                </c:pt>
                <c:pt idx="531">
                  <c:v>45402</c:v>
                </c:pt>
                <c:pt idx="532">
                  <c:v>45401</c:v>
                </c:pt>
                <c:pt idx="533">
                  <c:v>45400</c:v>
                </c:pt>
                <c:pt idx="534">
                  <c:v>45399</c:v>
                </c:pt>
                <c:pt idx="535">
                  <c:v>45398</c:v>
                </c:pt>
                <c:pt idx="536">
                  <c:v>45397</c:v>
                </c:pt>
                <c:pt idx="537">
                  <c:v>45396</c:v>
                </c:pt>
                <c:pt idx="538">
                  <c:v>45395</c:v>
                </c:pt>
                <c:pt idx="539">
                  <c:v>45394</c:v>
                </c:pt>
                <c:pt idx="540">
                  <c:v>45393</c:v>
                </c:pt>
                <c:pt idx="541">
                  <c:v>45392</c:v>
                </c:pt>
                <c:pt idx="542">
                  <c:v>45391</c:v>
                </c:pt>
                <c:pt idx="543">
                  <c:v>45390</c:v>
                </c:pt>
                <c:pt idx="544">
                  <c:v>45389</c:v>
                </c:pt>
                <c:pt idx="545">
                  <c:v>45388</c:v>
                </c:pt>
                <c:pt idx="546">
                  <c:v>45387</c:v>
                </c:pt>
                <c:pt idx="547">
                  <c:v>45386</c:v>
                </c:pt>
                <c:pt idx="548">
                  <c:v>45385</c:v>
                </c:pt>
                <c:pt idx="549">
                  <c:v>45384</c:v>
                </c:pt>
                <c:pt idx="550">
                  <c:v>45383</c:v>
                </c:pt>
                <c:pt idx="551">
                  <c:v>45382</c:v>
                </c:pt>
                <c:pt idx="552">
                  <c:v>45381</c:v>
                </c:pt>
                <c:pt idx="553">
                  <c:v>45380</c:v>
                </c:pt>
                <c:pt idx="554">
                  <c:v>45379</c:v>
                </c:pt>
                <c:pt idx="555">
                  <c:v>45378</c:v>
                </c:pt>
                <c:pt idx="556">
                  <c:v>45377</c:v>
                </c:pt>
                <c:pt idx="557">
                  <c:v>45376</c:v>
                </c:pt>
                <c:pt idx="558">
                  <c:v>45375</c:v>
                </c:pt>
                <c:pt idx="559">
                  <c:v>45374</c:v>
                </c:pt>
                <c:pt idx="560">
                  <c:v>45373</c:v>
                </c:pt>
                <c:pt idx="561">
                  <c:v>45372</c:v>
                </c:pt>
                <c:pt idx="562">
                  <c:v>45371</c:v>
                </c:pt>
                <c:pt idx="563">
                  <c:v>45370</c:v>
                </c:pt>
                <c:pt idx="564">
                  <c:v>45369</c:v>
                </c:pt>
                <c:pt idx="565">
                  <c:v>45368</c:v>
                </c:pt>
                <c:pt idx="566">
                  <c:v>45367</c:v>
                </c:pt>
                <c:pt idx="567">
                  <c:v>45366</c:v>
                </c:pt>
                <c:pt idx="568">
                  <c:v>45365</c:v>
                </c:pt>
                <c:pt idx="569">
                  <c:v>45364</c:v>
                </c:pt>
                <c:pt idx="570">
                  <c:v>45363</c:v>
                </c:pt>
                <c:pt idx="571">
                  <c:v>45362</c:v>
                </c:pt>
                <c:pt idx="572">
                  <c:v>45361</c:v>
                </c:pt>
                <c:pt idx="573">
                  <c:v>45360</c:v>
                </c:pt>
                <c:pt idx="574">
                  <c:v>45359</c:v>
                </c:pt>
                <c:pt idx="575">
                  <c:v>45358</c:v>
                </c:pt>
                <c:pt idx="576">
                  <c:v>45357</c:v>
                </c:pt>
                <c:pt idx="577">
                  <c:v>45356</c:v>
                </c:pt>
                <c:pt idx="578">
                  <c:v>45355</c:v>
                </c:pt>
                <c:pt idx="579">
                  <c:v>45354</c:v>
                </c:pt>
                <c:pt idx="580">
                  <c:v>45353</c:v>
                </c:pt>
                <c:pt idx="581">
                  <c:v>45352</c:v>
                </c:pt>
                <c:pt idx="582">
                  <c:v>45351</c:v>
                </c:pt>
                <c:pt idx="583">
                  <c:v>45350</c:v>
                </c:pt>
                <c:pt idx="584">
                  <c:v>45349</c:v>
                </c:pt>
                <c:pt idx="585">
                  <c:v>45348</c:v>
                </c:pt>
                <c:pt idx="586">
                  <c:v>45347</c:v>
                </c:pt>
                <c:pt idx="587">
                  <c:v>45346</c:v>
                </c:pt>
                <c:pt idx="588">
                  <c:v>45345</c:v>
                </c:pt>
                <c:pt idx="589">
                  <c:v>45344</c:v>
                </c:pt>
                <c:pt idx="590">
                  <c:v>45343</c:v>
                </c:pt>
                <c:pt idx="591">
                  <c:v>45342</c:v>
                </c:pt>
                <c:pt idx="592">
                  <c:v>45341</c:v>
                </c:pt>
                <c:pt idx="593">
                  <c:v>45340</c:v>
                </c:pt>
                <c:pt idx="594">
                  <c:v>45339</c:v>
                </c:pt>
                <c:pt idx="595">
                  <c:v>45338</c:v>
                </c:pt>
                <c:pt idx="596">
                  <c:v>45337</c:v>
                </c:pt>
                <c:pt idx="597">
                  <c:v>45336</c:v>
                </c:pt>
                <c:pt idx="598">
                  <c:v>45335</c:v>
                </c:pt>
                <c:pt idx="599">
                  <c:v>45334</c:v>
                </c:pt>
                <c:pt idx="600">
                  <c:v>45333</c:v>
                </c:pt>
                <c:pt idx="601">
                  <c:v>45332</c:v>
                </c:pt>
                <c:pt idx="602">
                  <c:v>45331</c:v>
                </c:pt>
                <c:pt idx="603">
                  <c:v>45330</c:v>
                </c:pt>
                <c:pt idx="604">
                  <c:v>45329</c:v>
                </c:pt>
                <c:pt idx="605">
                  <c:v>45328</c:v>
                </c:pt>
                <c:pt idx="606">
                  <c:v>45327</c:v>
                </c:pt>
                <c:pt idx="607">
                  <c:v>45326</c:v>
                </c:pt>
                <c:pt idx="608">
                  <c:v>45325</c:v>
                </c:pt>
                <c:pt idx="609">
                  <c:v>45324</c:v>
                </c:pt>
                <c:pt idx="610">
                  <c:v>45323</c:v>
                </c:pt>
                <c:pt idx="611">
                  <c:v>45322</c:v>
                </c:pt>
                <c:pt idx="612">
                  <c:v>45321</c:v>
                </c:pt>
                <c:pt idx="613">
                  <c:v>45320</c:v>
                </c:pt>
                <c:pt idx="614">
                  <c:v>45319</c:v>
                </c:pt>
                <c:pt idx="615">
                  <c:v>45318</c:v>
                </c:pt>
                <c:pt idx="616">
                  <c:v>45317</c:v>
                </c:pt>
                <c:pt idx="617">
                  <c:v>45316</c:v>
                </c:pt>
                <c:pt idx="618">
                  <c:v>45315</c:v>
                </c:pt>
                <c:pt idx="619">
                  <c:v>45314</c:v>
                </c:pt>
                <c:pt idx="620">
                  <c:v>45313</c:v>
                </c:pt>
                <c:pt idx="621">
                  <c:v>45312</c:v>
                </c:pt>
                <c:pt idx="622">
                  <c:v>45311</c:v>
                </c:pt>
                <c:pt idx="623">
                  <c:v>45310</c:v>
                </c:pt>
                <c:pt idx="624">
                  <c:v>45309</c:v>
                </c:pt>
                <c:pt idx="625">
                  <c:v>45308</c:v>
                </c:pt>
                <c:pt idx="626">
                  <c:v>45307</c:v>
                </c:pt>
                <c:pt idx="627">
                  <c:v>45306</c:v>
                </c:pt>
                <c:pt idx="628">
                  <c:v>45305</c:v>
                </c:pt>
                <c:pt idx="629">
                  <c:v>45304</c:v>
                </c:pt>
                <c:pt idx="630">
                  <c:v>45303</c:v>
                </c:pt>
                <c:pt idx="631">
                  <c:v>45302</c:v>
                </c:pt>
                <c:pt idx="632">
                  <c:v>45301</c:v>
                </c:pt>
                <c:pt idx="633">
                  <c:v>45300</c:v>
                </c:pt>
                <c:pt idx="634">
                  <c:v>45299</c:v>
                </c:pt>
                <c:pt idx="635">
                  <c:v>45298</c:v>
                </c:pt>
                <c:pt idx="636">
                  <c:v>45297</c:v>
                </c:pt>
                <c:pt idx="637">
                  <c:v>45296</c:v>
                </c:pt>
                <c:pt idx="638">
                  <c:v>45295</c:v>
                </c:pt>
                <c:pt idx="639">
                  <c:v>45294</c:v>
                </c:pt>
                <c:pt idx="640">
                  <c:v>45293</c:v>
                </c:pt>
                <c:pt idx="641">
                  <c:v>45292</c:v>
                </c:pt>
                <c:pt idx="642">
                  <c:v>45291</c:v>
                </c:pt>
                <c:pt idx="643">
                  <c:v>45290</c:v>
                </c:pt>
                <c:pt idx="644">
                  <c:v>45289</c:v>
                </c:pt>
                <c:pt idx="645">
                  <c:v>45288</c:v>
                </c:pt>
                <c:pt idx="646">
                  <c:v>45287</c:v>
                </c:pt>
                <c:pt idx="647">
                  <c:v>45286</c:v>
                </c:pt>
                <c:pt idx="648">
                  <c:v>45285</c:v>
                </c:pt>
                <c:pt idx="649">
                  <c:v>45284</c:v>
                </c:pt>
                <c:pt idx="650">
                  <c:v>45283</c:v>
                </c:pt>
                <c:pt idx="651">
                  <c:v>45282</c:v>
                </c:pt>
                <c:pt idx="652">
                  <c:v>45281</c:v>
                </c:pt>
                <c:pt idx="653">
                  <c:v>45280</c:v>
                </c:pt>
                <c:pt idx="654">
                  <c:v>45279</c:v>
                </c:pt>
                <c:pt idx="655">
                  <c:v>45278</c:v>
                </c:pt>
                <c:pt idx="656">
                  <c:v>45277</c:v>
                </c:pt>
                <c:pt idx="657">
                  <c:v>45276</c:v>
                </c:pt>
                <c:pt idx="658">
                  <c:v>45275</c:v>
                </c:pt>
                <c:pt idx="659">
                  <c:v>45274</c:v>
                </c:pt>
                <c:pt idx="660">
                  <c:v>45273</c:v>
                </c:pt>
                <c:pt idx="661">
                  <c:v>45272</c:v>
                </c:pt>
                <c:pt idx="662">
                  <c:v>45271</c:v>
                </c:pt>
                <c:pt idx="663">
                  <c:v>45270</c:v>
                </c:pt>
                <c:pt idx="664">
                  <c:v>45269</c:v>
                </c:pt>
                <c:pt idx="665">
                  <c:v>45268</c:v>
                </c:pt>
                <c:pt idx="666">
                  <c:v>45267</c:v>
                </c:pt>
                <c:pt idx="667">
                  <c:v>45266</c:v>
                </c:pt>
                <c:pt idx="668">
                  <c:v>45265</c:v>
                </c:pt>
                <c:pt idx="669">
                  <c:v>45264</c:v>
                </c:pt>
                <c:pt idx="670">
                  <c:v>45263</c:v>
                </c:pt>
                <c:pt idx="671">
                  <c:v>45262</c:v>
                </c:pt>
                <c:pt idx="672">
                  <c:v>45261</c:v>
                </c:pt>
                <c:pt idx="673">
                  <c:v>45260</c:v>
                </c:pt>
                <c:pt idx="674">
                  <c:v>45259</c:v>
                </c:pt>
                <c:pt idx="675">
                  <c:v>45258</c:v>
                </c:pt>
                <c:pt idx="676">
                  <c:v>45257</c:v>
                </c:pt>
                <c:pt idx="677">
                  <c:v>45256</c:v>
                </c:pt>
                <c:pt idx="678">
                  <c:v>45255</c:v>
                </c:pt>
                <c:pt idx="679">
                  <c:v>45254</c:v>
                </c:pt>
                <c:pt idx="680">
                  <c:v>45253</c:v>
                </c:pt>
                <c:pt idx="681">
                  <c:v>45252</c:v>
                </c:pt>
                <c:pt idx="682">
                  <c:v>45251</c:v>
                </c:pt>
                <c:pt idx="683">
                  <c:v>45250</c:v>
                </c:pt>
                <c:pt idx="684">
                  <c:v>45249</c:v>
                </c:pt>
                <c:pt idx="685">
                  <c:v>45248</c:v>
                </c:pt>
                <c:pt idx="686">
                  <c:v>45247</c:v>
                </c:pt>
                <c:pt idx="687">
                  <c:v>45246</c:v>
                </c:pt>
                <c:pt idx="688">
                  <c:v>45245</c:v>
                </c:pt>
                <c:pt idx="689">
                  <c:v>45244</c:v>
                </c:pt>
                <c:pt idx="690">
                  <c:v>45243</c:v>
                </c:pt>
                <c:pt idx="691">
                  <c:v>45242</c:v>
                </c:pt>
                <c:pt idx="692">
                  <c:v>45241</c:v>
                </c:pt>
                <c:pt idx="693">
                  <c:v>45240</c:v>
                </c:pt>
                <c:pt idx="694">
                  <c:v>45239</c:v>
                </c:pt>
                <c:pt idx="695">
                  <c:v>45238</c:v>
                </c:pt>
                <c:pt idx="696">
                  <c:v>45237</c:v>
                </c:pt>
                <c:pt idx="697">
                  <c:v>45236</c:v>
                </c:pt>
                <c:pt idx="698">
                  <c:v>45235</c:v>
                </c:pt>
                <c:pt idx="699">
                  <c:v>45234</c:v>
                </c:pt>
                <c:pt idx="700">
                  <c:v>45233</c:v>
                </c:pt>
                <c:pt idx="701">
                  <c:v>45232</c:v>
                </c:pt>
                <c:pt idx="702">
                  <c:v>45231</c:v>
                </c:pt>
                <c:pt idx="703">
                  <c:v>45230</c:v>
                </c:pt>
                <c:pt idx="704">
                  <c:v>45229</c:v>
                </c:pt>
                <c:pt idx="705">
                  <c:v>45228</c:v>
                </c:pt>
                <c:pt idx="706">
                  <c:v>45227</c:v>
                </c:pt>
                <c:pt idx="707">
                  <c:v>45226</c:v>
                </c:pt>
                <c:pt idx="708">
                  <c:v>45225</c:v>
                </c:pt>
                <c:pt idx="709">
                  <c:v>45224</c:v>
                </c:pt>
                <c:pt idx="710">
                  <c:v>45223</c:v>
                </c:pt>
                <c:pt idx="711">
                  <c:v>45222</c:v>
                </c:pt>
                <c:pt idx="712">
                  <c:v>45221</c:v>
                </c:pt>
                <c:pt idx="713">
                  <c:v>45220</c:v>
                </c:pt>
                <c:pt idx="714">
                  <c:v>45219</c:v>
                </c:pt>
                <c:pt idx="715">
                  <c:v>45218</c:v>
                </c:pt>
                <c:pt idx="716">
                  <c:v>45217</c:v>
                </c:pt>
                <c:pt idx="717">
                  <c:v>45216</c:v>
                </c:pt>
                <c:pt idx="718">
                  <c:v>45215</c:v>
                </c:pt>
                <c:pt idx="719">
                  <c:v>45214</c:v>
                </c:pt>
                <c:pt idx="720">
                  <c:v>45213</c:v>
                </c:pt>
                <c:pt idx="721">
                  <c:v>45212</c:v>
                </c:pt>
                <c:pt idx="722">
                  <c:v>45211</c:v>
                </c:pt>
                <c:pt idx="723">
                  <c:v>45210</c:v>
                </c:pt>
                <c:pt idx="724">
                  <c:v>45209</c:v>
                </c:pt>
                <c:pt idx="725">
                  <c:v>45208</c:v>
                </c:pt>
                <c:pt idx="726">
                  <c:v>45207</c:v>
                </c:pt>
                <c:pt idx="727">
                  <c:v>45206</c:v>
                </c:pt>
                <c:pt idx="728">
                  <c:v>45205</c:v>
                </c:pt>
                <c:pt idx="729">
                  <c:v>45204</c:v>
                </c:pt>
                <c:pt idx="730">
                  <c:v>45203</c:v>
                </c:pt>
                <c:pt idx="731">
                  <c:v>45202</c:v>
                </c:pt>
                <c:pt idx="732">
                  <c:v>45201</c:v>
                </c:pt>
                <c:pt idx="733">
                  <c:v>45200</c:v>
                </c:pt>
                <c:pt idx="734">
                  <c:v>45199</c:v>
                </c:pt>
                <c:pt idx="735">
                  <c:v>45198</c:v>
                </c:pt>
                <c:pt idx="736">
                  <c:v>45197</c:v>
                </c:pt>
                <c:pt idx="737">
                  <c:v>45196</c:v>
                </c:pt>
                <c:pt idx="738">
                  <c:v>45195</c:v>
                </c:pt>
                <c:pt idx="739">
                  <c:v>45194</c:v>
                </c:pt>
                <c:pt idx="740">
                  <c:v>45193</c:v>
                </c:pt>
                <c:pt idx="741">
                  <c:v>45192</c:v>
                </c:pt>
                <c:pt idx="742">
                  <c:v>45191</c:v>
                </c:pt>
                <c:pt idx="743">
                  <c:v>45190</c:v>
                </c:pt>
                <c:pt idx="744">
                  <c:v>45189</c:v>
                </c:pt>
                <c:pt idx="745">
                  <c:v>45188</c:v>
                </c:pt>
                <c:pt idx="746">
                  <c:v>45187</c:v>
                </c:pt>
                <c:pt idx="747">
                  <c:v>45186</c:v>
                </c:pt>
                <c:pt idx="748">
                  <c:v>45185</c:v>
                </c:pt>
                <c:pt idx="749">
                  <c:v>45184</c:v>
                </c:pt>
                <c:pt idx="750">
                  <c:v>45183</c:v>
                </c:pt>
                <c:pt idx="751">
                  <c:v>45182</c:v>
                </c:pt>
                <c:pt idx="752">
                  <c:v>45181</c:v>
                </c:pt>
                <c:pt idx="753">
                  <c:v>45180</c:v>
                </c:pt>
                <c:pt idx="754">
                  <c:v>45179</c:v>
                </c:pt>
                <c:pt idx="755">
                  <c:v>45178</c:v>
                </c:pt>
                <c:pt idx="756">
                  <c:v>45177</c:v>
                </c:pt>
                <c:pt idx="757">
                  <c:v>45176</c:v>
                </c:pt>
                <c:pt idx="758">
                  <c:v>45175</c:v>
                </c:pt>
                <c:pt idx="759">
                  <c:v>45174</c:v>
                </c:pt>
                <c:pt idx="760">
                  <c:v>45173</c:v>
                </c:pt>
                <c:pt idx="761">
                  <c:v>45172</c:v>
                </c:pt>
                <c:pt idx="762">
                  <c:v>45171</c:v>
                </c:pt>
                <c:pt idx="763">
                  <c:v>45170</c:v>
                </c:pt>
                <c:pt idx="764">
                  <c:v>45169</c:v>
                </c:pt>
                <c:pt idx="765">
                  <c:v>45168</c:v>
                </c:pt>
                <c:pt idx="766">
                  <c:v>45167</c:v>
                </c:pt>
                <c:pt idx="767">
                  <c:v>45166</c:v>
                </c:pt>
                <c:pt idx="768">
                  <c:v>45165</c:v>
                </c:pt>
                <c:pt idx="769">
                  <c:v>45164</c:v>
                </c:pt>
                <c:pt idx="770">
                  <c:v>45163</c:v>
                </c:pt>
                <c:pt idx="771">
                  <c:v>45162</c:v>
                </c:pt>
                <c:pt idx="772">
                  <c:v>45161</c:v>
                </c:pt>
                <c:pt idx="773">
                  <c:v>45160</c:v>
                </c:pt>
                <c:pt idx="774">
                  <c:v>45159</c:v>
                </c:pt>
                <c:pt idx="775">
                  <c:v>45158</c:v>
                </c:pt>
                <c:pt idx="776">
                  <c:v>45157</c:v>
                </c:pt>
                <c:pt idx="777">
                  <c:v>45156</c:v>
                </c:pt>
                <c:pt idx="778">
                  <c:v>45155</c:v>
                </c:pt>
                <c:pt idx="779">
                  <c:v>45154</c:v>
                </c:pt>
                <c:pt idx="780">
                  <c:v>45153</c:v>
                </c:pt>
                <c:pt idx="781">
                  <c:v>45152</c:v>
                </c:pt>
                <c:pt idx="782">
                  <c:v>45151</c:v>
                </c:pt>
                <c:pt idx="783">
                  <c:v>45150</c:v>
                </c:pt>
                <c:pt idx="784">
                  <c:v>45149</c:v>
                </c:pt>
                <c:pt idx="785">
                  <c:v>45148</c:v>
                </c:pt>
                <c:pt idx="786">
                  <c:v>45147</c:v>
                </c:pt>
                <c:pt idx="787">
                  <c:v>45146</c:v>
                </c:pt>
                <c:pt idx="788">
                  <c:v>45145</c:v>
                </c:pt>
                <c:pt idx="789">
                  <c:v>45144</c:v>
                </c:pt>
                <c:pt idx="790">
                  <c:v>45143</c:v>
                </c:pt>
                <c:pt idx="791">
                  <c:v>45142</c:v>
                </c:pt>
                <c:pt idx="792">
                  <c:v>45141</c:v>
                </c:pt>
                <c:pt idx="793">
                  <c:v>45140</c:v>
                </c:pt>
                <c:pt idx="794">
                  <c:v>45139</c:v>
                </c:pt>
                <c:pt idx="795">
                  <c:v>45138</c:v>
                </c:pt>
                <c:pt idx="796">
                  <c:v>45137</c:v>
                </c:pt>
                <c:pt idx="797">
                  <c:v>45136</c:v>
                </c:pt>
                <c:pt idx="798">
                  <c:v>45135</c:v>
                </c:pt>
                <c:pt idx="799">
                  <c:v>45134</c:v>
                </c:pt>
                <c:pt idx="800">
                  <c:v>45133</c:v>
                </c:pt>
                <c:pt idx="801">
                  <c:v>45132</c:v>
                </c:pt>
                <c:pt idx="802">
                  <c:v>45131</c:v>
                </c:pt>
                <c:pt idx="803">
                  <c:v>45130</c:v>
                </c:pt>
                <c:pt idx="804">
                  <c:v>45129</c:v>
                </c:pt>
                <c:pt idx="805">
                  <c:v>45128</c:v>
                </c:pt>
                <c:pt idx="806">
                  <c:v>45127</c:v>
                </c:pt>
                <c:pt idx="807">
                  <c:v>45126</c:v>
                </c:pt>
                <c:pt idx="808">
                  <c:v>45125</c:v>
                </c:pt>
                <c:pt idx="809">
                  <c:v>45124</c:v>
                </c:pt>
                <c:pt idx="810">
                  <c:v>45123</c:v>
                </c:pt>
                <c:pt idx="811">
                  <c:v>45122</c:v>
                </c:pt>
                <c:pt idx="812">
                  <c:v>45121</c:v>
                </c:pt>
                <c:pt idx="813">
                  <c:v>45120</c:v>
                </c:pt>
                <c:pt idx="814">
                  <c:v>45119</c:v>
                </c:pt>
                <c:pt idx="815">
                  <c:v>45118</c:v>
                </c:pt>
                <c:pt idx="816">
                  <c:v>45117</c:v>
                </c:pt>
                <c:pt idx="817">
                  <c:v>45116</c:v>
                </c:pt>
                <c:pt idx="818">
                  <c:v>45115</c:v>
                </c:pt>
                <c:pt idx="819">
                  <c:v>45114</c:v>
                </c:pt>
                <c:pt idx="820">
                  <c:v>45113</c:v>
                </c:pt>
                <c:pt idx="821">
                  <c:v>45112</c:v>
                </c:pt>
                <c:pt idx="822">
                  <c:v>45111</c:v>
                </c:pt>
                <c:pt idx="823">
                  <c:v>45110</c:v>
                </c:pt>
                <c:pt idx="824">
                  <c:v>45109</c:v>
                </c:pt>
                <c:pt idx="825">
                  <c:v>45108</c:v>
                </c:pt>
                <c:pt idx="826">
                  <c:v>45107</c:v>
                </c:pt>
                <c:pt idx="827">
                  <c:v>45106</c:v>
                </c:pt>
                <c:pt idx="828">
                  <c:v>45105</c:v>
                </c:pt>
                <c:pt idx="829">
                  <c:v>45104</c:v>
                </c:pt>
                <c:pt idx="830">
                  <c:v>45103</c:v>
                </c:pt>
                <c:pt idx="831">
                  <c:v>45102</c:v>
                </c:pt>
                <c:pt idx="832">
                  <c:v>45101</c:v>
                </c:pt>
                <c:pt idx="833">
                  <c:v>45100</c:v>
                </c:pt>
                <c:pt idx="834">
                  <c:v>45099</c:v>
                </c:pt>
                <c:pt idx="835">
                  <c:v>45098</c:v>
                </c:pt>
                <c:pt idx="836">
                  <c:v>45097</c:v>
                </c:pt>
                <c:pt idx="837">
                  <c:v>45096</c:v>
                </c:pt>
                <c:pt idx="838">
                  <c:v>45095</c:v>
                </c:pt>
                <c:pt idx="839">
                  <c:v>45094</c:v>
                </c:pt>
                <c:pt idx="840">
                  <c:v>45093</c:v>
                </c:pt>
                <c:pt idx="841">
                  <c:v>45092</c:v>
                </c:pt>
                <c:pt idx="842">
                  <c:v>45091</c:v>
                </c:pt>
                <c:pt idx="843">
                  <c:v>45090</c:v>
                </c:pt>
                <c:pt idx="844">
                  <c:v>45089</c:v>
                </c:pt>
                <c:pt idx="845">
                  <c:v>45088</c:v>
                </c:pt>
                <c:pt idx="846">
                  <c:v>45087</c:v>
                </c:pt>
                <c:pt idx="847">
                  <c:v>45086</c:v>
                </c:pt>
                <c:pt idx="848">
                  <c:v>45085</c:v>
                </c:pt>
                <c:pt idx="849">
                  <c:v>45084</c:v>
                </c:pt>
                <c:pt idx="850">
                  <c:v>45083</c:v>
                </c:pt>
                <c:pt idx="851">
                  <c:v>45082</c:v>
                </c:pt>
                <c:pt idx="852">
                  <c:v>45081</c:v>
                </c:pt>
                <c:pt idx="853">
                  <c:v>45080</c:v>
                </c:pt>
                <c:pt idx="854">
                  <c:v>45079</c:v>
                </c:pt>
                <c:pt idx="855">
                  <c:v>45078</c:v>
                </c:pt>
                <c:pt idx="856">
                  <c:v>45077</c:v>
                </c:pt>
                <c:pt idx="857">
                  <c:v>45076</c:v>
                </c:pt>
                <c:pt idx="858">
                  <c:v>45075</c:v>
                </c:pt>
                <c:pt idx="859">
                  <c:v>45074</c:v>
                </c:pt>
                <c:pt idx="860">
                  <c:v>45073</c:v>
                </c:pt>
                <c:pt idx="861">
                  <c:v>45072</c:v>
                </c:pt>
                <c:pt idx="862">
                  <c:v>45071</c:v>
                </c:pt>
                <c:pt idx="863">
                  <c:v>45070</c:v>
                </c:pt>
                <c:pt idx="864">
                  <c:v>45069</c:v>
                </c:pt>
                <c:pt idx="865">
                  <c:v>45068</c:v>
                </c:pt>
                <c:pt idx="866">
                  <c:v>45067</c:v>
                </c:pt>
                <c:pt idx="867">
                  <c:v>45066</c:v>
                </c:pt>
                <c:pt idx="868">
                  <c:v>45065</c:v>
                </c:pt>
                <c:pt idx="869">
                  <c:v>45064</c:v>
                </c:pt>
                <c:pt idx="870">
                  <c:v>45063</c:v>
                </c:pt>
                <c:pt idx="871">
                  <c:v>45062</c:v>
                </c:pt>
                <c:pt idx="872">
                  <c:v>45061</c:v>
                </c:pt>
                <c:pt idx="873">
                  <c:v>45060</c:v>
                </c:pt>
                <c:pt idx="874">
                  <c:v>45059</c:v>
                </c:pt>
                <c:pt idx="875">
                  <c:v>45058</c:v>
                </c:pt>
                <c:pt idx="876">
                  <c:v>45057</c:v>
                </c:pt>
                <c:pt idx="877">
                  <c:v>45056</c:v>
                </c:pt>
                <c:pt idx="878">
                  <c:v>45055</c:v>
                </c:pt>
                <c:pt idx="879">
                  <c:v>45054</c:v>
                </c:pt>
                <c:pt idx="880">
                  <c:v>45053</c:v>
                </c:pt>
                <c:pt idx="881">
                  <c:v>45052</c:v>
                </c:pt>
                <c:pt idx="882">
                  <c:v>45051</c:v>
                </c:pt>
                <c:pt idx="883">
                  <c:v>45050</c:v>
                </c:pt>
                <c:pt idx="884">
                  <c:v>45049</c:v>
                </c:pt>
                <c:pt idx="885">
                  <c:v>45048</c:v>
                </c:pt>
                <c:pt idx="886">
                  <c:v>45047</c:v>
                </c:pt>
                <c:pt idx="887">
                  <c:v>45046</c:v>
                </c:pt>
                <c:pt idx="888">
                  <c:v>45045</c:v>
                </c:pt>
                <c:pt idx="889">
                  <c:v>45044</c:v>
                </c:pt>
                <c:pt idx="890">
                  <c:v>45043</c:v>
                </c:pt>
                <c:pt idx="891">
                  <c:v>45042</c:v>
                </c:pt>
                <c:pt idx="892">
                  <c:v>45041</c:v>
                </c:pt>
                <c:pt idx="893">
                  <c:v>45040</c:v>
                </c:pt>
                <c:pt idx="894">
                  <c:v>45039</c:v>
                </c:pt>
                <c:pt idx="895">
                  <c:v>45038</c:v>
                </c:pt>
                <c:pt idx="896">
                  <c:v>45037</c:v>
                </c:pt>
                <c:pt idx="897">
                  <c:v>45036</c:v>
                </c:pt>
                <c:pt idx="898">
                  <c:v>45035</c:v>
                </c:pt>
                <c:pt idx="899">
                  <c:v>45034</c:v>
                </c:pt>
                <c:pt idx="900">
                  <c:v>45033</c:v>
                </c:pt>
                <c:pt idx="901">
                  <c:v>45032</c:v>
                </c:pt>
                <c:pt idx="902">
                  <c:v>45031</c:v>
                </c:pt>
                <c:pt idx="903">
                  <c:v>45030</c:v>
                </c:pt>
                <c:pt idx="904">
                  <c:v>45029</c:v>
                </c:pt>
                <c:pt idx="905">
                  <c:v>45028</c:v>
                </c:pt>
                <c:pt idx="906">
                  <c:v>45027</c:v>
                </c:pt>
                <c:pt idx="907">
                  <c:v>45026</c:v>
                </c:pt>
                <c:pt idx="908">
                  <c:v>45025</c:v>
                </c:pt>
                <c:pt idx="909">
                  <c:v>45024</c:v>
                </c:pt>
                <c:pt idx="910">
                  <c:v>45023</c:v>
                </c:pt>
                <c:pt idx="911">
                  <c:v>45022</c:v>
                </c:pt>
                <c:pt idx="912">
                  <c:v>45021</c:v>
                </c:pt>
                <c:pt idx="913">
                  <c:v>45020</c:v>
                </c:pt>
                <c:pt idx="914">
                  <c:v>45019</c:v>
                </c:pt>
                <c:pt idx="915">
                  <c:v>45018</c:v>
                </c:pt>
                <c:pt idx="916">
                  <c:v>45017</c:v>
                </c:pt>
                <c:pt idx="917">
                  <c:v>45016</c:v>
                </c:pt>
                <c:pt idx="918">
                  <c:v>45015</c:v>
                </c:pt>
                <c:pt idx="919">
                  <c:v>45014</c:v>
                </c:pt>
                <c:pt idx="920">
                  <c:v>45013</c:v>
                </c:pt>
                <c:pt idx="921">
                  <c:v>45012</c:v>
                </c:pt>
                <c:pt idx="922">
                  <c:v>45011</c:v>
                </c:pt>
                <c:pt idx="923">
                  <c:v>45010</c:v>
                </c:pt>
                <c:pt idx="924">
                  <c:v>45009</c:v>
                </c:pt>
                <c:pt idx="925">
                  <c:v>45008</c:v>
                </c:pt>
                <c:pt idx="926">
                  <c:v>45007</c:v>
                </c:pt>
                <c:pt idx="927">
                  <c:v>45006</c:v>
                </c:pt>
                <c:pt idx="928">
                  <c:v>45005</c:v>
                </c:pt>
                <c:pt idx="929">
                  <c:v>45004</c:v>
                </c:pt>
                <c:pt idx="930">
                  <c:v>45003</c:v>
                </c:pt>
                <c:pt idx="931">
                  <c:v>45002</c:v>
                </c:pt>
                <c:pt idx="932">
                  <c:v>45001</c:v>
                </c:pt>
                <c:pt idx="933">
                  <c:v>45000</c:v>
                </c:pt>
                <c:pt idx="934">
                  <c:v>44999</c:v>
                </c:pt>
                <c:pt idx="935">
                  <c:v>44998</c:v>
                </c:pt>
                <c:pt idx="936">
                  <c:v>44997</c:v>
                </c:pt>
                <c:pt idx="937">
                  <c:v>44996</c:v>
                </c:pt>
                <c:pt idx="938">
                  <c:v>44995</c:v>
                </c:pt>
                <c:pt idx="939">
                  <c:v>44994</c:v>
                </c:pt>
                <c:pt idx="940">
                  <c:v>44993</c:v>
                </c:pt>
                <c:pt idx="941">
                  <c:v>44992</c:v>
                </c:pt>
                <c:pt idx="942">
                  <c:v>44991</c:v>
                </c:pt>
                <c:pt idx="943">
                  <c:v>44990</c:v>
                </c:pt>
                <c:pt idx="944">
                  <c:v>44989</c:v>
                </c:pt>
                <c:pt idx="945">
                  <c:v>44988</c:v>
                </c:pt>
                <c:pt idx="946">
                  <c:v>44987</c:v>
                </c:pt>
                <c:pt idx="947">
                  <c:v>44986</c:v>
                </c:pt>
                <c:pt idx="948">
                  <c:v>44985</c:v>
                </c:pt>
                <c:pt idx="949">
                  <c:v>44984</c:v>
                </c:pt>
                <c:pt idx="950">
                  <c:v>44983</c:v>
                </c:pt>
                <c:pt idx="951">
                  <c:v>44982</c:v>
                </c:pt>
                <c:pt idx="952">
                  <c:v>44981</c:v>
                </c:pt>
                <c:pt idx="953">
                  <c:v>44980</c:v>
                </c:pt>
                <c:pt idx="954">
                  <c:v>44979</c:v>
                </c:pt>
                <c:pt idx="955">
                  <c:v>44978</c:v>
                </c:pt>
                <c:pt idx="956">
                  <c:v>44977</c:v>
                </c:pt>
                <c:pt idx="957">
                  <c:v>44976</c:v>
                </c:pt>
                <c:pt idx="958">
                  <c:v>44975</c:v>
                </c:pt>
                <c:pt idx="959">
                  <c:v>44974</c:v>
                </c:pt>
                <c:pt idx="960">
                  <c:v>44973</c:v>
                </c:pt>
                <c:pt idx="961">
                  <c:v>44972</c:v>
                </c:pt>
                <c:pt idx="962">
                  <c:v>44971</c:v>
                </c:pt>
                <c:pt idx="963">
                  <c:v>44970</c:v>
                </c:pt>
                <c:pt idx="964">
                  <c:v>44969</c:v>
                </c:pt>
                <c:pt idx="965">
                  <c:v>44968</c:v>
                </c:pt>
                <c:pt idx="966">
                  <c:v>44967</c:v>
                </c:pt>
                <c:pt idx="967">
                  <c:v>44966</c:v>
                </c:pt>
                <c:pt idx="968">
                  <c:v>44965</c:v>
                </c:pt>
                <c:pt idx="969">
                  <c:v>44964</c:v>
                </c:pt>
                <c:pt idx="970">
                  <c:v>44963</c:v>
                </c:pt>
                <c:pt idx="971">
                  <c:v>44962</c:v>
                </c:pt>
                <c:pt idx="972">
                  <c:v>44961</c:v>
                </c:pt>
                <c:pt idx="973">
                  <c:v>44960</c:v>
                </c:pt>
                <c:pt idx="974">
                  <c:v>44959</c:v>
                </c:pt>
                <c:pt idx="975">
                  <c:v>44958</c:v>
                </c:pt>
                <c:pt idx="976">
                  <c:v>44957</c:v>
                </c:pt>
                <c:pt idx="977">
                  <c:v>44956</c:v>
                </c:pt>
                <c:pt idx="978">
                  <c:v>44955</c:v>
                </c:pt>
                <c:pt idx="979">
                  <c:v>44954</c:v>
                </c:pt>
                <c:pt idx="980">
                  <c:v>44953</c:v>
                </c:pt>
                <c:pt idx="981">
                  <c:v>44952</c:v>
                </c:pt>
                <c:pt idx="982">
                  <c:v>44951</c:v>
                </c:pt>
                <c:pt idx="983">
                  <c:v>44950</c:v>
                </c:pt>
                <c:pt idx="984">
                  <c:v>44949</c:v>
                </c:pt>
                <c:pt idx="985">
                  <c:v>44948</c:v>
                </c:pt>
                <c:pt idx="986">
                  <c:v>44947</c:v>
                </c:pt>
                <c:pt idx="987">
                  <c:v>44946</c:v>
                </c:pt>
                <c:pt idx="988">
                  <c:v>44945</c:v>
                </c:pt>
                <c:pt idx="989">
                  <c:v>44944</c:v>
                </c:pt>
                <c:pt idx="990">
                  <c:v>44943</c:v>
                </c:pt>
                <c:pt idx="991">
                  <c:v>44942</c:v>
                </c:pt>
                <c:pt idx="992">
                  <c:v>44941</c:v>
                </c:pt>
                <c:pt idx="993">
                  <c:v>44940</c:v>
                </c:pt>
                <c:pt idx="994">
                  <c:v>44939</c:v>
                </c:pt>
                <c:pt idx="995">
                  <c:v>44938</c:v>
                </c:pt>
                <c:pt idx="996">
                  <c:v>44937</c:v>
                </c:pt>
                <c:pt idx="997">
                  <c:v>44936</c:v>
                </c:pt>
                <c:pt idx="998">
                  <c:v>44935</c:v>
                </c:pt>
                <c:pt idx="999">
                  <c:v>44934</c:v>
                </c:pt>
                <c:pt idx="1000">
                  <c:v>44933</c:v>
                </c:pt>
                <c:pt idx="1001">
                  <c:v>44932</c:v>
                </c:pt>
                <c:pt idx="1002">
                  <c:v>44931</c:v>
                </c:pt>
                <c:pt idx="1003">
                  <c:v>44930</c:v>
                </c:pt>
                <c:pt idx="1004">
                  <c:v>44929</c:v>
                </c:pt>
                <c:pt idx="1005">
                  <c:v>44928</c:v>
                </c:pt>
                <c:pt idx="1006">
                  <c:v>44927</c:v>
                </c:pt>
                <c:pt idx="1007">
                  <c:v>44926</c:v>
                </c:pt>
                <c:pt idx="1008">
                  <c:v>44925</c:v>
                </c:pt>
                <c:pt idx="1009">
                  <c:v>44924</c:v>
                </c:pt>
                <c:pt idx="1010">
                  <c:v>44923</c:v>
                </c:pt>
                <c:pt idx="1011">
                  <c:v>44922</c:v>
                </c:pt>
                <c:pt idx="1012">
                  <c:v>44921</c:v>
                </c:pt>
                <c:pt idx="1013">
                  <c:v>44920</c:v>
                </c:pt>
                <c:pt idx="1014">
                  <c:v>44919</c:v>
                </c:pt>
                <c:pt idx="1015">
                  <c:v>44918</c:v>
                </c:pt>
                <c:pt idx="1016">
                  <c:v>44917</c:v>
                </c:pt>
                <c:pt idx="1017">
                  <c:v>44916</c:v>
                </c:pt>
                <c:pt idx="1018">
                  <c:v>44915</c:v>
                </c:pt>
                <c:pt idx="1019">
                  <c:v>44914</c:v>
                </c:pt>
                <c:pt idx="1020">
                  <c:v>44913</c:v>
                </c:pt>
                <c:pt idx="1021">
                  <c:v>44912</c:v>
                </c:pt>
                <c:pt idx="1022">
                  <c:v>44911</c:v>
                </c:pt>
                <c:pt idx="1023">
                  <c:v>44910</c:v>
                </c:pt>
                <c:pt idx="1024">
                  <c:v>44909</c:v>
                </c:pt>
                <c:pt idx="1025">
                  <c:v>44908</c:v>
                </c:pt>
                <c:pt idx="1026">
                  <c:v>44907</c:v>
                </c:pt>
                <c:pt idx="1027">
                  <c:v>44906</c:v>
                </c:pt>
                <c:pt idx="1028">
                  <c:v>44905</c:v>
                </c:pt>
                <c:pt idx="1029">
                  <c:v>44904</c:v>
                </c:pt>
                <c:pt idx="1030">
                  <c:v>44903</c:v>
                </c:pt>
                <c:pt idx="1031">
                  <c:v>44902</c:v>
                </c:pt>
                <c:pt idx="1032">
                  <c:v>44901</c:v>
                </c:pt>
                <c:pt idx="1033">
                  <c:v>44900</c:v>
                </c:pt>
                <c:pt idx="1034">
                  <c:v>44899</c:v>
                </c:pt>
                <c:pt idx="1035">
                  <c:v>44898</c:v>
                </c:pt>
                <c:pt idx="1036">
                  <c:v>44897</c:v>
                </c:pt>
                <c:pt idx="1037">
                  <c:v>44896</c:v>
                </c:pt>
                <c:pt idx="1038">
                  <c:v>44895</c:v>
                </c:pt>
                <c:pt idx="1039">
                  <c:v>44894</c:v>
                </c:pt>
                <c:pt idx="1040">
                  <c:v>44893</c:v>
                </c:pt>
                <c:pt idx="1041">
                  <c:v>44892</c:v>
                </c:pt>
                <c:pt idx="1042">
                  <c:v>44891</c:v>
                </c:pt>
                <c:pt idx="1043">
                  <c:v>44890</c:v>
                </c:pt>
                <c:pt idx="1044">
                  <c:v>44889</c:v>
                </c:pt>
              </c:numCache>
            </c:numRef>
          </c:cat>
          <c:val>
            <c:numRef>
              <c:f>'Stock Data'!$AN$4:$AN$1048</c:f>
              <c:numCache>
                <c:formatCode>#,##0.00_);\(#,##0.00\)</c:formatCode>
                <c:ptCount val="1045"/>
                <c:pt idx="0">
                  <c:v>4.3099999999999996</c:v>
                </c:pt>
                <c:pt idx="1">
                  <c:v>4.3099999999999996</c:v>
                </c:pt>
                <c:pt idx="2">
                  <c:v>4.4000000000000004</c:v>
                </c:pt>
                <c:pt idx="3">
                  <c:v>4.4000000000000004</c:v>
                </c:pt>
                <c:pt idx="4">
                  <c:v>4.4000000000000004</c:v>
                </c:pt>
                <c:pt idx="5">
                  <c:v>4.45</c:v>
                </c:pt>
                <c:pt idx="6">
                  <c:v>4.38</c:v>
                </c:pt>
                <c:pt idx="7">
                  <c:v>4.375</c:v>
                </c:pt>
                <c:pt idx="8">
                  <c:v>4.4050000000000002</c:v>
                </c:pt>
                <c:pt idx="9">
                  <c:v>4.51</c:v>
                </c:pt>
                <c:pt idx="10">
                  <c:v>4.51</c:v>
                </c:pt>
                <c:pt idx="11">
                  <c:v>4.51</c:v>
                </c:pt>
                <c:pt idx="12">
                  <c:v>4.585</c:v>
                </c:pt>
                <c:pt idx="13">
                  <c:v>4.4749999999999996</c:v>
                </c:pt>
                <c:pt idx="14">
                  <c:v>4.3049999999999997</c:v>
                </c:pt>
                <c:pt idx="15">
                  <c:v>4.2549999999999999</c:v>
                </c:pt>
                <c:pt idx="16">
                  <c:v>4.1950000000000003</c:v>
                </c:pt>
                <c:pt idx="17">
                  <c:v>4.1950000000000003</c:v>
                </c:pt>
                <c:pt idx="18">
                  <c:v>4.1950000000000003</c:v>
                </c:pt>
                <c:pt idx="19">
                  <c:v>3.6850000000000001</c:v>
                </c:pt>
                <c:pt idx="20">
                  <c:v>3.63</c:v>
                </c:pt>
                <c:pt idx="21">
                  <c:v>3.5550000000000002</c:v>
                </c:pt>
                <c:pt idx="22">
                  <c:v>3.79</c:v>
                </c:pt>
                <c:pt idx="23">
                  <c:v>3.6749999999999998</c:v>
                </c:pt>
                <c:pt idx="24">
                  <c:v>3.6749999999999998</c:v>
                </c:pt>
                <c:pt idx="25">
                  <c:v>3.6749999999999998</c:v>
                </c:pt>
                <c:pt idx="26">
                  <c:v>3.6549999999999998</c:v>
                </c:pt>
                <c:pt idx="27">
                  <c:v>3.645</c:v>
                </c:pt>
                <c:pt idx="28">
                  <c:v>3.7149999999999999</c:v>
                </c:pt>
                <c:pt idx="29">
                  <c:v>3.65</c:v>
                </c:pt>
                <c:pt idx="30">
                  <c:v>3.5950000000000002</c:v>
                </c:pt>
                <c:pt idx="31">
                  <c:v>3.5950000000000002</c:v>
                </c:pt>
                <c:pt idx="32">
                  <c:v>3.5950000000000002</c:v>
                </c:pt>
                <c:pt idx="33">
                  <c:v>3.65</c:v>
                </c:pt>
                <c:pt idx="34">
                  <c:v>3.4950000000000001</c:v>
                </c:pt>
                <c:pt idx="35">
                  <c:v>3.4350000000000001</c:v>
                </c:pt>
                <c:pt idx="36">
                  <c:v>3.4049999999999998</c:v>
                </c:pt>
                <c:pt idx="37">
                  <c:v>3.3450000000000002</c:v>
                </c:pt>
                <c:pt idx="38">
                  <c:v>3.3450000000000002</c:v>
                </c:pt>
                <c:pt idx="39">
                  <c:v>3.3450000000000002</c:v>
                </c:pt>
                <c:pt idx="40">
                  <c:v>3.3849999999999998</c:v>
                </c:pt>
                <c:pt idx="41">
                  <c:v>3.375</c:v>
                </c:pt>
                <c:pt idx="42">
                  <c:v>3.3450000000000002</c:v>
                </c:pt>
                <c:pt idx="43">
                  <c:v>3.2749999999999999</c:v>
                </c:pt>
                <c:pt idx="44">
                  <c:v>3.3</c:v>
                </c:pt>
                <c:pt idx="45">
                  <c:v>3.3</c:v>
                </c:pt>
                <c:pt idx="46">
                  <c:v>3.3</c:v>
                </c:pt>
                <c:pt idx="47">
                  <c:v>3.0550000000000002</c:v>
                </c:pt>
                <c:pt idx="48">
                  <c:v>3.0550000000000002</c:v>
                </c:pt>
                <c:pt idx="49">
                  <c:v>2.9350000000000001</c:v>
                </c:pt>
                <c:pt idx="50">
                  <c:v>2.9350000000000001</c:v>
                </c:pt>
                <c:pt idx="51">
                  <c:v>3.0249999999999999</c:v>
                </c:pt>
                <c:pt idx="52">
                  <c:v>3.0249999999999999</c:v>
                </c:pt>
                <c:pt idx="53">
                  <c:v>3.0249999999999999</c:v>
                </c:pt>
                <c:pt idx="54">
                  <c:v>3.105</c:v>
                </c:pt>
                <c:pt idx="55">
                  <c:v>3.0649999999999999</c:v>
                </c:pt>
                <c:pt idx="56">
                  <c:v>3.07</c:v>
                </c:pt>
                <c:pt idx="57">
                  <c:v>3.1349999999999998</c:v>
                </c:pt>
                <c:pt idx="58">
                  <c:v>3.0750000000000002</c:v>
                </c:pt>
                <c:pt idx="59">
                  <c:v>3.0750000000000002</c:v>
                </c:pt>
                <c:pt idx="60">
                  <c:v>3.0750000000000002</c:v>
                </c:pt>
                <c:pt idx="61">
                  <c:v>3.06</c:v>
                </c:pt>
                <c:pt idx="62">
                  <c:v>3.15</c:v>
                </c:pt>
                <c:pt idx="63">
                  <c:v>3.125</c:v>
                </c:pt>
                <c:pt idx="64">
                  <c:v>3.36</c:v>
                </c:pt>
                <c:pt idx="65">
                  <c:v>3.38</c:v>
                </c:pt>
                <c:pt idx="66">
                  <c:v>3.38</c:v>
                </c:pt>
                <c:pt idx="67">
                  <c:v>3.38</c:v>
                </c:pt>
                <c:pt idx="68">
                  <c:v>3.4049999999999998</c:v>
                </c:pt>
                <c:pt idx="69">
                  <c:v>3.3250000000000002</c:v>
                </c:pt>
                <c:pt idx="70">
                  <c:v>3.47</c:v>
                </c:pt>
                <c:pt idx="71">
                  <c:v>3.4950000000000001</c:v>
                </c:pt>
                <c:pt idx="72">
                  <c:v>3.415</c:v>
                </c:pt>
                <c:pt idx="73">
                  <c:v>3.415</c:v>
                </c:pt>
                <c:pt idx="74">
                  <c:v>3.415</c:v>
                </c:pt>
                <c:pt idx="75">
                  <c:v>3.4449999999999998</c:v>
                </c:pt>
                <c:pt idx="76">
                  <c:v>3.3450000000000002</c:v>
                </c:pt>
                <c:pt idx="77">
                  <c:v>3.47</c:v>
                </c:pt>
                <c:pt idx="78">
                  <c:v>3.3650000000000002</c:v>
                </c:pt>
                <c:pt idx="79">
                  <c:v>3.43</c:v>
                </c:pt>
                <c:pt idx="80">
                  <c:v>3.43</c:v>
                </c:pt>
                <c:pt idx="81">
                  <c:v>3.43</c:v>
                </c:pt>
                <c:pt idx="82">
                  <c:v>3.54</c:v>
                </c:pt>
                <c:pt idx="83">
                  <c:v>3.54</c:v>
                </c:pt>
                <c:pt idx="84">
                  <c:v>3.5249999999999999</c:v>
                </c:pt>
                <c:pt idx="85">
                  <c:v>3.68</c:v>
                </c:pt>
                <c:pt idx="86">
                  <c:v>3.5249999999999999</c:v>
                </c:pt>
                <c:pt idx="87">
                  <c:v>3.5249999999999999</c:v>
                </c:pt>
                <c:pt idx="88">
                  <c:v>3.5249999999999999</c:v>
                </c:pt>
                <c:pt idx="89">
                  <c:v>3.56</c:v>
                </c:pt>
                <c:pt idx="90">
                  <c:v>3.4750000000000001</c:v>
                </c:pt>
                <c:pt idx="91">
                  <c:v>3.45</c:v>
                </c:pt>
                <c:pt idx="92">
                  <c:v>3.48</c:v>
                </c:pt>
                <c:pt idx="93">
                  <c:v>3.5150000000000001</c:v>
                </c:pt>
                <c:pt idx="94">
                  <c:v>3.5150000000000001</c:v>
                </c:pt>
                <c:pt idx="95">
                  <c:v>3.5150000000000001</c:v>
                </c:pt>
                <c:pt idx="96">
                  <c:v>3.625</c:v>
                </c:pt>
                <c:pt idx="97">
                  <c:v>3.7349999999999999</c:v>
                </c:pt>
                <c:pt idx="98">
                  <c:v>3.57</c:v>
                </c:pt>
                <c:pt idx="99">
                  <c:v>3.5049999999999999</c:v>
                </c:pt>
                <c:pt idx="100">
                  <c:v>3.51</c:v>
                </c:pt>
                <c:pt idx="101">
                  <c:v>3.51</c:v>
                </c:pt>
                <c:pt idx="102">
                  <c:v>3.51</c:v>
                </c:pt>
                <c:pt idx="103">
                  <c:v>3.5550000000000002</c:v>
                </c:pt>
                <c:pt idx="104">
                  <c:v>3.5350000000000001</c:v>
                </c:pt>
                <c:pt idx="105">
                  <c:v>3.585</c:v>
                </c:pt>
                <c:pt idx="106">
                  <c:v>3.4550000000000001</c:v>
                </c:pt>
                <c:pt idx="107">
                  <c:v>3.44</c:v>
                </c:pt>
                <c:pt idx="108">
                  <c:v>3.44</c:v>
                </c:pt>
                <c:pt idx="109">
                  <c:v>3.44</c:v>
                </c:pt>
                <c:pt idx="110">
                  <c:v>3.5649999999999999</c:v>
                </c:pt>
                <c:pt idx="111">
                  <c:v>3.6</c:v>
                </c:pt>
                <c:pt idx="112">
                  <c:v>3.7650000000000001</c:v>
                </c:pt>
                <c:pt idx="113">
                  <c:v>3.76</c:v>
                </c:pt>
                <c:pt idx="114">
                  <c:v>3.82</c:v>
                </c:pt>
                <c:pt idx="115">
                  <c:v>3.82</c:v>
                </c:pt>
                <c:pt idx="116">
                  <c:v>3.82</c:v>
                </c:pt>
                <c:pt idx="117">
                  <c:v>3.8149999999999999</c:v>
                </c:pt>
                <c:pt idx="118">
                  <c:v>3.7749999999999999</c:v>
                </c:pt>
                <c:pt idx="119">
                  <c:v>3.7</c:v>
                </c:pt>
                <c:pt idx="120">
                  <c:v>3.5350000000000001</c:v>
                </c:pt>
                <c:pt idx="121">
                  <c:v>3.52</c:v>
                </c:pt>
                <c:pt idx="122">
                  <c:v>3.52</c:v>
                </c:pt>
                <c:pt idx="123">
                  <c:v>3.52</c:v>
                </c:pt>
                <c:pt idx="124">
                  <c:v>3.7749999999999999</c:v>
                </c:pt>
                <c:pt idx="125">
                  <c:v>3.65</c:v>
                </c:pt>
                <c:pt idx="126">
                  <c:v>3.7250000000000001</c:v>
                </c:pt>
                <c:pt idx="127">
                  <c:v>3.72</c:v>
                </c:pt>
                <c:pt idx="128">
                  <c:v>3.77</c:v>
                </c:pt>
                <c:pt idx="129">
                  <c:v>3.77</c:v>
                </c:pt>
                <c:pt idx="130">
                  <c:v>3.77</c:v>
                </c:pt>
                <c:pt idx="131">
                  <c:v>3.6850000000000001</c:v>
                </c:pt>
                <c:pt idx="132">
                  <c:v>3.6850000000000001</c:v>
                </c:pt>
                <c:pt idx="133">
                  <c:v>3.7549999999999999</c:v>
                </c:pt>
                <c:pt idx="134">
                  <c:v>3.68</c:v>
                </c:pt>
                <c:pt idx="135">
                  <c:v>3.7549999999999999</c:v>
                </c:pt>
                <c:pt idx="136">
                  <c:v>3.7549999999999999</c:v>
                </c:pt>
                <c:pt idx="137">
                  <c:v>3.7549999999999999</c:v>
                </c:pt>
                <c:pt idx="138">
                  <c:v>3.7650000000000001</c:v>
                </c:pt>
                <c:pt idx="139">
                  <c:v>3.5449999999999999</c:v>
                </c:pt>
                <c:pt idx="140">
                  <c:v>3.5550000000000002</c:v>
                </c:pt>
                <c:pt idx="141">
                  <c:v>3.62</c:v>
                </c:pt>
                <c:pt idx="142">
                  <c:v>3.62</c:v>
                </c:pt>
                <c:pt idx="143">
                  <c:v>3.62</c:v>
                </c:pt>
                <c:pt idx="144">
                  <c:v>3.62</c:v>
                </c:pt>
                <c:pt idx="145">
                  <c:v>3.62</c:v>
                </c:pt>
                <c:pt idx="146">
                  <c:v>3.5049999999999999</c:v>
                </c:pt>
                <c:pt idx="147">
                  <c:v>3.5249999999999999</c:v>
                </c:pt>
                <c:pt idx="148">
                  <c:v>3.6349999999999998</c:v>
                </c:pt>
                <c:pt idx="149">
                  <c:v>3.66</c:v>
                </c:pt>
                <c:pt idx="150">
                  <c:v>3.66</c:v>
                </c:pt>
                <c:pt idx="151">
                  <c:v>3.66</c:v>
                </c:pt>
                <c:pt idx="152">
                  <c:v>3.41</c:v>
                </c:pt>
                <c:pt idx="153">
                  <c:v>3.61</c:v>
                </c:pt>
                <c:pt idx="154">
                  <c:v>3.4950000000000001</c:v>
                </c:pt>
                <c:pt idx="155">
                  <c:v>3.395</c:v>
                </c:pt>
                <c:pt idx="156">
                  <c:v>3.4249999999999998</c:v>
                </c:pt>
                <c:pt idx="157">
                  <c:v>3.4249999999999998</c:v>
                </c:pt>
                <c:pt idx="158">
                  <c:v>3.4249999999999998</c:v>
                </c:pt>
                <c:pt idx="159">
                  <c:v>3.585</c:v>
                </c:pt>
                <c:pt idx="160">
                  <c:v>3.52</c:v>
                </c:pt>
                <c:pt idx="161">
                  <c:v>3.4249999999999998</c:v>
                </c:pt>
                <c:pt idx="162">
                  <c:v>3.3050000000000002</c:v>
                </c:pt>
                <c:pt idx="163">
                  <c:v>3.4550000000000001</c:v>
                </c:pt>
                <c:pt idx="164">
                  <c:v>3.4550000000000001</c:v>
                </c:pt>
                <c:pt idx="165">
                  <c:v>3.4550000000000001</c:v>
                </c:pt>
                <c:pt idx="166">
                  <c:v>3.4049999999999998</c:v>
                </c:pt>
                <c:pt idx="167">
                  <c:v>3.2650000000000001</c:v>
                </c:pt>
                <c:pt idx="168">
                  <c:v>3.32</c:v>
                </c:pt>
                <c:pt idx="169">
                  <c:v>3.2149999999999999</c:v>
                </c:pt>
                <c:pt idx="170">
                  <c:v>3.2749999999999999</c:v>
                </c:pt>
                <c:pt idx="171">
                  <c:v>3.2749999999999999</c:v>
                </c:pt>
                <c:pt idx="172">
                  <c:v>3.2749999999999999</c:v>
                </c:pt>
                <c:pt idx="173">
                  <c:v>3.2850000000000001</c:v>
                </c:pt>
                <c:pt idx="174">
                  <c:v>3.25</c:v>
                </c:pt>
                <c:pt idx="175">
                  <c:v>3.165</c:v>
                </c:pt>
                <c:pt idx="176">
                  <c:v>3.27</c:v>
                </c:pt>
                <c:pt idx="177">
                  <c:v>3.0049999999999999</c:v>
                </c:pt>
                <c:pt idx="178">
                  <c:v>3.0049999999999999</c:v>
                </c:pt>
                <c:pt idx="179">
                  <c:v>3.0049999999999999</c:v>
                </c:pt>
                <c:pt idx="180">
                  <c:v>2.84</c:v>
                </c:pt>
                <c:pt idx="181">
                  <c:v>2.9449999999999998</c:v>
                </c:pt>
                <c:pt idx="182">
                  <c:v>2.8250000000000002</c:v>
                </c:pt>
                <c:pt idx="183">
                  <c:v>2.6549999999999998</c:v>
                </c:pt>
                <c:pt idx="184">
                  <c:v>2.7050000000000001</c:v>
                </c:pt>
                <c:pt idx="185">
                  <c:v>2.7050000000000001</c:v>
                </c:pt>
                <c:pt idx="186">
                  <c:v>2.7050000000000001</c:v>
                </c:pt>
                <c:pt idx="187">
                  <c:v>2.63</c:v>
                </c:pt>
                <c:pt idx="188">
                  <c:v>2.68</c:v>
                </c:pt>
                <c:pt idx="189">
                  <c:v>2.77</c:v>
                </c:pt>
                <c:pt idx="190">
                  <c:v>2.77</c:v>
                </c:pt>
                <c:pt idx="191">
                  <c:v>2.77</c:v>
                </c:pt>
                <c:pt idx="192">
                  <c:v>2.77</c:v>
                </c:pt>
                <c:pt idx="193">
                  <c:v>2.77</c:v>
                </c:pt>
                <c:pt idx="194">
                  <c:v>2.81</c:v>
                </c:pt>
                <c:pt idx="195">
                  <c:v>2.81</c:v>
                </c:pt>
                <c:pt idx="196">
                  <c:v>2.855</c:v>
                </c:pt>
                <c:pt idx="197">
                  <c:v>2.88</c:v>
                </c:pt>
                <c:pt idx="198">
                  <c:v>2.95</c:v>
                </c:pt>
                <c:pt idx="199">
                  <c:v>2.95</c:v>
                </c:pt>
                <c:pt idx="200">
                  <c:v>2.95</c:v>
                </c:pt>
                <c:pt idx="201">
                  <c:v>2.97</c:v>
                </c:pt>
                <c:pt idx="202">
                  <c:v>3.05</c:v>
                </c:pt>
                <c:pt idx="203">
                  <c:v>3.2250000000000001</c:v>
                </c:pt>
                <c:pt idx="204">
                  <c:v>3.26</c:v>
                </c:pt>
                <c:pt idx="205">
                  <c:v>3.06</c:v>
                </c:pt>
                <c:pt idx="206">
                  <c:v>3.06</c:v>
                </c:pt>
                <c:pt idx="207">
                  <c:v>3.06</c:v>
                </c:pt>
                <c:pt idx="208">
                  <c:v>2.915</c:v>
                </c:pt>
                <c:pt idx="209">
                  <c:v>2.9550000000000001</c:v>
                </c:pt>
                <c:pt idx="210">
                  <c:v>3.02</c:v>
                </c:pt>
                <c:pt idx="211">
                  <c:v>2.96</c:v>
                </c:pt>
                <c:pt idx="212">
                  <c:v>2.9550000000000001</c:v>
                </c:pt>
                <c:pt idx="213">
                  <c:v>2.9550000000000001</c:v>
                </c:pt>
                <c:pt idx="214">
                  <c:v>2.9550000000000001</c:v>
                </c:pt>
                <c:pt idx="215">
                  <c:v>3.1</c:v>
                </c:pt>
                <c:pt idx="216">
                  <c:v>3.105</c:v>
                </c:pt>
                <c:pt idx="217">
                  <c:v>3.2450000000000001</c:v>
                </c:pt>
                <c:pt idx="218">
                  <c:v>3.165</c:v>
                </c:pt>
                <c:pt idx="219">
                  <c:v>3.2349999999999999</c:v>
                </c:pt>
                <c:pt idx="220">
                  <c:v>3.2349999999999999</c:v>
                </c:pt>
                <c:pt idx="221">
                  <c:v>3.2349999999999999</c:v>
                </c:pt>
                <c:pt idx="222">
                  <c:v>3.1949999999999998</c:v>
                </c:pt>
                <c:pt idx="223">
                  <c:v>3.0350000000000001</c:v>
                </c:pt>
                <c:pt idx="224">
                  <c:v>3.0350000000000001</c:v>
                </c:pt>
                <c:pt idx="225">
                  <c:v>3.105</c:v>
                </c:pt>
                <c:pt idx="226">
                  <c:v>3.0449999999999999</c:v>
                </c:pt>
                <c:pt idx="227">
                  <c:v>3.0449999999999999</c:v>
                </c:pt>
                <c:pt idx="228">
                  <c:v>3.0449999999999999</c:v>
                </c:pt>
                <c:pt idx="229">
                  <c:v>3.0649999999999999</c:v>
                </c:pt>
                <c:pt idx="230">
                  <c:v>3.12</c:v>
                </c:pt>
                <c:pt idx="231">
                  <c:v>3.085</c:v>
                </c:pt>
                <c:pt idx="232">
                  <c:v>3.105</c:v>
                </c:pt>
                <c:pt idx="233">
                  <c:v>3.0150000000000001</c:v>
                </c:pt>
                <c:pt idx="234">
                  <c:v>3.0150000000000001</c:v>
                </c:pt>
                <c:pt idx="235">
                  <c:v>3.0150000000000001</c:v>
                </c:pt>
                <c:pt idx="236">
                  <c:v>3.09</c:v>
                </c:pt>
                <c:pt idx="237">
                  <c:v>3.12</c:v>
                </c:pt>
                <c:pt idx="238">
                  <c:v>2.9550000000000001</c:v>
                </c:pt>
                <c:pt idx="239">
                  <c:v>2.84</c:v>
                </c:pt>
                <c:pt idx="240">
                  <c:v>2.915</c:v>
                </c:pt>
                <c:pt idx="241">
                  <c:v>2.915</c:v>
                </c:pt>
                <c:pt idx="242">
                  <c:v>2.915</c:v>
                </c:pt>
                <c:pt idx="243">
                  <c:v>2.95</c:v>
                </c:pt>
                <c:pt idx="244">
                  <c:v>2.9449999999999998</c:v>
                </c:pt>
                <c:pt idx="245">
                  <c:v>3.0449999999999999</c:v>
                </c:pt>
                <c:pt idx="246">
                  <c:v>3.0550000000000002</c:v>
                </c:pt>
                <c:pt idx="247">
                  <c:v>2.9849999999999999</c:v>
                </c:pt>
                <c:pt idx="248">
                  <c:v>2.9849999999999999</c:v>
                </c:pt>
                <c:pt idx="249">
                  <c:v>2.9849999999999999</c:v>
                </c:pt>
                <c:pt idx="250">
                  <c:v>3.145</c:v>
                </c:pt>
                <c:pt idx="251">
                  <c:v>2.99</c:v>
                </c:pt>
                <c:pt idx="252">
                  <c:v>2.99</c:v>
                </c:pt>
                <c:pt idx="253">
                  <c:v>2.99</c:v>
                </c:pt>
                <c:pt idx="254">
                  <c:v>2.99</c:v>
                </c:pt>
                <c:pt idx="255">
                  <c:v>2.99</c:v>
                </c:pt>
                <c:pt idx="256">
                  <c:v>2.99</c:v>
                </c:pt>
                <c:pt idx="257">
                  <c:v>2.915</c:v>
                </c:pt>
                <c:pt idx="258">
                  <c:v>2.9550000000000001</c:v>
                </c:pt>
                <c:pt idx="259">
                  <c:v>2.9550000000000001</c:v>
                </c:pt>
                <c:pt idx="260">
                  <c:v>2.9550000000000001</c:v>
                </c:pt>
                <c:pt idx="261">
                  <c:v>3.16</c:v>
                </c:pt>
                <c:pt idx="262">
                  <c:v>3.16</c:v>
                </c:pt>
                <c:pt idx="263">
                  <c:v>3.16</c:v>
                </c:pt>
                <c:pt idx="264">
                  <c:v>3.0750000000000002</c:v>
                </c:pt>
                <c:pt idx="265">
                  <c:v>2.91</c:v>
                </c:pt>
                <c:pt idx="266">
                  <c:v>3.2349999999999999</c:v>
                </c:pt>
                <c:pt idx="267">
                  <c:v>3.31</c:v>
                </c:pt>
                <c:pt idx="268">
                  <c:v>3.4750000000000001</c:v>
                </c:pt>
                <c:pt idx="269">
                  <c:v>3.4750000000000001</c:v>
                </c:pt>
                <c:pt idx="270">
                  <c:v>3.4750000000000001</c:v>
                </c:pt>
                <c:pt idx="271">
                  <c:v>3.53</c:v>
                </c:pt>
                <c:pt idx="272">
                  <c:v>3.915</c:v>
                </c:pt>
                <c:pt idx="273">
                  <c:v>3.8250000000000002</c:v>
                </c:pt>
                <c:pt idx="274">
                  <c:v>3.6850000000000001</c:v>
                </c:pt>
                <c:pt idx="275">
                  <c:v>3.7850000000000001</c:v>
                </c:pt>
                <c:pt idx="276">
                  <c:v>3.7850000000000001</c:v>
                </c:pt>
                <c:pt idx="277">
                  <c:v>3.7850000000000001</c:v>
                </c:pt>
                <c:pt idx="278">
                  <c:v>3.9849999999999999</c:v>
                </c:pt>
                <c:pt idx="279">
                  <c:v>3.7349999999999999</c:v>
                </c:pt>
                <c:pt idx="280">
                  <c:v>3.8650000000000002</c:v>
                </c:pt>
                <c:pt idx="281">
                  <c:v>4.0549999999999997</c:v>
                </c:pt>
                <c:pt idx="282">
                  <c:v>4.1050000000000004</c:v>
                </c:pt>
                <c:pt idx="283">
                  <c:v>4.1050000000000004</c:v>
                </c:pt>
                <c:pt idx="284">
                  <c:v>4.1050000000000004</c:v>
                </c:pt>
                <c:pt idx="285">
                  <c:v>4.0650000000000004</c:v>
                </c:pt>
                <c:pt idx="286">
                  <c:v>4.5549999999999997</c:v>
                </c:pt>
                <c:pt idx="287">
                  <c:v>4.7149999999999999</c:v>
                </c:pt>
                <c:pt idx="288">
                  <c:v>4.3949999999999996</c:v>
                </c:pt>
                <c:pt idx="289">
                  <c:v>4.2300000000000004</c:v>
                </c:pt>
                <c:pt idx="290">
                  <c:v>4.2300000000000004</c:v>
                </c:pt>
                <c:pt idx="291">
                  <c:v>4.2300000000000004</c:v>
                </c:pt>
                <c:pt idx="292">
                  <c:v>4.13</c:v>
                </c:pt>
                <c:pt idx="293">
                  <c:v>4.24</c:v>
                </c:pt>
                <c:pt idx="294">
                  <c:v>4.24</c:v>
                </c:pt>
                <c:pt idx="295">
                  <c:v>4.165</c:v>
                </c:pt>
                <c:pt idx="296">
                  <c:v>4.26</c:v>
                </c:pt>
                <c:pt idx="297">
                  <c:v>4.26</c:v>
                </c:pt>
                <c:pt idx="298">
                  <c:v>4.26</c:v>
                </c:pt>
                <c:pt idx="299">
                  <c:v>4.26</c:v>
                </c:pt>
                <c:pt idx="300">
                  <c:v>4.2699999999999996</c:v>
                </c:pt>
                <c:pt idx="301">
                  <c:v>4.29</c:v>
                </c:pt>
                <c:pt idx="302">
                  <c:v>4.415</c:v>
                </c:pt>
                <c:pt idx="303">
                  <c:v>4.4000000000000004</c:v>
                </c:pt>
                <c:pt idx="304">
                  <c:v>4.4000000000000004</c:v>
                </c:pt>
                <c:pt idx="305">
                  <c:v>4.4000000000000004</c:v>
                </c:pt>
                <c:pt idx="306">
                  <c:v>4.49</c:v>
                </c:pt>
                <c:pt idx="307">
                  <c:v>4.63</c:v>
                </c:pt>
                <c:pt idx="308">
                  <c:v>4.5750000000000002</c:v>
                </c:pt>
                <c:pt idx="309">
                  <c:v>4.5449999999999999</c:v>
                </c:pt>
                <c:pt idx="310">
                  <c:v>4.375</c:v>
                </c:pt>
                <c:pt idx="311">
                  <c:v>4.375</c:v>
                </c:pt>
                <c:pt idx="312">
                  <c:v>4.375</c:v>
                </c:pt>
                <c:pt idx="313">
                  <c:v>4.5149999999999997</c:v>
                </c:pt>
                <c:pt idx="314">
                  <c:v>4.6150000000000002</c:v>
                </c:pt>
                <c:pt idx="315">
                  <c:v>4.5650000000000004</c:v>
                </c:pt>
                <c:pt idx="316">
                  <c:v>4.71</c:v>
                </c:pt>
                <c:pt idx="317">
                  <c:v>4.6050000000000004</c:v>
                </c:pt>
                <c:pt idx="318">
                  <c:v>4.6050000000000004</c:v>
                </c:pt>
                <c:pt idx="319">
                  <c:v>4.6050000000000004</c:v>
                </c:pt>
                <c:pt idx="320">
                  <c:v>4.72</c:v>
                </c:pt>
                <c:pt idx="321">
                  <c:v>4.49</c:v>
                </c:pt>
                <c:pt idx="322">
                  <c:v>4.4050000000000002</c:v>
                </c:pt>
                <c:pt idx="323">
                  <c:v>4.415</c:v>
                </c:pt>
                <c:pt idx="324">
                  <c:v>4.5250000000000004</c:v>
                </c:pt>
                <c:pt idx="325">
                  <c:v>4.5250000000000004</c:v>
                </c:pt>
                <c:pt idx="326">
                  <c:v>4.5250000000000004</c:v>
                </c:pt>
                <c:pt idx="327">
                  <c:v>4.6050000000000004</c:v>
                </c:pt>
                <c:pt idx="328">
                  <c:v>4.6349999999999998</c:v>
                </c:pt>
                <c:pt idx="329">
                  <c:v>4.6050000000000004</c:v>
                </c:pt>
                <c:pt idx="330">
                  <c:v>4.5949999999999998</c:v>
                </c:pt>
                <c:pt idx="331">
                  <c:v>4.5199999999999996</c:v>
                </c:pt>
                <c:pt idx="332">
                  <c:v>4.5199999999999996</c:v>
                </c:pt>
                <c:pt idx="333">
                  <c:v>4.5199999999999996</c:v>
                </c:pt>
                <c:pt idx="334">
                  <c:v>4.53</c:v>
                </c:pt>
                <c:pt idx="335">
                  <c:v>4.5250000000000004</c:v>
                </c:pt>
                <c:pt idx="336">
                  <c:v>4.6150000000000002</c:v>
                </c:pt>
                <c:pt idx="337">
                  <c:v>4.6100000000000003</c:v>
                </c:pt>
                <c:pt idx="338">
                  <c:v>4.6050000000000004</c:v>
                </c:pt>
                <c:pt idx="339">
                  <c:v>4.6050000000000004</c:v>
                </c:pt>
                <c:pt idx="340">
                  <c:v>4.6050000000000004</c:v>
                </c:pt>
                <c:pt idx="341">
                  <c:v>4.585</c:v>
                </c:pt>
                <c:pt idx="342">
                  <c:v>4.7249999999999996</c:v>
                </c:pt>
                <c:pt idx="343">
                  <c:v>4.7850000000000001</c:v>
                </c:pt>
                <c:pt idx="344">
                  <c:v>4.8049999999999997</c:v>
                </c:pt>
                <c:pt idx="345">
                  <c:v>4.82</c:v>
                </c:pt>
                <c:pt idx="346">
                  <c:v>4.82</c:v>
                </c:pt>
                <c:pt idx="347">
                  <c:v>4.82</c:v>
                </c:pt>
                <c:pt idx="348">
                  <c:v>4.6449999999999996</c:v>
                </c:pt>
                <c:pt idx="349">
                  <c:v>4.54</c:v>
                </c:pt>
                <c:pt idx="350">
                  <c:v>4.63</c:v>
                </c:pt>
                <c:pt idx="351">
                  <c:v>4.67</c:v>
                </c:pt>
                <c:pt idx="352">
                  <c:v>4.6550000000000002</c:v>
                </c:pt>
                <c:pt idx="353">
                  <c:v>4.6550000000000002</c:v>
                </c:pt>
                <c:pt idx="354">
                  <c:v>4.6550000000000002</c:v>
                </c:pt>
                <c:pt idx="355">
                  <c:v>4.92</c:v>
                </c:pt>
                <c:pt idx="356">
                  <c:v>5.0049999999999999</c:v>
                </c:pt>
                <c:pt idx="357">
                  <c:v>5.0250000000000004</c:v>
                </c:pt>
                <c:pt idx="358">
                  <c:v>5.0949999999999998</c:v>
                </c:pt>
                <c:pt idx="359">
                  <c:v>5.1150000000000002</c:v>
                </c:pt>
                <c:pt idx="360">
                  <c:v>5.1150000000000002</c:v>
                </c:pt>
                <c:pt idx="361">
                  <c:v>5.1150000000000002</c:v>
                </c:pt>
                <c:pt idx="362">
                  <c:v>4.9400000000000004</c:v>
                </c:pt>
                <c:pt idx="363">
                  <c:v>5.0250000000000004</c:v>
                </c:pt>
                <c:pt idx="364">
                  <c:v>4.9950000000000001</c:v>
                </c:pt>
                <c:pt idx="365">
                  <c:v>5.0549999999999997</c:v>
                </c:pt>
                <c:pt idx="366">
                  <c:v>5.0750000000000002</c:v>
                </c:pt>
                <c:pt idx="367">
                  <c:v>5.0750000000000002</c:v>
                </c:pt>
                <c:pt idx="368">
                  <c:v>5.0750000000000002</c:v>
                </c:pt>
                <c:pt idx="369">
                  <c:v>5.19</c:v>
                </c:pt>
                <c:pt idx="370">
                  <c:v>5.17</c:v>
                </c:pt>
                <c:pt idx="371">
                  <c:v>5.0650000000000004</c:v>
                </c:pt>
                <c:pt idx="372">
                  <c:v>5.2949999999999999</c:v>
                </c:pt>
                <c:pt idx="373">
                  <c:v>5.3550000000000004</c:v>
                </c:pt>
                <c:pt idx="374">
                  <c:v>5.3550000000000004</c:v>
                </c:pt>
                <c:pt idx="375">
                  <c:v>5.3550000000000004</c:v>
                </c:pt>
                <c:pt idx="376">
                  <c:v>5.22</c:v>
                </c:pt>
                <c:pt idx="377">
                  <c:v>5.27</c:v>
                </c:pt>
                <c:pt idx="378">
                  <c:v>5.2549999999999999</c:v>
                </c:pt>
                <c:pt idx="379">
                  <c:v>5.2050000000000001</c:v>
                </c:pt>
                <c:pt idx="380">
                  <c:v>5.3</c:v>
                </c:pt>
                <c:pt idx="381">
                  <c:v>5.3</c:v>
                </c:pt>
                <c:pt idx="382">
                  <c:v>5.3</c:v>
                </c:pt>
                <c:pt idx="383">
                  <c:v>5.16</c:v>
                </c:pt>
                <c:pt idx="384">
                  <c:v>5.2249999999999996</c:v>
                </c:pt>
                <c:pt idx="385">
                  <c:v>5.29</c:v>
                </c:pt>
                <c:pt idx="386">
                  <c:v>5.3250000000000002</c:v>
                </c:pt>
                <c:pt idx="387">
                  <c:v>5.17</c:v>
                </c:pt>
                <c:pt idx="388">
                  <c:v>5.17</c:v>
                </c:pt>
                <c:pt idx="389">
                  <c:v>5.17</c:v>
                </c:pt>
                <c:pt idx="390">
                  <c:v>5.165</c:v>
                </c:pt>
                <c:pt idx="391">
                  <c:v>5.1849999999999996</c:v>
                </c:pt>
                <c:pt idx="392">
                  <c:v>5.34</c:v>
                </c:pt>
                <c:pt idx="393">
                  <c:v>5.35</c:v>
                </c:pt>
                <c:pt idx="394">
                  <c:v>5.4050000000000002</c:v>
                </c:pt>
                <c:pt idx="395">
                  <c:v>5.4050000000000002</c:v>
                </c:pt>
                <c:pt idx="396">
                  <c:v>5.4050000000000002</c:v>
                </c:pt>
                <c:pt idx="397">
                  <c:v>5.3049999999999997</c:v>
                </c:pt>
                <c:pt idx="398">
                  <c:v>5.3449999999999998</c:v>
                </c:pt>
                <c:pt idx="399">
                  <c:v>5.2949999999999999</c:v>
                </c:pt>
                <c:pt idx="400">
                  <c:v>5.2850000000000001</c:v>
                </c:pt>
                <c:pt idx="401">
                  <c:v>5.3449999999999998</c:v>
                </c:pt>
                <c:pt idx="402">
                  <c:v>5.3449999999999998</c:v>
                </c:pt>
                <c:pt idx="403">
                  <c:v>5.3449999999999998</c:v>
                </c:pt>
                <c:pt idx="404">
                  <c:v>5.38</c:v>
                </c:pt>
                <c:pt idx="405">
                  <c:v>5.49</c:v>
                </c:pt>
                <c:pt idx="406">
                  <c:v>5.49</c:v>
                </c:pt>
                <c:pt idx="407">
                  <c:v>5.43</c:v>
                </c:pt>
                <c:pt idx="408">
                  <c:v>5.54</c:v>
                </c:pt>
                <c:pt idx="409">
                  <c:v>5.54</c:v>
                </c:pt>
                <c:pt idx="410">
                  <c:v>5.54</c:v>
                </c:pt>
                <c:pt idx="411">
                  <c:v>5.4649999999999999</c:v>
                </c:pt>
                <c:pt idx="412">
                  <c:v>5.5250000000000004</c:v>
                </c:pt>
                <c:pt idx="413">
                  <c:v>5.6950000000000003</c:v>
                </c:pt>
                <c:pt idx="414">
                  <c:v>5.7549999999999999</c:v>
                </c:pt>
                <c:pt idx="415">
                  <c:v>5.585</c:v>
                </c:pt>
                <c:pt idx="416">
                  <c:v>5.585</c:v>
                </c:pt>
                <c:pt idx="417">
                  <c:v>5.585</c:v>
                </c:pt>
                <c:pt idx="418">
                  <c:v>5.6449999999999996</c:v>
                </c:pt>
                <c:pt idx="419">
                  <c:v>5.71</c:v>
                </c:pt>
                <c:pt idx="420">
                  <c:v>5.7949999999999999</c:v>
                </c:pt>
                <c:pt idx="421">
                  <c:v>5.92</c:v>
                </c:pt>
                <c:pt idx="422">
                  <c:v>6.02</c:v>
                </c:pt>
                <c:pt idx="423">
                  <c:v>6.02</c:v>
                </c:pt>
                <c:pt idx="424">
                  <c:v>6.02</c:v>
                </c:pt>
                <c:pt idx="425">
                  <c:v>5.7750000000000004</c:v>
                </c:pt>
                <c:pt idx="426">
                  <c:v>5.71</c:v>
                </c:pt>
                <c:pt idx="427">
                  <c:v>5.6050000000000004</c:v>
                </c:pt>
                <c:pt idx="428">
                  <c:v>5.44</c:v>
                </c:pt>
                <c:pt idx="429">
                  <c:v>5.6150000000000002</c:v>
                </c:pt>
                <c:pt idx="430">
                  <c:v>5.6150000000000002</c:v>
                </c:pt>
                <c:pt idx="431">
                  <c:v>5.6150000000000002</c:v>
                </c:pt>
                <c:pt idx="432">
                  <c:v>5.3449999999999998</c:v>
                </c:pt>
                <c:pt idx="433">
                  <c:v>5.22</c:v>
                </c:pt>
                <c:pt idx="434">
                  <c:v>5.1050000000000004</c:v>
                </c:pt>
                <c:pt idx="435">
                  <c:v>5.14</c:v>
                </c:pt>
                <c:pt idx="436">
                  <c:v>5.1050000000000004</c:v>
                </c:pt>
                <c:pt idx="437">
                  <c:v>5.1050000000000004</c:v>
                </c:pt>
                <c:pt idx="438">
                  <c:v>5.1050000000000004</c:v>
                </c:pt>
                <c:pt idx="439">
                  <c:v>5.2350000000000003</c:v>
                </c:pt>
                <c:pt idx="440">
                  <c:v>5.12</c:v>
                </c:pt>
                <c:pt idx="441">
                  <c:v>5.2149999999999999</c:v>
                </c:pt>
                <c:pt idx="442">
                  <c:v>5.23</c:v>
                </c:pt>
                <c:pt idx="443">
                  <c:v>5.165</c:v>
                </c:pt>
                <c:pt idx="444">
                  <c:v>5.165</c:v>
                </c:pt>
                <c:pt idx="445">
                  <c:v>5.165</c:v>
                </c:pt>
                <c:pt idx="446">
                  <c:v>5</c:v>
                </c:pt>
                <c:pt idx="447">
                  <c:v>4.9550000000000001</c:v>
                </c:pt>
                <c:pt idx="448">
                  <c:v>4.82</c:v>
                </c:pt>
                <c:pt idx="449">
                  <c:v>4.5750000000000002</c:v>
                </c:pt>
                <c:pt idx="450">
                  <c:v>4.7750000000000004</c:v>
                </c:pt>
                <c:pt idx="451">
                  <c:v>4.7750000000000004</c:v>
                </c:pt>
                <c:pt idx="452">
                  <c:v>4.7750000000000004</c:v>
                </c:pt>
                <c:pt idx="453">
                  <c:v>4.75</c:v>
                </c:pt>
                <c:pt idx="454">
                  <c:v>4.7750000000000004</c:v>
                </c:pt>
                <c:pt idx="455">
                  <c:v>4.9050000000000002</c:v>
                </c:pt>
                <c:pt idx="456">
                  <c:v>4.835</c:v>
                </c:pt>
                <c:pt idx="457">
                  <c:v>4.415</c:v>
                </c:pt>
                <c:pt idx="458">
                  <c:v>4.415</c:v>
                </c:pt>
                <c:pt idx="459">
                  <c:v>4.415</c:v>
                </c:pt>
                <c:pt idx="460">
                  <c:v>4.5250000000000004</c:v>
                </c:pt>
                <c:pt idx="461">
                  <c:v>4.47</c:v>
                </c:pt>
                <c:pt idx="462">
                  <c:v>4.51</c:v>
                </c:pt>
                <c:pt idx="463">
                  <c:v>4.6349999999999998</c:v>
                </c:pt>
                <c:pt idx="464">
                  <c:v>4.5650000000000004</c:v>
                </c:pt>
                <c:pt idx="465">
                  <c:v>4.5650000000000004</c:v>
                </c:pt>
                <c:pt idx="466">
                  <c:v>4.5650000000000004</c:v>
                </c:pt>
                <c:pt idx="467">
                  <c:v>4.63</c:v>
                </c:pt>
                <c:pt idx="468">
                  <c:v>4.63</c:v>
                </c:pt>
                <c:pt idx="469">
                  <c:v>4.66</c:v>
                </c:pt>
                <c:pt idx="470">
                  <c:v>4.88</c:v>
                </c:pt>
                <c:pt idx="471">
                  <c:v>4.7949999999999999</c:v>
                </c:pt>
                <c:pt idx="472">
                  <c:v>4.7949999999999999</c:v>
                </c:pt>
                <c:pt idx="473">
                  <c:v>4.7949999999999999</c:v>
                </c:pt>
                <c:pt idx="474">
                  <c:v>4.875</c:v>
                </c:pt>
                <c:pt idx="475">
                  <c:v>4.7750000000000004</c:v>
                </c:pt>
                <c:pt idx="476">
                  <c:v>5.09</c:v>
                </c:pt>
                <c:pt idx="477">
                  <c:v>5.1749999999999998</c:v>
                </c:pt>
                <c:pt idx="478">
                  <c:v>5.0250000000000004</c:v>
                </c:pt>
                <c:pt idx="479">
                  <c:v>5.0250000000000004</c:v>
                </c:pt>
                <c:pt idx="480">
                  <c:v>5.0250000000000004</c:v>
                </c:pt>
                <c:pt idx="481">
                  <c:v>5.0599999999999996</c:v>
                </c:pt>
                <c:pt idx="482">
                  <c:v>5.0250000000000004</c:v>
                </c:pt>
                <c:pt idx="483">
                  <c:v>5.0999999999999996</c:v>
                </c:pt>
                <c:pt idx="484">
                  <c:v>5.0650000000000004</c:v>
                </c:pt>
                <c:pt idx="485">
                  <c:v>4.9800000000000004</c:v>
                </c:pt>
                <c:pt idx="486">
                  <c:v>4.9800000000000004</c:v>
                </c:pt>
                <c:pt idx="487">
                  <c:v>4.9800000000000004</c:v>
                </c:pt>
                <c:pt idx="488">
                  <c:v>5.16</c:v>
                </c:pt>
                <c:pt idx="489">
                  <c:v>5.125</c:v>
                </c:pt>
                <c:pt idx="490">
                  <c:v>5.2750000000000004</c:v>
                </c:pt>
                <c:pt idx="491">
                  <c:v>5.31</c:v>
                </c:pt>
                <c:pt idx="492">
                  <c:v>5.41</c:v>
                </c:pt>
                <c:pt idx="493">
                  <c:v>5.41</c:v>
                </c:pt>
                <c:pt idx="494">
                  <c:v>5.41</c:v>
                </c:pt>
                <c:pt idx="495">
                  <c:v>5.165</c:v>
                </c:pt>
                <c:pt idx="496">
                  <c:v>5.125</c:v>
                </c:pt>
                <c:pt idx="497">
                  <c:v>5.125</c:v>
                </c:pt>
                <c:pt idx="498">
                  <c:v>5.37</c:v>
                </c:pt>
                <c:pt idx="499">
                  <c:v>5.4</c:v>
                </c:pt>
                <c:pt idx="500">
                  <c:v>5.4</c:v>
                </c:pt>
                <c:pt idx="501">
                  <c:v>5.4</c:v>
                </c:pt>
                <c:pt idx="502">
                  <c:v>5.22</c:v>
                </c:pt>
                <c:pt idx="503">
                  <c:v>5.3</c:v>
                </c:pt>
                <c:pt idx="504">
                  <c:v>5.31</c:v>
                </c:pt>
                <c:pt idx="505">
                  <c:v>5.1550000000000002</c:v>
                </c:pt>
                <c:pt idx="506">
                  <c:v>5.3150000000000004</c:v>
                </c:pt>
                <c:pt idx="507">
                  <c:v>5.3150000000000004</c:v>
                </c:pt>
                <c:pt idx="508">
                  <c:v>5.3150000000000004</c:v>
                </c:pt>
                <c:pt idx="509">
                  <c:v>5.17</c:v>
                </c:pt>
                <c:pt idx="510">
                  <c:v>5.25</c:v>
                </c:pt>
                <c:pt idx="511">
                  <c:v>5.23</c:v>
                </c:pt>
                <c:pt idx="512">
                  <c:v>5.45</c:v>
                </c:pt>
                <c:pt idx="513">
                  <c:v>5.6</c:v>
                </c:pt>
                <c:pt idx="514">
                  <c:v>5.6</c:v>
                </c:pt>
                <c:pt idx="515">
                  <c:v>5.6</c:v>
                </c:pt>
                <c:pt idx="516">
                  <c:v>5.87</c:v>
                </c:pt>
                <c:pt idx="517">
                  <c:v>5.82</c:v>
                </c:pt>
                <c:pt idx="518">
                  <c:v>5.99</c:v>
                </c:pt>
                <c:pt idx="519">
                  <c:v>5.9850000000000003</c:v>
                </c:pt>
                <c:pt idx="520">
                  <c:v>6.0949999999999998</c:v>
                </c:pt>
                <c:pt idx="521">
                  <c:v>6.0949999999999998</c:v>
                </c:pt>
                <c:pt idx="522">
                  <c:v>6.0949999999999998</c:v>
                </c:pt>
                <c:pt idx="523">
                  <c:v>5.8150000000000004</c:v>
                </c:pt>
                <c:pt idx="524">
                  <c:v>5.8949999999999996</c:v>
                </c:pt>
                <c:pt idx="525">
                  <c:v>6.165</c:v>
                </c:pt>
                <c:pt idx="526">
                  <c:v>6.125</c:v>
                </c:pt>
                <c:pt idx="527">
                  <c:v>6.36</c:v>
                </c:pt>
                <c:pt idx="528">
                  <c:v>6.36</c:v>
                </c:pt>
                <c:pt idx="529">
                  <c:v>6.36</c:v>
                </c:pt>
                <c:pt idx="530">
                  <c:v>6.36</c:v>
                </c:pt>
                <c:pt idx="531">
                  <c:v>6.415</c:v>
                </c:pt>
                <c:pt idx="532">
                  <c:v>6.3849999999999998</c:v>
                </c:pt>
                <c:pt idx="533">
                  <c:v>6.5750000000000002</c:v>
                </c:pt>
                <c:pt idx="534">
                  <c:v>6.875</c:v>
                </c:pt>
                <c:pt idx="535">
                  <c:v>6.875</c:v>
                </c:pt>
                <c:pt idx="536">
                  <c:v>6.875</c:v>
                </c:pt>
                <c:pt idx="537">
                  <c:v>6.7249999999999996</c:v>
                </c:pt>
                <c:pt idx="538">
                  <c:v>6.4349999999999996</c:v>
                </c:pt>
                <c:pt idx="539">
                  <c:v>5.9450000000000003</c:v>
                </c:pt>
                <c:pt idx="540">
                  <c:v>5.3049999999999997</c:v>
                </c:pt>
                <c:pt idx="541">
                  <c:v>5.4050000000000002</c:v>
                </c:pt>
                <c:pt idx="542">
                  <c:v>5.4050000000000002</c:v>
                </c:pt>
                <c:pt idx="543">
                  <c:v>5.4050000000000002</c:v>
                </c:pt>
                <c:pt idx="544">
                  <c:v>5.5949999999999998</c:v>
                </c:pt>
                <c:pt idx="545">
                  <c:v>5.8449999999999998</c:v>
                </c:pt>
                <c:pt idx="546">
                  <c:v>5.5350000000000001</c:v>
                </c:pt>
                <c:pt idx="547">
                  <c:v>5.375</c:v>
                </c:pt>
                <c:pt idx="548">
                  <c:v>5.33</c:v>
                </c:pt>
                <c:pt idx="549">
                  <c:v>5.33</c:v>
                </c:pt>
                <c:pt idx="550">
                  <c:v>5.33</c:v>
                </c:pt>
                <c:pt idx="551">
                  <c:v>5.2850000000000001</c:v>
                </c:pt>
                <c:pt idx="552">
                  <c:v>5.2050000000000001</c:v>
                </c:pt>
                <c:pt idx="553">
                  <c:v>5.35</c:v>
                </c:pt>
                <c:pt idx="554">
                  <c:v>5.5750000000000002</c:v>
                </c:pt>
                <c:pt idx="555">
                  <c:v>5.51</c:v>
                </c:pt>
                <c:pt idx="556">
                  <c:v>5.51</c:v>
                </c:pt>
                <c:pt idx="557">
                  <c:v>5.51</c:v>
                </c:pt>
                <c:pt idx="558">
                  <c:v>5.3849999999999998</c:v>
                </c:pt>
                <c:pt idx="559">
                  <c:v>5.4</c:v>
                </c:pt>
                <c:pt idx="560">
                  <c:v>5.03</c:v>
                </c:pt>
                <c:pt idx="561">
                  <c:v>4.8099999999999996</c:v>
                </c:pt>
                <c:pt idx="562">
                  <c:v>4.8449999999999998</c:v>
                </c:pt>
                <c:pt idx="563">
                  <c:v>4.8449999999999998</c:v>
                </c:pt>
                <c:pt idx="564">
                  <c:v>4.8449999999999998</c:v>
                </c:pt>
                <c:pt idx="565">
                  <c:v>4.84</c:v>
                </c:pt>
                <c:pt idx="566">
                  <c:v>4.8</c:v>
                </c:pt>
                <c:pt idx="567">
                  <c:v>4.9800000000000004</c:v>
                </c:pt>
                <c:pt idx="568">
                  <c:v>4.8499999999999996</c:v>
                </c:pt>
                <c:pt idx="569">
                  <c:v>4.83</c:v>
                </c:pt>
                <c:pt idx="570">
                  <c:v>4.83</c:v>
                </c:pt>
                <c:pt idx="571">
                  <c:v>4.83</c:v>
                </c:pt>
                <c:pt idx="572">
                  <c:v>4.79</c:v>
                </c:pt>
                <c:pt idx="573">
                  <c:v>4.7450000000000001</c:v>
                </c:pt>
                <c:pt idx="574">
                  <c:v>4.7249999999999996</c:v>
                </c:pt>
                <c:pt idx="575">
                  <c:v>4.7249999999999996</c:v>
                </c:pt>
                <c:pt idx="576">
                  <c:v>4.7249999999999996</c:v>
                </c:pt>
                <c:pt idx="577">
                  <c:v>4.7249999999999996</c:v>
                </c:pt>
                <c:pt idx="578">
                  <c:v>4.7249999999999996</c:v>
                </c:pt>
                <c:pt idx="579">
                  <c:v>4.6550000000000002</c:v>
                </c:pt>
                <c:pt idx="580">
                  <c:v>4.8849999999999998</c:v>
                </c:pt>
                <c:pt idx="581">
                  <c:v>4.7750000000000004</c:v>
                </c:pt>
                <c:pt idx="582">
                  <c:v>4.76</c:v>
                </c:pt>
                <c:pt idx="583">
                  <c:v>4.9800000000000004</c:v>
                </c:pt>
                <c:pt idx="584">
                  <c:v>4.9800000000000004</c:v>
                </c:pt>
                <c:pt idx="585">
                  <c:v>4.9800000000000004</c:v>
                </c:pt>
                <c:pt idx="586">
                  <c:v>4.82</c:v>
                </c:pt>
                <c:pt idx="587">
                  <c:v>4.7249999999999996</c:v>
                </c:pt>
                <c:pt idx="588">
                  <c:v>4.62</c:v>
                </c:pt>
                <c:pt idx="589">
                  <c:v>4.7249999999999996</c:v>
                </c:pt>
                <c:pt idx="590">
                  <c:v>4.875</c:v>
                </c:pt>
                <c:pt idx="591">
                  <c:v>4.875</c:v>
                </c:pt>
                <c:pt idx="592">
                  <c:v>4.875</c:v>
                </c:pt>
                <c:pt idx="593">
                  <c:v>5.03</c:v>
                </c:pt>
                <c:pt idx="594">
                  <c:v>4.9950000000000001</c:v>
                </c:pt>
                <c:pt idx="595">
                  <c:v>5.1100000000000003</c:v>
                </c:pt>
                <c:pt idx="596">
                  <c:v>4.9550000000000001</c:v>
                </c:pt>
                <c:pt idx="597">
                  <c:v>5.1950000000000003</c:v>
                </c:pt>
                <c:pt idx="598">
                  <c:v>5.1950000000000003</c:v>
                </c:pt>
                <c:pt idx="599">
                  <c:v>5.1950000000000003</c:v>
                </c:pt>
                <c:pt idx="600">
                  <c:v>5.1050000000000004</c:v>
                </c:pt>
                <c:pt idx="601">
                  <c:v>5.23</c:v>
                </c:pt>
                <c:pt idx="602">
                  <c:v>5.3049999999999997</c:v>
                </c:pt>
                <c:pt idx="603">
                  <c:v>5.4249999999999998</c:v>
                </c:pt>
                <c:pt idx="604">
                  <c:v>5.29</c:v>
                </c:pt>
                <c:pt idx="605">
                  <c:v>5.29</c:v>
                </c:pt>
                <c:pt idx="606">
                  <c:v>5.29</c:v>
                </c:pt>
                <c:pt idx="607">
                  <c:v>5.3449999999999998</c:v>
                </c:pt>
                <c:pt idx="608">
                  <c:v>5.33</c:v>
                </c:pt>
                <c:pt idx="609">
                  <c:v>5.44</c:v>
                </c:pt>
                <c:pt idx="610">
                  <c:v>5.55</c:v>
                </c:pt>
                <c:pt idx="611">
                  <c:v>5.5949999999999998</c:v>
                </c:pt>
                <c:pt idx="612">
                  <c:v>5.5949999999999998</c:v>
                </c:pt>
                <c:pt idx="613">
                  <c:v>5.5949999999999998</c:v>
                </c:pt>
                <c:pt idx="614">
                  <c:v>5.57</c:v>
                </c:pt>
                <c:pt idx="615">
                  <c:v>5.7149999999999999</c:v>
                </c:pt>
                <c:pt idx="616">
                  <c:v>5.6849999999999996</c:v>
                </c:pt>
                <c:pt idx="617">
                  <c:v>6.04</c:v>
                </c:pt>
                <c:pt idx="618">
                  <c:v>6.04</c:v>
                </c:pt>
                <c:pt idx="619">
                  <c:v>6.04</c:v>
                </c:pt>
                <c:pt idx="620">
                  <c:v>6.04</c:v>
                </c:pt>
                <c:pt idx="621">
                  <c:v>6.04</c:v>
                </c:pt>
                <c:pt idx="622">
                  <c:v>6.0750000000000002</c:v>
                </c:pt>
                <c:pt idx="623">
                  <c:v>5.875</c:v>
                </c:pt>
                <c:pt idx="624">
                  <c:v>6.01</c:v>
                </c:pt>
                <c:pt idx="625">
                  <c:v>6.01</c:v>
                </c:pt>
                <c:pt idx="626">
                  <c:v>6.01</c:v>
                </c:pt>
                <c:pt idx="627">
                  <c:v>6.01</c:v>
                </c:pt>
                <c:pt idx="628">
                  <c:v>5.7649999999999997</c:v>
                </c:pt>
                <c:pt idx="629">
                  <c:v>5.4950000000000001</c:v>
                </c:pt>
                <c:pt idx="630">
                  <c:v>5.5949999999999998</c:v>
                </c:pt>
                <c:pt idx="631">
                  <c:v>5.44</c:v>
                </c:pt>
                <c:pt idx="632">
                  <c:v>5.28</c:v>
                </c:pt>
                <c:pt idx="633">
                  <c:v>5.28</c:v>
                </c:pt>
                <c:pt idx="634">
                  <c:v>5.28</c:v>
                </c:pt>
                <c:pt idx="635">
                  <c:v>5.2350000000000003</c:v>
                </c:pt>
                <c:pt idx="636">
                  <c:v>5.125</c:v>
                </c:pt>
                <c:pt idx="637">
                  <c:v>4.9800000000000004</c:v>
                </c:pt>
                <c:pt idx="638">
                  <c:v>5.03</c:v>
                </c:pt>
                <c:pt idx="639">
                  <c:v>5.0250000000000004</c:v>
                </c:pt>
                <c:pt idx="640">
                  <c:v>5.0250000000000004</c:v>
                </c:pt>
                <c:pt idx="641">
                  <c:v>5.0250000000000004</c:v>
                </c:pt>
                <c:pt idx="642">
                  <c:v>5.1100000000000003</c:v>
                </c:pt>
                <c:pt idx="643">
                  <c:v>4.9349999999999996</c:v>
                </c:pt>
                <c:pt idx="644">
                  <c:v>4.9850000000000003</c:v>
                </c:pt>
                <c:pt idx="645">
                  <c:v>4.99</c:v>
                </c:pt>
                <c:pt idx="646">
                  <c:v>5.0199999999999996</c:v>
                </c:pt>
                <c:pt idx="647">
                  <c:v>5.0199999999999996</c:v>
                </c:pt>
                <c:pt idx="648">
                  <c:v>5.0199999999999996</c:v>
                </c:pt>
                <c:pt idx="649">
                  <c:v>5.0149999999999997</c:v>
                </c:pt>
                <c:pt idx="650">
                  <c:v>5.0449999999999999</c:v>
                </c:pt>
                <c:pt idx="651">
                  <c:v>5.1749999999999998</c:v>
                </c:pt>
                <c:pt idx="652">
                  <c:v>5.1449999999999996</c:v>
                </c:pt>
                <c:pt idx="653">
                  <c:v>5.0949999999999998</c:v>
                </c:pt>
                <c:pt idx="654">
                  <c:v>5.0949999999999998</c:v>
                </c:pt>
                <c:pt idx="655">
                  <c:v>5.0949999999999998</c:v>
                </c:pt>
                <c:pt idx="656">
                  <c:v>5.14</c:v>
                </c:pt>
                <c:pt idx="657">
                  <c:v>5.1749999999999998</c:v>
                </c:pt>
                <c:pt idx="658">
                  <c:v>5.14</c:v>
                </c:pt>
                <c:pt idx="659">
                  <c:v>5.2649999999999997</c:v>
                </c:pt>
                <c:pt idx="660">
                  <c:v>5.1050000000000004</c:v>
                </c:pt>
                <c:pt idx="661">
                  <c:v>5.1050000000000004</c:v>
                </c:pt>
                <c:pt idx="662">
                  <c:v>5.1050000000000004</c:v>
                </c:pt>
                <c:pt idx="663">
                  <c:v>5.2350000000000003</c:v>
                </c:pt>
                <c:pt idx="664">
                  <c:v>5.2450000000000001</c:v>
                </c:pt>
                <c:pt idx="665">
                  <c:v>5.2450000000000001</c:v>
                </c:pt>
                <c:pt idx="666">
                  <c:v>5.04</c:v>
                </c:pt>
                <c:pt idx="667">
                  <c:v>4.9550000000000001</c:v>
                </c:pt>
                <c:pt idx="668">
                  <c:v>4.9550000000000001</c:v>
                </c:pt>
                <c:pt idx="669">
                  <c:v>4.9550000000000001</c:v>
                </c:pt>
                <c:pt idx="670">
                  <c:v>4.87</c:v>
                </c:pt>
                <c:pt idx="671">
                  <c:v>4.8949999999999996</c:v>
                </c:pt>
                <c:pt idx="672">
                  <c:v>5.0250000000000004</c:v>
                </c:pt>
                <c:pt idx="673">
                  <c:v>4.95</c:v>
                </c:pt>
                <c:pt idx="674">
                  <c:v>5.1150000000000002</c:v>
                </c:pt>
                <c:pt idx="675">
                  <c:v>5.1150000000000002</c:v>
                </c:pt>
                <c:pt idx="676">
                  <c:v>5.1150000000000002</c:v>
                </c:pt>
                <c:pt idx="677">
                  <c:v>4.91</c:v>
                </c:pt>
                <c:pt idx="678">
                  <c:v>4.91</c:v>
                </c:pt>
                <c:pt idx="679">
                  <c:v>4.84</c:v>
                </c:pt>
                <c:pt idx="680">
                  <c:v>4.66</c:v>
                </c:pt>
                <c:pt idx="681">
                  <c:v>4.7</c:v>
                </c:pt>
                <c:pt idx="682">
                  <c:v>4.7</c:v>
                </c:pt>
                <c:pt idx="683">
                  <c:v>4.7</c:v>
                </c:pt>
                <c:pt idx="684">
                  <c:v>4.84</c:v>
                </c:pt>
                <c:pt idx="685">
                  <c:v>4.7050000000000001</c:v>
                </c:pt>
                <c:pt idx="686">
                  <c:v>4.7649999999999997</c:v>
                </c:pt>
                <c:pt idx="687">
                  <c:v>4.6749999999999998</c:v>
                </c:pt>
                <c:pt idx="688">
                  <c:v>4.57</c:v>
                </c:pt>
                <c:pt idx="689">
                  <c:v>4.57</c:v>
                </c:pt>
                <c:pt idx="690">
                  <c:v>4.57</c:v>
                </c:pt>
                <c:pt idx="691">
                  <c:v>4.6050000000000004</c:v>
                </c:pt>
                <c:pt idx="692">
                  <c:v>4.5750000000000002</c:v>
                </c:pt>
                <c:pt idx="693">
                  <c:v>4.71</c:v>
                </c:pt>
                <c:pt idx="694">
                  <c:v>4.78</c:v>
                </c:pt>
                <c:pt idx="695">
                  <c:v>4.835</c:v>
                </c:pt>
                <c:pt idx="696">
                  <c:v>4.835</c:v>
                </c:pt>
                <c:pt idx="697">
                  <c:v>4.835</c:v>
                </c:pt>
                <c:pt idx="698">
                  <c:v>4.95</c:v>
                </c:pt>
                <c:pt idx="699">
                  <c:v>4.95</c:v>
                </c:pt>
                <c:pt idx="700">
                  <c:v>4.915</c:v>
                </c:pt>
                <c:pt idx="701">
                  <c:v>4.8849999999999998</c:v>
                </c:pt>
                <c:pt idx="702">
                  <c:v>4.8150000000000004</c:v>
                </c:pt>
                <c:pt idx="703">
                  <c:v>4.8150000000000004</c:v>
                </c:pt>
                <c:pt idx="704">
                  <c:v>4.8150000000000004</c:v>
                </c:pt>
                <c:pt idx="705">
                  <c:v>4.8949999999999996</c:v>
                </c:pt>
                <c:pt idx="706">
                  <c:v>5.05</c:v>
                </c:pt>
                <c:pt idx="707">
                  <c:v>5.085</c:v>
                </c:pt>
                <c:pt idx="708">
                  <c:v>5.2450000000000001</c:v>
                </c:pt>
                <c:pt idx="709">
                  <c:v>5.3650000000000002</c:v>
                </c:pt>
                <c:pt idx="710">
                  <c:v>5.3650000000000002</c:v>
                </c:pt>
                <c:pt idx="711">
                  <c:v>5.3650000000000002</c:v>
                </c:pt>
                <c:pt idx="712">
                  <c:v>5.31</c:v>
                </c:pt>
                <c:pt idx="713">
                  <c:v>5.05</c:v>
                </c:pt>
                <c:pt idx="714">
                  <c:v>5.15</c:v>
                </c:pt>
                <c:pt idx="715">
                  <c:v>5.2050000000000001</c:v>
                </c:pt>
                <c:pt idx="716">
                  <c:v>5.15</c:v>
                </c:pt>
                <c:pt idx="717">
                  <c:v>5.15</c:v>
                </c:pt>
                <c:pt idx="718">
                  <c:v>5.15</c:v>
                </c:pt>
                <c:pt idx="719">
                  <c:v>5.3049999999999997</c:v>
                </c:pt>
                <c:pt idx="720">
                  <c:v>5.33</c:v>
                </c:pt>
                <c:pt idx="721">
                  <c:v>5.2949999999999999</c:v>
                </c:pt>
                <c:pt idx="722">
                  <c:v>5.38</c:v>
                </c:pt>
                <c:pt idx="723">
                  <c:v>5.4550000000000001</c:v>
                </c:pt>
                <c:pt idx="724">
                  <c:v>5.4550000000000001</c:v>
                </c:pt>
                <c:pt idx="725">
                  <c:v>5.4550000000000001</c:v>
                </c:pt>
                <c:pt idx="726">
                  <c:v>5.5949999999999998</c:v>
                </c:pt>
                <c:pt idx="727">
                  <c:v>5.58</c:v>
                </c:pt>
                <c:pt idx="728">
                  <c:v>5.5250000000000004</c:v>
                </c:pt>
                <c:pt idx="729">
                  <c:v>5.41</c:v>
                </c:pt>
                <c:pt idx="730">
                  <c:v>5.32</c:v>
                </c:pt>
                <c:pt idx="731">
                  <c:v>5.32</c:v>
                </c:pt>
                <c:pt idx="732">
                  <c:v>5.32</c:v>
                </c:pt>
                <c:pt idx="733">
                  <c:v>5.2750000000000004</c:v>
                </c:pt>
                <c:pt idx="734">
                  <c:v>5.2750000000000004</c:v>
                </c:pt>
                <c:pt idx="735">
                  <c:v>5.43</c:v>
                </c:pt>
                <c:pt idx="736">
                  <c:v>5.5650000000000004</c:v>
                </c:pt>
                <c:pt idx="737">
                  <c:v>5.625</c:v>
                </c:pt>
                <c:pt idx="738">
                  <c:v>5.625</c:v>
                </c:pt>
                <c:pt idx="739">
                  <c:v>5.625</c:v>
                </c:pt>
                <c:pt idx="740">
                  <c:v>5.5350000000000001</c:v>
                </c:pt>
                <c:pt idx="741">
                  <c:v>5.7050000000000001</c:v>
                </c:pt>
                <c:pt idx="742">
                  <c:v>5.55</c:v>
                </c:pt>
                <c:pt idx="743">
                  <c:v>5.4450000000000003</c:v>
                </c:pt>
                <c:pt idx="744">
                  <c:v>5.52</c:v>
                </c:pt>
                <c:pt idx="745">
                  <c:v>5.52</c:v>
                </c:pt>
                <c:pt idx="746">
                  <c:v>5.52</c:v>
                </c:pt>
                <c:pt idx="747">
                  <c:v>5.8150000000000004</c:v>
                </c:pt>
                <c:pt idx="748">
                  <c:v>5.91</c:v>
                </c:pt>
                <c:pt idx="749">
                  <c:v>5.92</c:v>
                </c:pt>
                <c:pt idx="750">
                  <c:v>5.7649999999999997</c:v>
                </c:pt>
                <c:pt idx="751">
                  <c:v>5.9249999999999998</c:v>
                </c:pt>
                <c:pt idx="752">
                  <c:v>5.9249999999999998</c:v>
                </c:pt>
                <c:pt idx="753">
                  <c:v>5.9249999999999998</c:v>
                </c:pt>
                <c:pt idx="754">
                  <c:v>5.8049999999999997</c:v>
                </c:pt>
                <c:pt idx="755">
                  <c:v>5.98</c:v>
                </c:pt>
                <c:pt idx="756">
                  <c:v>5.4950000000000001</c:v>
                </c:pt>
                <c:pt idx="757">
                  <c:v>5.5750000000000002</c:v>
                </c:pt>
                <c:pt idx="758">
                  <c:v>6.6449999999999996</c:v>
                </c:pt>
                <c:pt idx="759">
                  <c:v>6.6449999999999996</c:v>
                </c:pt>
                <c:pt idx="760">
                  <c:v>6.6449999999999996</c:v>
                </c:pt>
                <c:pt idx="761">
                  <c:v>6.31</c:v>
                </c:pt>
                <c:pt idx="762">
                  <c:v>6.2949999999999999</c:v>
                </c:pt>
                <c:pt idx="763">
                  <c:v>5.8849999999999998</c:v>
                </c:pt>
                <c:pt idx="764">
                  <c:v>5.9450000000000003</c:v>
                </c:pt>
                <c:pt idx="765">
                  <c:v>5.9749999999999996</c:v>
                </c:pt>
                <c:pt idx="766">
                  <c:v>5.9749999999999996</c:v>
                </c:pt>
                <c:pt idx="767">
                  <c:v>5.9749999999999996</c:v>
                </c:pt>
                <c:pt idx="768">
                  <c:v>6.085</c:v>
                </c:pt>
                <c:pt idx="769">
                  <c:v>5.5949999999999998</c:v>
                </c:pt>
                <c:pt idx="770">
                  <c:v>5.3949999999999996</c:v>
                </c:pt>
                <c:pt idx="771">
                  <c:v>5.335</c:v>
                </c:pt>
                <c:pt idx="772">
                  <c:v>5.2350000000000003</c:v>
                </c:pt>
                <c:pt idx="773">
                  <c:v>5.2350000000000003</c:v>
                </c:pt>
                <c:pt idx="774">
                  <c:v>5.2350000000000003</c:v>
                </c:pt>
                <c:pt idx="775">
                  <c:v>5.23</c:v>
                </c:pt>
                <c:pt idx="776">
                  <c:v>5.4450000000000003</c:v>
                </c:pt>
                <c:pt idx="777">
                  <c:v>5.57</c:v>
                </c:pt>
                <c:pt idx="778">
                  <c:v>5.4550000000000001</c:v>
                </c:pt>
                <c:pt idx="779">
                  <c:v>5.5449999999999999</c:v>
                </c:pt>
                <c:pt idx="780">
                  <c:v>5.5449999999999999</c:v>
                </c:pt>
                <c:pt idx="781">
                  <c:v>5.5449999999999999</c:v>
                </c:pt>
                <c:pt idx="782">
                  <c:v>5.4749999999999996</c:v>
                </c:pt>
                <c:pt idx="783">
                  <c:v>5.39</c:v>
                </c:pt>
                <c:pt idx="784">
                  <c:v>5.25</c:v>
                </c:pt>
                <c:pt idx="785">
                  <c:v>5.2549999999999999</c:v>
                </c:pt>
                <c:pt idx="786">
                  <c:v>5.1749999999999998</c:v>
                </c:pt>
                <c:pt idx="787">
                  <c:v>5.1749999999999998</c:v>
                </c:pt>
                <c:pt idx="788">
                  <c:v>5.1749999999999998</c:v>
                </c:pt>
                <c:pt idx="789">
                  <c:v>5.42</c:v>
                </c:pt>
                <c:pt idx="790">
                  <c:v>5.4349999999999996</c:v>
                </c:pt>
                <c:pt idx="791">
                  <c:v>5.4749999999999996</c:v>
                </c:pt>
                <c:pt idx="792">
                  <c:v>5.46</c:v>
                </c:pt>
                <c:pt idx="793">
                  <c:v>5.5750000000000002</c:v>
                </c:pt>
                <c:pt idx="794">
                  <c:v>5.5750000000000002</c:v>
                </c:pt>
                <c:pt idx="795">
                  <c:v>5.5750000000000002</c:v>
                </c:pt>
                <c:pt idx="796">
                  <c:v>5.4749999999999996</c:v>
                </c:pt>
                <c:pt idx="797">
                  <c:v>5.7649999999999997</c:v>
                </c:pt>
                <c:pt idx="798">
                  <c:v>5.8</c:v>
                </c:pt>
                <c:pt idx="799">
                  <c:v>5.64</c:v>
                </c:pt>
                <c:pt idx="800">
                  <c:v>5.625</c:v>
                </c:pt>
                <c:pt idx="801">
                  <c:v>5.625</c:v>
                </c:pt>
                <c:pt idx="802">
                  <c:v>5.625</c:v>
                </c:pt>
                <c:pt idx="803">
                  <c:v>5.45</c:v>
                </c:pt>
                <c:pt idx="804">
                  <c:v>5.375</c:v>
                </c:pt>
                <c:pt idx="805">
                  <c:v>5.41</c:v>
                </c:pt>
                <c:pt idx="806">
                  <c:v>5.62</c:v>
                </c:pt>
                <c:pt idx="807">
                  <c:v>5.5549999999999997</c:v>
                </c:pt>
                <c:pt idx="808">
                  <c:v>5.5549999999999997</c:v>
                </c:pt>
                <c:pt idx="809">
                  <c:v>5.5549999999999997</c:v>
                </c:pt>
                <c:pt idx="810">
                  <c:v>5.2050000000000001</c:v>
                </c:pt>
                <c:pt idx="811">
                  <c:v>5.26</c:v>
                </c:pt>
                <c:pt idx="812">
                  <c:v>5.2750000000000004</c:v>
                </c:pt>
                <c:pt idx="813">
                  <c:v>5.2649999999999997</c:v>
                </c:pt>
                <c:pt idx="814">
                  <c:v>5.2850000000000001</c:v>
                </c:pt>
                <c:pt idx="815">
                  <c:v>5.2850000000000001</c:v>
                </c:pt>
                <c:pt idx="816">
                  <c:v>5.2850000000000001</c:v>
                </c:pt>
                <c:pt idx="817">
                  <c:v>5.2949999999999999</c:v>
                </c:pt>
                <c:pt idx="818">
                  <c:v>5.1449999999999996</c:v>
                </c:pt>
                <c:pt idx="819">
                  <c:v>5.09</c:v>
                </c:pt>
                <c:pt idx="820">
                  <c:v>5.2350000000000003</c:v>
                </c:pt>
                <c:pt idx="821">
                  <c:v>5.415</c:v>
                </c:pt>
                <c:pt idx="822">
                  <c:v>5.415</c:v>
                </c:pt>
                <c:pt idx="823">
                  <c:v>5.415</c:v>
                </c:pt>
                <c:pt idx="824">
                  <c:v>4.91</c:v>
                </c:pt>
                <c:pt idx="825">
                  <c:v>4.91</c:v>
                </c:pt>
                <c:pt idx="826">
                  <c:v>4.68</c:v>
                </c:pt>
                <c:pt idx="827">
                  <c:v>4.6900000000000004</c:v>
                </c:pt>
                <c:pt idx="828">
                  <c:v>4.6749999999999998</c:v>
                </c:pt>
                <c:pt idx="829">
                  <c:v>4.6749999999999998</c:v>
                </c:pt>
                <c:pt idx="830">
                  <c:v>4.6749999999999998</c:v>
                </c:pt>
                <c:pt idx="831">
                  <c:v>4.49</c:v>
                </c:pt>
                <c:pt idx="832">
                  <c:v>4.3949999999999996</c:v>
                </c:pt>
                <c:pt idx="833">
                  <c:v>4.3650000000000002</c:v>
                </c:pt>
                <c:pt idx="834">
                  <c:v>4.3849999999999998</c:v>
                </c:pt>
                <c:pt idx="835">
                  <c:v>4.3600000000000003</c:v>
                </c:pt>
                <c:pt idx="836">
                  <c:v>4.3600000000000003</c:v>
                </c:pt>
                <c:pt idx="837">
                  <c:v>4.3600000000000003</c:v>
                </c:pt>
                <c:pt idx="838">
                  <c:v>4.1550000000000002</c:v>
                </c:pt>
                <c:pt idx="839">
                  <c:v>4.0750000000000002</c:v>
                </c:pt>
                <c:pt idx="840">
                  <c:v>4.0250000000000004</c:v>
                </c:pt>
                <c:pt idx="841">
                  <c:v>3.915</c:v>
                </c:pt>
                <c:pt idx="842">
                  <c:v>3.85</c:v>
                </c:pt>
                <c:pt idx="843">
                  <c:v>3.85</c:v>
                </c:pt>
                <c:pt idx="844">
                  <c:v>3.85</c:v>
                </c:pt>
                <c:pt idx="845">
                  <c:v>3.8149999999999999</c:v>
                </c:pt>
                <c:pt idx="846">
                  <c:v>3.87</c:v>
                </c:pt>
                <c:pt idx="847">
                  <c:v>3.88</c:v>
                </c:pt>
                <c:pt idx="848">
                  <c:v>3.875</c:v>
                </c:pt>
                <c:pt idx="849">
                  <c:v>3.83</c:v>
                </c:pt>
                <c:pt idx="850">
                  <c:v>3.83</c:v>
                </c:pt>
                <c:pt idx="851">
                  <c:v>3.83</c:v>
                </c:pt>
                <c:pt idx="852">
                  <c:v>3.8450000000000002</c:v>
                </c:pt>
                <c:pt idx="853">
                  <c:v>3.82</c:v>
                </c:pt>
                <c:pt idx="854">
                  <c:v>3.855</c:v>
                </c:pt>
                <c:pt idx="855">
                  <c:v>3.875</c:v>
                </c:pt>
                <c:pt idx="856">
                  <c:v>3.9249999999999998</c:v>
                </c:pt>
                <c:pt idx="857">
                  <c:v>3.9249999999999998</c:v>
                </c:pt>
                <c:pt idx="858">
                  <c:v>3.9249999999999998</c:v>
                </c:pt>
                <c:pt idx="859">
                  <c:v>3.8050000000000002</c:v>
                </c:pt>
                <c:pt idx="860">
                  <c:v>3.76</c:v>
                </c:pt>
                <c:pt idx="861">
                  <c:v>3.7850000000000001</c:v>
                </c:pt>
                <c:pt idx="862">
                  <c:v>3.77</c:v>
                </c:pt>
                <c:pt idx="863">
                  <c:v>3.77</c:v>
                </c:pt>
                <c:pt idx="864">
                  <c:v>3.77</c:v>
                </c:pt>
                <c:pt idx="865">
                  <c:v>3.77</c:v>
                </c:pt>
                <c:pt idx="866">
                  <c:v>3.7349999999999999</c:v>
                </c:pt>
                <c:pt idx="867">
                  <c:v>3.7749999999999999</c:v>
                </c:pt>
                <c:pt idx="868">
                  <c:v>3.7549999999999999</c:v>
                </c:pt>
                <c:pt idx="869">
                  <c:v>3.7450000000000001</c:v>
                </c:pt>
                <c:pt idx="870">
                  <c:v>3.67</c:v>
                </c:pt>
                <c:pt idx="871">
                  <c:v>3.67</c:v>
                </c:pt>
                <c:pt idx="872">
                  <c:v>3.67</c:v>
                </c:pt>
                <c:pt idx="873">
                  <c:v>3.67</c:v>
                </c:pt>
                <c:pt idx="874">
                  <c:v>3.645</c:v>
                </c:pt>
                <c:pt idx="875">
                  <c:v>3.68</c:v>
                </c:pt>
                <c:pt idx="876">
                  <c:v>3.68</c:v>
                </c:pt>
                <c:pt idx="877">
                  <c:v>3.7949999999999999</c:v>
                </c:pt>
                <c:pt idx="878">
                  <c:v>3.7949999999999999</c:v>
                </c:pt>
                <c:pt idx="879">
                  <c:v>3.7949999999999999</c:v>
                </c:pt>
                <c:pt idx="880">
                  <c:v>3.7850000000000001</c:v>
                </c:pt>
                <c:pt idx="881">
                  <c:v>3.81</c:v>
                </c:pt>
                <c:pt idx="882">
                  <c:v>3.7250000000000001</c:v>
                </c:pt>
                <c:pt idx="883">
                  <c:v>3.68</c:v>
                </c:pt>
                <c:pt idx="884">
                  <c:v>3.895</c:v>
                </c:pt>
                <c:pt idx="885">
                  <c:v>3.895</c:v>
                </c:pt>
                <c:pt idx="886">
                  <c:v>3.895</c:v>
                </c:pt>
                <c:pt idx="887">
                  <c:v>3.895</c:v>
                </c:pt>
                <c:pt idx="888">
                  <c:v>3.9350000000000001</c:v>
                </c:pt>
                <c:pt idx="889">
                  <c:v>3.91</c:v>
                </c:pt>
                <c:pt idx="890">
                  <c:v>3.8450000000000002</c:v>
                </c:pt>
                <c:pt idx="891">
                  <c:v>3.895</c:v>
                </c:pt>
                <c:pt idx="892">
                  <c:v>3.895</c:v>
                </c:pt>
                <c:pt idx="893">
                  <c:v>3.895</c:v>
                </c:pt>
                <c:pt idx="894">
                  <c:v>3.9849999999999999</c:v>
                </c:pt>
                <c:pt idx="895">
                  <c:v>3.9049999999999998</c:v>
                </c:pt>
                <c:pt idx="896">
                  <c:v>3.97</c:v>
                </c:pt>
                <c:pt idx="897">
                  <c:v>3.9649999999999999</c:v>
                </c:pt>
                <c:pt idx="898">
                  <c:v>3.9750000000000001</c:v>
                </c:pt>
                <c:pt idx="899">
                  <c:v>3.9750000000000001</c:v>
                </c:pt>
                <c:pt idx="900">
                  <c:v>3.9750000000000001</c:v>
                </c:pt>
                <c:pt idx="901">
                  <c:v>3.9550000000000001</c:v>
                </c:pt>
                <c:pt idx="902">
                  <c:v>4.0599999999999996</c:v>
                </c:pt>
                <c:pt idx="903">
                  <c:v>4.1500000000000004</c:v>
                </c:pt>
                <c:pt idx="904">
                  <c:v>4.09</c:v>
                </c:pt>
                <c:pt idx="905">
                  <c:v>4.3</c:v>
                </c:pt>
                <c:pt idx="906">
                  <c:v>4.3</c:v>
                </c:pt>
                <c:pt idx="907">
                  <c:v>4.3</c:v>
                </c:pt>
                <c:pt idx="908">
                  <c:v>4.12</c:v>
                </c:pt>
                <c:pt idx="909">
                  <c:v>4.1050000000000004</c:v>
                </c:pt>
                <c:pt idx="910">
                  <c:v>4.1849999999999996</c:v>
                </c:pt>
                <c:pt idx="911">
                  <c:v>4.1749999999999998</c:v>
                </c:pt>
                <c:pt idx="912">
                  <c:v>4.18</c:v>
                </c:pt>
                <c:pt idx="913">
                  <c:v>4.18</c:v>
                </c:pt>
                <c:pt idx="914">
                  <c:v>4.18</c:v>
                </c:pt>
                <c:pt idx="915">
                  <c:v>4.2</c:v>
                </c:pt>
                <c:pt idx="916">
                  <c:v>4.22</c:v>
                </c:pt>
                <c:pt idx="917">
                  <c:v>4.16</c:v>
                </c:pt>
                <c:pt idx="918">
                  <c:v>4.0949999999999998</c:v>
                </c:pt>
                <c:pt idx="919">
                  <c:v>4.25</c:v>
                </c:pt>
                <c:pt idx="920">
                  <c:v>4.25</c:v>
                </c:pt>
                <c:pt idx="921">
                  <c:v>4.25</c:v>
                </c:pt>
                <c:pt idx="922">
                  <c:v>4.24</c:v>
                </c:pt>
                <c:pt idx="923">
                  <c:v>4.32</c:v>
                </c:pt>
                <c:pt idx="924">
                  <c:v>4.28</c:v>
                </c:pt>
                <c:pt idx="925">
                  <c:v>4.1950000000000003</c:v>
                </c:pt>
                <c:pt idx="926">
                  <c:v>4.1749999999999998</c:v>
                </c:pt>
                <c:pt idx="927">
                  <c:v>4.1749999999999998</c:v>
                </c:pt>
                <c:pt idx="928">
                  <c:v>4.1749999999999998</c:v>
                </c:pt>
                <c:pt idx="929">
                  <c:v>4.1100000000000003</c:v>
                </c:pt>
                <c:pt idx="930">
                  <c:v>4.0999999999999996</c:v>
                </c:pt>
                <c:pt idx="931">
                  <c:v>4.125</c:v>
                </c:pt>
                <c:pt idx="932">
                  <c:v>4.125</c:v>
                </c:pt>
                <c:pt idx="933">
                  <c:v>4.125</c:v>
                </c:pt>
                <c:pt idx="934">
                  <c:v>4.125</c:v>
                </c:pt>
                <c:pt idx="935">
                  <c:v>4.125</c:v>
                </c:pt>
                <c:pt idx="936">
                  <c:v>4.1449999999999996</c:v>
                </c:pt>
                <c:pt idx="937">
                  <c:v>4.13</c:v>
                </c:pt>
                <c:pt idx="938">
                  <c:v>4.01</c:v>
                </c:pt>
                <c:pt idx="939">
                  <c:v>4.01</c:v>
                </c:pt>
                <c:pt idx="940">
                  <c:v>4.04</c:v>
                </c:pt>
                <c:pt idx="941">
                  <c:v>4.04</c:v>
                </c:pt>
                <c:pt idx="942">
                  <c:v>4.04</c:v>
                </c:pt>
                <c:pt idx="943">
                  <c:v>4.12</c:v>
                </c:pt>
                <c:pt idx="944">
                  <c:v>4.2350000000000003</c:v>
                </c:pt>
                <c:pt idx="945">
                  <c:v>4.2450000000000001</c:v>
                </c:pt>
                <c:pt idx="946">
                  <c:v>4.2549999999999999</c:v>
                </c:pt>
                <c:pt idx="947">
                  <c:v>4.2249999999999996</c:v>
                </c:pt>
                <c:pt idx="948">
                  <c:v>4.2249999999999996</c:v>
                </c:pt>
                <c:pt idx="949">
                  <c:v>4.2249999999999996</c:v>
                </c:pt>
                <c:pt idx="950">
                  <c:v>4.335</c:v>
                </c:pt>
                <c:pt idx="951">
                  <c:v>4.4000000000000004</c:v>
                </c:pt>
                <c:pt idx="952">
                  <c:v>4.415</c:v>
                </c:pt>
                <c:pt idx="953">
                  <c:v>4.3849999999999998</c:v>
                </c:pt>
                <c:pt idx="954">
                  <c:v>4.49</c:v>
                </c:pt>
                <c:pt idx="955">
                  <c:v>4.49</c:v>
                </c:pt>
                <c:pt idx="956">
                  <c:v>4.49</c:v>
                </c:pt>
                <c:pt idx="957">
                  <c:v>4.4400000000000004</c:v>
                </c:pt>
                <c:pt idx="958">
                  <c:v>4.4800000000000004</c:v>
                </c:pt>
                <c:pt idx="959">
                  <c:v>4.4450000000000003</c:v>
                </c:pt>
                <c:pt idx="960">
                  <c:v>4.46</c:v>
                </c:pt>
                <c:pt idx="961">
                  <c:v>4.47</c:v>
                </c:pt>
                <c:pt idx="962">
                  <c:v>4.47</c:v>
                </c:pt>
                <c:pt idx="963">
                  <c:v>4.47</c:v>
                </c:pt>
                <c:pt idx="964">
                  <c:v>4.4749999999999996</c:v>
                </c:pt>
                <c:pt idx="965">
                  <c:v>4.5199999999999996</c:v>
                </c:pt>
                <c:pt idx="966">
                  <c:v>4.5149999999999997</c:v>
                </c:pt>
                <c:pt idx="967">
                  <c:v>4.42</c:v>
                </c:pt>
                <c:pt idx="968">
                  <c:v>4.4249999999999998</c:v>
                </c:pt>
                <c:pt idx="969">
                  <c:v>4.4249999999999998</c:v>
                </c:pt>
                <c:pt idx="970">
                  <c:v>4.4249999999999998</c:v>
                </c:pt>
                <c:pt idx="971">
                  <c:v>4.5599999999999996</c:v>
                </c:pt>
                <c:pt idx="972">
                  <c:v>4.67</c:v>
                </c:pt>
                <c:pt idx="973">
                  <c:v>4.7649999999999997</c:v>
                </c:pt>
                <c:pt idx="974">
                  <c:v>4.72</c:v>
                </c:pt>
                <c:pt idx="975">
                  <c:v>4.5449999999999999</c:v>
                </c:pt>
                <c:pt idx="976">
                  <c:v>4.5449999999999999</c:v>
                </c:pt>
                <c:pt idx="977">
                  <c:v>4.5449999999999999</c:v>
                </c:pt>
                <c:pt idx="978">
                  <c:v>4.4550000000000001</c:v>
                </c:pt>
                <c:pt idx="979">
                  <c:v>4.26</c:v>
                </c:pt>
                <c:pt idx="980">
                  <c:v>4.3049999999999997</c:v>
                </c:pt>
                <c:pt idx="981">
                  <c:v>4.3099999999999996</c:v>
                </c:pt>
                <c:pt idx="982">
                  <c:v>4.54</c:v>
                </c:pt>
                <c:pt idx="983">
                  <c:v>4.54</c:v>
                </c:pt>
                <c:pt idx="984">
                  <c:v>4.54</c:v>
                </c:pt>
                <c:pt idx="985">
                  <c:v>4.54</c:v>
                </c:pt>
                <c:pt idx="986">
                  <c:v>4.5599999999999996</c:v>
                </c:pt>
                <c:pt idx="987">
                  <c:v>4.4749999999999996</c:v>
                </c:pt>
                <c:pt idx="988">
                  <c:v>4.62</c:v>
                </c:pt>
                <c:pt idx="989">
                  <c:v>4.7</c:v>
                </c:pt>
                <c:pt idx="990">
                  <c:v>4.7</c:v>
                </c:pt>
                <c:pt idx="991">
                  <c:v>4.7</c:v>
                </c:pt>
                <c:pt idx="992">
                  <c:v>4.4649999999999999</c:v>
                </c:pt>
                <c:pt idx="993">
                  <c:v>4.4349999999999996</c:v>
                </c:pt>
                <c:pt idx="994">
                  <c:v>4.38</c:v>
                </c:pt>
                <c:pt idx="995">
                  <c:v>4.3</c:v>
                </c:pt>
                <c:pt idx="996">
                  <c:v>4.4249999999999998</c:v>
                </c:pt>
                <c:pt idx="997">
                  <c:v>4.4249999999999998</c:v>
                </c:pt>
                <c:pt idx="998">
                  <c:v>4.4249999999999998</c:v>
                </c:pt>
                <c:pt idx="999">
                  <c:v>4.7750000000000004</c:v>
                </c:pt>
                <c:pt idx="1000">
                  <c:v>4.8600000000000003</c:v>
                </c:pt>
                <c:pt idx="1001">
                  <c:v>4.84</c:v>
                </c:pt>
                <c:pt idx="1002">
                  <c:v>4.9400000000000004</c:v>
                </c:pt>
                <c:pt idx="1003">
                  <c:v>4.9850000000000003</c:v>
                </c:pt>
                <c:pt idx="1004">
                  <c:v>4.9850000000000003</c:v>
                </c:pt>
                <c:pt idx="1005">
                  <c:v>4.9850000000000003</c:v>
                </c:pt>
                <c:pt idx="1006">
                  <c:v>4.74</c:v>
                </c:pt>
                <c:pt idx="1007">
                  <c:v>5.0549999999999997</c:v>
                </c:pt>
                <c:pt idx="1008">
                  <c:v>5.0750000000000002</c:v>
                </c:pt>
                <c:pt idx="1009">
                  <c:v>5.42</c:v>
                </c:pt>
                <c:pt idx="1010">
                  <c:v>5.39</c:v>
                </c:pt>
                <c:pt idx="1011">
                  <c:v>5.39</c:v>
                </c:pt>
                <c:pt idx="1012">
                  <c:v>5.39</c:v>
                </c:pt>
                <c:pt idx="1013">
                  <c:v>5.4850000000000003</c:v>
                </c:pt>
                <c:pt idx="1014">
                  <c:v>5.0250000000000004</c:v>
                </c:pt>
                <c:pt idx="1015">
                  <c:v>4.8849999999999998</c:v>
                </c:pt>
                <c:pt idx="1016">
                  <c:v>5.1849999999999996</c:v>
                </c:pt>
                <c:pt idx="1017">
                  <c:v>5.25</c:v>
                </c:pt>
                <c:pt idx="1018">
                  <c:v>5.25</c:v>
                </c:pt>
                <c:pt idx="1019">
                  <c:v>5.25</c:v>
                </c:pt>
                <c:pt idx="1020">
                  <c:v>5.2249999999999996</c:v>
                </c:pt>
                <c:pt idx="1021">
                  <c:v>5.335</c:v>
                </c:pt>
                <c:pt idx="1022">
                  <c:v>5.86</c:v>
                </c:pt>
                <c:pt idx="1023">
                  <c:v>5.49</c:v>
                </c:pt>
                <c:pt idx="1024">
                  <c:v>5.7649999999999997</c:v>
                </c:pt>
                <c:pt idx="1025">
                  <c:v>5.7649999999999997</c:v>
                </c:pt>
                <c:pt idx="1026">
                  <c:v>5.7649999999999997</c:v>
                </c:pt>
                <c:pt idx="1027">
                  <c:v>5.85</c:v>
                </c:pt>
                <c:pt idx="1028">
                  <c:v>5.8</c:v>
                </c:pt>
                <c:pt idx="1029">
                  <c:v>6.2850000000000001</c:v>
                </c:pt>
                <c:pt idx="1030">
                  <c:v>6.2850000000000001</c:v>
                </c:pt>
                <c:pt idx="1031">
                  <c:v>6.2549999999999999</c:v>
                </c:pt>
                <c:pt idx="1032">
                  <c:v>6.2549999999999999</c:v>
                </c:pt>
                <c:pt idx="1033">
                  <c:v>6.2549999999999999</c:v>
                </c:pt>
                <c:pt idx="1034">
                  <c:v>6.2050000000000001</c:v>
                </c:pt>
                <c:pt idx="1035">
                  <c:v>6.3049999999999997</c:v>
                </c:pt>
                <c:pt idx="1036">
                  <c:v>6.36</c:v>
                </c:pt>
                <c:pt idx="1037">
                  <c:v>6.36</c:v>
                </c:pt>
                <c:pt idx="1038">
                  <c:v>6.1349999999999998</c:v>
                </c:pt>
                <c:pt idx="1039">
                  <c:v>6.1349999999999998</c:v>
                </c:pt>
                <c:pt idx="1040">
                  <c:v>6.1349999999999998</c:v>
                </c:pt>
                <c:pt idx="1041">
                  <c:v>5.89</c:v>
                </c:pt>
                <c:pt idx="1042">
                  <c:v>5.78</c:v>
                </c:pt>
                <c:pt idx="1043">
                  <c:v>5.78</c:v>
                </c:pt>
                <c:pt idx="1044">
                  <c:v>5.7750000000000004</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4.5</c:v>
                </c:pt>
                <c:pt idx="1">
                  <c:v>2</c:v>
                </c:pt>
                <c:pt idx="2">
                  <c:v>3</c:v>
                </c:pt>
                <c:pt idx="3">
                  <c:v>2</c:v>
                </c:pt>
                <c:pt idx="4">
                  <c:v>3.8</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HBR REALTY EMPRE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#N/A</c:v>
                </c:pt>
                <c:pt idx="1">
                  <c:v>#N/A</c:v>
                </c:pt>
                <c:pt idx="2">
                  <c:v>#N/A</c:v>
                </c:pt>
                <c:pt idx="3">
                  <c:v>#N/A</c:v>
                </c:pt>
                <c:pt idx="4">
                  <c:v>#N/A</c:v>
                </c:pt>
                <c:pt idx="5">
                  <c:v>#N/A</c:v>
                </c:pt>
                <c:pt idx="6">
                  <c:v>#N/A</c:v>
                </c:pt>
                <c:pt idx="7">
                  <c:v>1.2828486646884272E-2</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ALLOS 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2.4380825511500853E-5</c:v>
                </c:pt>
                <c:pt idx="1">
                  <c:v>#N/A</c:v>
                </c:pt>
                <c:pt idx="2">
                  <c:v>#N/A</c:v>
                </c:pt>
                <c:pt idx="3">
                  <c:v>9.1563908548932083E-6</c:v>
                </c:pt>
                <c:pt idx="4">
                  <c:v>2.2358127412532576E-5</c:v>
                </c:pt>
                <c:pt idx="5">
                  <c:v>1.9984324961014864E-5</c:v>
                </c:pt>
                <c:pt idx="6">
                  <c:v>2.7566348443295972E-6</c:v>
                </c:pt>
                <c:pt idx="7">
                  <c:v>9.086053679787392E-6</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JHSF PART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#N/A</c:v>
                </c:pt>
                <c:pt idx="1">
                  <c:v>#N/A</c:v>
                </c:pt>
                <c:pt idx="2">
                  <c:v>#N/A</c:v>
                </c:pt>
                <c:pt idx="3">
                  <c:v>#N/A</c:v>
                </c:pt>
                <c:pt idx="4">
                  <c:v>#N/A</c:v>
                </c:pt>
                <c:pt idx="5">
                  <c:v>2.7984958988450654E-6</c:v>
                </c:pt>
                <c:pt idx="6">
                  <c:v>2.8830090732575492E-6</c:v>
                </c:pt>
                <c:pt idx="7">
                  <c:v>2.8896327006402882E-6</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LOG COMMERCIAL 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MULTIPLAN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7.0106772952466272E-6</c:v>
                </c:pt>
                <c:pt idx="1">
                  <c:v>6.1262246347452129E-6</c:v>
                </c:pt>
                <c:pt idx="2">
                  <c:v>1.0974310623500024E-6</c:v>
                </c:pt>
                <c:pt idx="3">
                  <c:v>1.1981380143977333E-6</c:v>
                </c:pt>
                <c:pt idx="4">
                  <c:v>9.0026878444698159E-6</c:v>
                </c:pt>
                <c:pt idx="5">
                  <c:v>1.7851530230501139E-6</c:v>
                </c:pt>
                <c:pt idx="6">
                  <c:v>1.8471902162478833E-6</c:v>
                </c:pt>
                <c:pt idx="7">
                  <c:v>2.1043001993485514E-6</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IGUATEMI SA - 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#N/A</c:v>
                </c:pt>
                <c:pt idx="1">
                  <c:v>#N/A</c:v>
                </c:pt>
                <c:pt idx="2">
                  <c:v>#N/A</c:v>
                </c:pt>
                <c:pt idx="3">
                  <c:v>#N/A</c:v>
                </c:pt>
                <c:pt idx="4">
                  <c:v>1.4847377351805926E-6</c:v>
                </c:pt>
                <c:pt idx="5">
                  <c:v>1.0163911521821907E-6</c:v>
                </c:pt>
                <c:pt idx="6">
                  <c:v>9.4541564153019071E-7</c:v>
                </c:pt>
                <c:pt idx="7">
                  <c:v>7.6596742818549837E-7</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HBR REALTY EMPRE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#N/A</c:v>
                </c:pt>
                <c:pt idx="1">
                  <c:v>#N/A</c:v>
                </c:pt>
                <c:pt idx="2">
                  <c:v>#N/A</c:v>
                </c:pt>
                <c:pt idx="3">
                  <c:v>#N/A</c:v>
                </c:pt>
                <c:pt idx="4">
                  <c:v>298.87166018342373</c:v>
                </c:pt>
                <c:pt idx="5">
                  <c:v>264.81400763846494</c:v>
                </c:pt>
                <c:pt idx="6">
                  <c:v>291.88396943578778</c:v>
                </c:pt>
                <c:pt idx="7">
                  <c:v>285.54771795958737</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ALLOS 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7.1065213038521411E-4</c:v>
                </c:pt>
                <c:pt idx="1">
                  <c:v>#N/A</c:v>
                </c:pt>
                <c:pt idx="2">
                  <c:v>5.1525862973737389E-4</c:v>
                </c:pt>
                <c:pt idx="3">
                  <c:v>1.6583060112715262E-4</c:v>
                </c:pt>
                <c:pt idx="4">
                  <c:v>2.0301451689848585E-4</c:v>
                </c:pt>
                <c:pt idx="5">
                  <c:v>1.2324251948806869E-4</c:v>
                </c:pt>
                <c:pt idx="6">
                  <c:v>3.5594180256356484E-5</c:v>
                </c:pt>
                <c:pt idx="7">
                  <c:v>8.5205347816108226E-5</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JHSF PART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#N/A</c:v>
                </c:pt>
                <c:pt idx="1">
                  <c:v>#N/A</c:v>
                </c:pt>
                <c:pt idx="2">
                  <c:v>#N/A</c:v>
                </c:pt>
                <c:pt idx="3">
                  <c:v>3.2306180855153559E-3</c:v>
                </c:pt>
                <c:pt idx="4">
                  <c:v>0.23711929765308171</c:v>
                </c:pt>
                <c:pt idx="5">
                  <c:v>1.9488750232433215E-5</c:v>
                </c:pt>
                <c:pt idx="6">
                  <c:v>2.5103641477677078E-5</c:v>
                </c:pt>
                <c:pt idx="7">
                  <c:v>2.3838420422069863E-5</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LOG COMMERCIAL 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MULTIPLAN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#N/A</c:v>
                </c:pt>
                <c:pt idx="1">
                  <c:v>#N/A</c:v>
                </c:pt>
                <c:pt idx="2">
                  <c:v>#N/A</c:v>
                </c:pt>
                <c:pt idx="3">
                  <c:v>1.5216825188179707E-4</c:v>
                </c:pt>
                <c:pt idx="4">
                  <c:v>1.8756621620887414E-4</c:v>
                </c:pt>
                <c:pt idx="5">
                  <c:v>1.7290617237936031E-4</c:v>
                </c:pt>
                <c:pt idx="6">
                  <c:v>1.668280309760348E-4</c:v>
                </c:pt>
                <c:pt idx="7">
                  <c:v>7.6661365637779782E-5</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IGUATEMI SA - 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#N/A</c:v>
                </c:pt>
                <c:pt idx="1">
                  <c:v>#N/A</c:v>
                </c:pt>
                <c:pt idx="2">
                  <c:v>3.0184562714386518E-4</c:v>
                </c:pt>
                <c:pt idx="3">
                  <c:v>6.9015050305616974E-5</c:v>
                </c:pt>
                <c:pt idx="4">
                  <c:v>5.7921087471330814E-5</c:v>
                </c:pt>
                <c:pt idx="5">
                  <c:v>2.0465572086533949E-4</c:v>
                </c:pt>
                <c:pt idx="6">
                  <c:v>1.0584507109197234E-5</c:v>
                </c:pt>
                <c:pt idx="7">
                  <c:v>1.7875269443399697E-4</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HBR REALTY EMPRE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#N/A</c:v>
                </c:pt>
                <c:pt idx="1">
                  <c:v>#N/A</c:v>
                </c:pt>
                <c:pt idx="2">
                  <c:v>#N/A</c:v>
                </c:pt>
                <c:pt idx="3">
                  <c:v>#N/A</c:v>
                </c:pt>
                <c:pt idx="4">
                  <c:v>#N/A</c:v>
                </c:pt>
                <c:pt idx="5">
                  <c:v>#N/A</c:v>
                </c:pt>
                <c:pt idx="6">
                  <c:v>0</c:v>
                </c:pt>
                <c:pt idx="7">
                  <c:v>1.2469690546841883E-3</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ALLOS 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#N/A</c:v>
                </c:pt>
                <c:pt idx="1">
                  <c:v>#N/A</c:v>
                </c:pt>
                <c:pt idx="2">
                  <c:v>3.6821603205657804E-3</c:v>
                </c:pt>
                <c:pt idx="3">
                  <c:v>#N/A</c:v>
                </c:pt>
                <c:pt idx="4">
                  <c:v>8.4192273733264345E-4</c:v>
                </c:pt>
                <c:pt idx="5">
                  <c:v>2.6850927859727296E-4</c:v>
                </c:pt>
                <c:pt idx="6">
                  <c:v>1.4512466745076306E-4</c:v>
                </c:pt>
                <c:pt idx="7">
                  <c:v>4.3912351184411568E-4</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JHSF PART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LOG COMMERCIAL 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MULTIPLAN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#N/A</c:v>
                </c:pt>
                <c:pt idx="1">
                  <c:v>#N/A</c:v>
                </c:pt>
                <c:pt idx="2">
                  <c:v>#N/A</c:v>
                </c:pt>
                <c:pt idx="3">
                  <c:v>#N/A</c:v>
                </c:pt>
                <c:pt idx="4">
                  <c:v>8.0254239195649152E-4</c:v>
                </c:pt>
                <c:pt idx="5">
                  <c:v>5.3994620620214121E-4</c:v>
                </c:pt>
                <c:pt idx="6">
                  <c:v>4.0495789992850699E-4</c:v>
                </c:pt>
                <c:pt idx="7">
                  <c:v>4.2137088772389381E-4</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IGUATEMI SA - 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HBR REALTY EMPRE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#N/A</c:v>
                </c:pt>
                <c:pt idx="1">
                  <c:v>#N/A</c:v>
                </c:pt>
                <c:pt idx="2">
                  <c:v>#N/A</c:v>
                </c:pt>
                <c:pt idx="3">
                  <c:v>#N/A</c:v>
                </c:pt>
                <c:pt idx="4">
                  <c:v>#N/A</c:v>
                </c:pt>
                <c:pt idx="5">
                  <c:v>#N/A</c:v>
                </c:pt>
                <c:pt idx="6">
                  <c:v>1.3117575725965237E-2</c:v>
                </c:pt>
                <c:pt idx="7">
                  <c:v>1.5995478310018369E-2</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ALLOS 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9.5310578168608334E-5</c:v>
                </c:pt>
                <c:pt idx="1">
                  <c:v>#N/A</c:v>
                </c:pt>
                <c:pt idx="2">
                  <c:v>5.4835532423915414E-5</c:v>
                </c:pt>
                <c:pt idx="3">
                  <c:v>2.4606781722324267E-5</c:v>
                </c:pt>
                <c:pt idx="4">
                  <c:v>2.6531616196281473E-5</c:v>
                </c:pt>
                <c:pt idx="5">
                  <c:v>3.4043269226443127E-5</c:v>
                </c:pt>
                <c:pt idx="6">
                  <c:v>8.508635553304587E-6</c:v>
                </c:pt>
                <c:pt idx="7">
                  <c:v>2.7902006753766374E-5</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JHSF PART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#N/A</c:v>
                </c:pt>
                <c:pt idx="1">
                  <c:v>#N/A</c:v>
                </c:pt>
                <c:pt idx="2">
                  <c:v>#N/A</c:v>
                </c:pt>
                <c:pt idx="3">
                  <c:v>#N/A</c:v>
                </c:pt>
                <c:pt idx="4">
                  <c:v>#N/A</c:v>
                </c:pt>
                <c:pt idx="5">
                  <c:v>3.7659345881283445E-6</c:v>
                </c:pt>
                <c:pt idx="6">
                  <c:v>5.1535199193711349E-6</c:v>
                </c:pt>
                <c:pt idx="7">
                  <c:v>5.5274194302764429E-6</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LOG COMMERCIAL P</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MULTIPLAN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2.5745884351064833E-5</c:v>
                </c:pt>
                <c:pt idx="1">
                  <c:v>2.4889719820818099E-5</c:v>
                </c:pt>
                <c:pt idx="2">
                  <c:v>2.454755840720968E-5</c:v>
                </c:pt>
                <c:pt idx="3">
                  <c:v>1.010415946986674E-5</c:v>
                </c:pt>
                <c:pt idx="4">
                  <c:v>1.6848896260690642E-5</c:v>
                </c:pt>
                <c:pt idx="5">
                  <c:v>1.8348302324481738E-5</c:v>
                </c:pt>
                <c:pt idx="6">
                  <c:v>1.5751127456124921E-5</c:v>
                </c:pt>
                <c:pt idx="7">
                  <c:v>1.3270255412138296E-5</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IGUATEMI SA - 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#N/A</c:v>
                </c:pt>
                <c:pt idx="1">
                  <c:v>#N/A</c:v>
                </c:pt>
                <c:pt idx="2">
                  <c:v>#N/A</c:v>
                </c:pt>
                <c:pt idx="3">
                  <c:v>#N/A</c:v>
                </c:pt>
                <c:pt idx="4">
                  <c:v>#N/A</c:v>
                </c:pt>
                <c:pt idx="5">
                  <c:v>2.0613258738946868E-2</c:v>
                </c:pt>
                <c:pt idx="6">
                  <c:v>2.0913216202038953E-5</c:v>
                </c:pt>
                <c:pt idx="7">
                  <c:v>2.1191495901224982E-5</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HBR REALTY EMPRE</c:v>
                </c:pt>
              </c:strCache>
            </c:strRef>
          </c:tx>
          <c:spPr>
            <a:ln w="28575" cap="rnd">
              <a:solidFill>
                <a:schemeClr val="accent1"/>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Data'!$C$5:$C$159</c:f>
              <c:numCache>
                <c:formatCode>0.0</c:formatCode>
                <c:ptCount val="155"/>
                <c:pt idx="0">
                  <c:v>10.1722</c:v>
                </c:pt>
                <c:pt idx="1">
                  <c:v>10.207000000000001</c:v>
                </c:pt>
                <c:pt idx="2">
                  <c:v>10.280099999999999</c:v>
                </c:pt>
                <c:pt idx="3">
                  <c:v>10.3148</c:v>
                </c:pt>
                <c:pt idx="4">
                  <c:v>10.0748</c:v>
                </c:pt>
                <c:pt idx="5">
                  <c:v>10.1165</c:v>
                </c:pt>
                <c:pt idx="6">
                  <c:v>10.0017</c:v>
                </c:pt>
                <c:pt idx="7">
                  <c:v>9.8313000000000006</c:v>
                </c:pt>
                <c:pt idx="8">
                  <c:v>9.8000000000000007</c:v>
                </c:pt>
                <c:pt idx="9">
                  <c:v>9.7059999999999995</c:v>
                </c:pt>
                <c:pt idx="10">
                  <c:v>9.6956000000000007</c:v>
                </c:pt>
                <c:pt idx="11">
                  <c:v>9.5912000000000006</c:v>
                </c:pt>
                <c:pt idx="12">
                  <c:v>9.6085999999999991</c:v>
                </c:pt>
                <c:pt idx="13">
                  <c:v>9.7199000000000009</c:v>
                </c:pt>
                <c:pt idx="14">
                  <c:v>9.6580999999999992</c:v>
                </c:pt>
                <c:pt idx="15">
                  <c:v>9.6616999999999997</c:v>
                </c:pt>
                <c:pt idx="16">
                  <c:v>9.7007999999999992</c:v>
                </c:pt>
                <c:pt idx="17">
                  <c:v>9.6972000000000005</c:v>
                </c:pt>
                <c:pt idx="18">
                  <c:v>9.6866000000000003</c:v>
                </c:pt>
                <c:pt idx="19">
                  <c:v>9.6652000000000005</c:v>
                </c:pt>
                <c:pt idx="20">
                  <c:v>9.7969000000000008</c:v>
                </c:pt>
                <c:pt idx="21">
                  <c:v>9.6936999999999998</c:v>
                </c:pt>
                <c:pt idx="22">
                  <c:v>9.7827000000000002</c:v>
                </c:pt>
                <c:pt idx="23">
                  <c:v>9.7790999999999997</c:v>
                </c:pt>
                <c:pt idx="24">
                  <c:v>9.7506000000000004</c:v>
                </c:pt>
                <c:pt idx="25">
                  <c:v>9.7506000000000004</c:v>
                </c:pt>
                <c:pt idx="26">
                  <c:v>9.6616999999999997</c:v>
                </c:pt>
                <c:pt idx="27">
                  <c:v>9.52</c:v>
                </c:pt>
                <c:pt idx="28">
                  <c:v>9.4446999999999992</c:v>
                </c:pt>
                <c:pt idx="29">
                  <c:v>9.3513999999999999</c:v>
                </c:pt>
                <c:pt idx="30">
                  <c:v>9.2401999999999997</c:v>
                </c:pt>
                <c:pt idx="31">
                  <c:v>9.2581000000000007</c:v>
                </c:pt>
                <c:pt idx="32">
                  <c:v>9.3370999999999995</c:v>
                </c:pt>
                <c:pt idx="33">
                  <c:v>9.3836999999999993</c:v>
                </c:pt>
                <c:pt idx="34">
                  <c:v>9.3370999999999995</c:v>
                </c:pt>
                <c:pt idx="35">
                  <c:v>9.4303000000000008</c:v>
                </c:pt>
                <c:pt idx="36">
                  <c:v>9.3585999999999991</c:v>
                </c:pt>
                <c:pt idx="37">
                  <c:v>9.3513999999999999</c:v>
                </c:pt>
                <c:pt idx="38">
                  <c:v>9.3084000000000007</c:v>
                </c:pt>
                <c:pt idx="39">
                  <c:v>9.3407</c:v>
                </c:pt>
                <c:pt idx="40">
                  <c:v>5.71</c:v>
                </c:pt>
                <c:pt idx="41">
                  <c:v>5.7550999999999997</c:v>
                </c:pt>
                <c:pt idx="42">
                  <c:v>5.8167999999999997</c:v>
                </c:pt>
                <c:pt idx="43">
                  <c:v>5.9023000000000003</c:v>
                </c:pt>
                <c:pt idx="44">
                  <c:v>5.9640000000000004</c:v>
                </c:pt>
                <c:pt idx="45">
                  <c:v>6.0067000000000004</c:v>
                </c:pt>
                <c:pt idx="46">
                  <c:v>6.0446999999999997</c:v>
                </c:pt>
                <c:pt idx="47">
                  <c:v>6.0446999999999997</c:v>
                </c:pt>
                <c:pt idx="48">
                  <c:v>6.0376000000000003</c:v>
                </c:pt>
                <c:pt idx="49">
                  <c:v>6.0898000000000003</c:v>
                </c:pt>
                <c:pt idx="50">
                  <c:v>6.0708000000000002</c:v>
                </c:pt>
                <c:pt idx="51">
                  <c:v>6.0683999999999996</c:v>
                </c:pt>
                <c:pt idx="52">
                  <c:v>6.0922000000000001</c:v>
                </c:pt>
                <c:pt idx="53">
                  <c:v>6.1318000000000001</c:v>
                </c:pt>
                <c:pt idx="54">
                  <c:v>6.0864000000000003</c:v>
                </c:pt>
                <c:pt idx="55">
                  <c:v>6.1914999999999996</c:v>
                </c:pt>
                <c:pt idx="56">
                  <c:v>6.1890999999999998</c:v>
                </c:pt>
                <c:pt idx="57">
                  <c:v>6.2583000000000002</c:v>
                </c:pt>
                <c:pt idx="58">
                  <c:v>6.2392000000000003</c:v>
                </c:pt>
                <c:pt idx="59">
                  <c:v>6.2081999999999997</c:v>
                </c:pt>
                <c:pt idx="60">
                  <c:v>6.2655000000000003</c:v>
                </c:pt>
                <c:pt idx="61">
                  <c:v>6.2535999999999996</c:v>
                </c:pt>
                <c:pt idx="62">
                  <c:v>6.3037000000000001</c:v>
                </c:pt>
                <c:pt idx="63">
                  <c:v>6.3132000000000001</c:v>
                </c:pt>
                <c:pt idx="64">
                  <c:v>6.4088000000000003</c:v>
                </c:pt>
                <c:pt idx="65">
                  <c:v>6.3085000000000004</c:v>
                </c:pt>
                <c:pt idx="66">
                  <c:v>5.9814999999999996</c:v>
                </c:pt>
                <c:pt idx="67">
                  <c:v>5.9980000000000002</c:v>
                </c:pt>
                <c:pt idx="68">
                  <c:v>5.9057000000000004</c:v>
                </c:pt>
                <c:pt idx="69">
                  <c:v>5.8181000000000003</c:v>
                </c:pt>
                <c:pt idx="70">
                  <c:v>5.8582999999999998</c:v>
                </c:pt>
                <c:pt idx="71">
                  <c:v>5.9081000000000001</c:v>
                </c:pt>
                <c:pt idx="72">
                  <c:v>5.9672999999999998</c:v>
                </c:pt>
                <c:pt idx="73">
                  <c:v>5.9577999999999998</c:v>
                </c:pt>
                <c:pt idx="74">
                  <c:v>6.0525000000000002</c:v>
                </c:pt>
                <c:pt idx="75">
                  <c:v>6.0571999999999999</c:v>
                </c:pt>
                <c:pt idx="76">
                  <c:v>6.0312000000000001</c:v>
                </c:pt>
                <c:pt idx="77">
                  <c:v>6.1069000000000004</c:v>
                </c:pt>
                <c:pt idx="78">
                  <c:v>6.2252999999999998</c:v>
                </c:pt>
                <c:pt idx="79">
                  <c:v>5.8158000000000003</c:v>
                </c:pt>
                <c:pt idx="80">
                  <c:v>5.8158000000000003</c:v>
                </c:pt>
                <c:pt idx="81">
                  <c:v>5.4817</c:v>
                </c:pt>
                <c:pt idx="82">
                  <c:v>5.4703999999999997</c:v>
                </c:pt>
                <c:pt idx="83">
                  <c:v>5.5136000000000003</c:v>
                </c:pt>
                <c:pt idx="84">
                  <c:v>5.3635999999999999</c:v>
                </c:pt>
                <c:pt idx="85">
                  <c:v>5.35</c:v>
                </c:pt>
                <c:pt idx="86">
                  <c:v>5.3250000000000002</c:v>
                </c:pt>
                <c:pt idx="87">
                  <c:v>5.3909000000000002</c:v>
                </c:pt>
                <c:pt idx="88">
                  <c:v>5.3613</c:v>
                </c:pt>
                <c:pt idx="89">
                  <c:v>5.4454000000000002</c:v>
                </c:pt>
                <c:pt idx="90">
                  <c:v>5.4589999999999996</c:v>
                </c:pt>
                <c:pt idx="91">
                  <c:v>5.5225999999999997</c:v>
                </c:pt>
                <c:pt idx="92">
                  <c:v>8.9609000000000005</c:v>
                </c:pt>
                <c:pt idx="93">
                  <c:v>8.9609000000000005</c:v>
                </c:pt>
                <c:pt idx="94">
                  <c:v>8.6644000000000005</c:v>
                </c:pt>
                <c:pt idx="95">
                  <c:v>8.5814000000000004</c:v>
                </c:pt>
                <c:pt idx="96">
                  <c:v>8.5734999999999992</c:v>
                </c:pt>
                <c:pt idx="97">
                  <c:v>8.6011000000000006</c:v>
                </c:pt>
                <c:pt idx="98">
                  <c:v>8.6209000000000007</c:v>
                </c:pt>
                <c:pt idx="99">
                  <c:v>8.5616000000000003</c:v>
                </c:pt>
                <c:pt idx="100">
                  <c:v>8.6209000000000007</c:v>
                </c:pt>
                <c:pt idx="101">
                  <c:v>8.4588000000000001</c:v>
                </c:pt>
                <c:pt idx="102">
                  <c:v>8.4074000000000009</c:v>
                </c:pt>
                <c:pt idx="103">
                  <c:v>8.4983000000000004</c:v>
                </c:pt>
                <c:pt idx="104">
                  <c:v>8.5023</c:v>
                </c:pt>
                <c:pt idx="105">
                  <c:v>8.5809999999999995</c:v>
                </c:pt>
                <c:pt idx="106">
                  <c:v>8.5065000000000008</c:v>
                </c:pt>
                <c:pt idx="107">
                  <c:v>8.6084999999999994</c:v>
                </c:pt>
                <c:pt idx="108">
                  <c:v>8.5574999999999992</c:v>
                </c:pt>
                <c:pt idx="109">
                  <c:v>8.6946999999999992</c:v>
                </c:pt>
                <c:pt idx="110">
                  <c:v>8.6358999999999995</c:v>
                </c:pt>
                <c:pt idx="111">
                  <c:v>8.8005999999999993</c:v>
                </c:pt>
                <c:pt idx="112">
                  <c:v>9.0947999999999993</c:v>
                </c:pt>
                <c:pt idx="113">
                  <c:v>8.8124000000000002</c:v>
                </c:pt>
                <c:pt idx="114">
                  <c:v>8.5299999999999994</c:v>
                </c:pt>
                <c:pt idx="115">
                  <c:v>8.6633999999999993</c:v>
                </c:pt>
                <c:pt idx="116">
                  <c:v>8.5104000000000006</c:v>
                </c:pt>
                <c:pt idx="117">
                  <c:v>8.6672999999999991</c:v>
                </c:pt>
                <c:pt idx="118">
                  <c:v>8.6829999999999998</c:v>
                </c:pt>
                <c:pt idx="119">
                  <c:v>8.6181999999999999</c:v>
                </c:pt>
                <c:pt idx="120">
                  <c:v>8.5126000000000008</c:v>
                </c:pt>
                <c:pt idx="121">
                  <c:v>8.5713000000000008</c:v>
                </c:pt>
                <c:pt idx="122">
                  <c:v>8.2819000000000003</c:v>
                </c:pt>
                <c:pt idx="123">
                  <c:v>8.1488999999999994</c:v>
                </c:pt>
                <c:pt idx="124">
                  <c:v>7.9534000000000002</c:v>
                </c:pt>
                <c:pt idx="125">
                  <c:v>7.9494999999999996</c:v>
                </c:pt>
                <c:pt idx="126">
                  <c:v>7.9847000000000001</c:v>
                </c:pt>
                <c:pt idx="127">
                  <c:v>7.9298999999999999</c:v>
                </c:pt>
                <c:pt idx="128">
                  <c:v>7.9337999999999997</c:v>
                </c:pt>
                <c:pt idx="129">
                  <c:v>7.9337999999999997</c:v>
                </c:pt>
                <c:pt idx="130">
                  <c:v>7.9611999999999998</c:v>
                </c:pt>
                <c:pt idx="131">
                  <c:v>7.9611999999999998</c:v>
                </c:pt>
                <c:pt idx="132">
                  <c:v>8.5104000000000006</c:v>
                </c:pt>
                <c:pt idx="133">
                  <c:v>8.6326000000000001</c:v>
                </c:pt>
                <c:pt idx="134">
                  <c:v>8.6073000000000004</c:v>
                </c:pt>
                <c:pt idx="135">
                  <c:v>8.6367999999999991</c:v>
                </c:pt>
                <c:pt idx="136">
                  <c:v>8.5989000000000004</c:v>
                </c:pt>
                <c:pt idx="137">
                  <c:v>8.5693999999999999</c:v>
                </c:pt>
                <c:pt idx="138">
                  <c:v>8.5145999999999997</c:v>
                </c:pt>
                <c:pt idx="139">
                  <c:v>8.6157000000000004</c:v>
                </c:pt>
                <c:pt idx="140">
                  <c:v>8.7254000000000005</c:v>
                </c:pt>
                <c:pt idx="141">
                  <c:v>8.7254000000000005</c:v>
                </c:pt>
                <c:pt idx="142">
                  <c:v>8.7042999999999999</c:v>
                </c:pt>
                <c:pt idx="143">
                  <c:v>8.7463999999999995</c:v>
                </c:pt>
                <c:pt idx="144">
                  <c:v>5.8467000000000002</c:v>
                </c:pt>
                <c:pt idx="145">
                  <c:v>5.8467000000000002</c:v>
                </c:pt>
                <c:pt idx="146">
                  <c:v>5.7462</c:v>
                </c:pt>
                <c:pt idx="147">
                  <c:v>5.9946000000000002</c:v>
                </c:pt>
                <c:pt idx="148">
                  <c:v>6.0833000000000004</c:v>
                </c:pt>
                <c:pt idx="149">
                  <c:v>5.9413999999999998</c:v>
                </c:pt>
                <c:pt idx="150">
                  <c:v>6.1483999999999996</c:v>
                </c:pt>
                <c:pt idx="151">
                  <c:v>6.3464999999999998</c:v>
                </c:pt>
                <c:pt idx="152">
                  <c:v>6.3109999999999999</c:v>
                </c:pt>
                <c:pt idx="153">
                  <c:v>6.2016</c:v>
                </c:pt>
                <c:pt idx="154">
                  <c:v>6.0862999999999996</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ALLOS SA</c:v>
                </c:pt>
              </c:strCache>
            </c:strRef>
          </c:tx>
          <c:spPr>
            <a:ln w="28575" cap="rnd">
              <a:solidFill>
                <a:schemeClr val="accent3"/>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Data'!$D$5:$D$159</c:f>
              <c:numCache>
                <c:formatCode>0.0</c:formatCode>
                <c:ptCount val="155"/>
                <c:pt idx="0">
                  <c:v>9.2132000000000005</c:v>
                </c:pt>
                <c:pt idx="1">
                  <c:v>9.3193999999999999</c:v>
                </c:pt>
                <c:pt idx="2">
                  <c:v>9.2735000000000003</c:v>
                </c:pt>
                <c:pt idx="3">
                  <c:v>9.5039999999999996</c:v>
                </c:pt>
                <c:pt idx="4">
                  <c:v>9.5274000000000001</c:v>
                </c:pt>
                <c:pt idx="5">
                  <c:v>9.3896999999999995</c:v>
                </c:pt>
                <c:pt idx="6">
                  <c:v>9.1506000000000007</c:v>
                </c:pt>
                <c:pt idx="7">
                  <c:v>9.1037999999999997</c:v>
                </c:pt>
                <c:pt idx="8">
                  <c:v>8.9659999999999993</c:v>
                </c:pt>
                <c:pt idx="9">
                  <c:v>8.7606999999999999</c:v>
                </c:pt>
                <c:pt idx="10">
                  <c:v>8.6880000000000006</c:v>
                </c:pt>
                <c:pt idx="11">
                  <c:v>8.7944999999999993</c:v>
                </c:pt>
                <c:pt idx="12">
                  <c:v>8.7866999999999997</c:v>
                </c:pt>
                <c:pt idx="13">
                  <c:v>9.1012000000000004</c:v>
                </c:pt>
                <c:pt idx="14">
                  <c:v>8.8617000000000008</c:v>
                </c:pt>
                <c:pt idx="15">
                  <c:v>8.5618999999999996</c:v>
                </c:pt>
                <c:pt idx="16">
                  <c:v>8.5922000000000001</c:v>
                </c:pt>
                <c:pt idx="17">
                  <c:v>8.6828000000000003</c:v>
                </c:pt>
                <c:pt idx="18">
                  <c:v>8.7786000000000008</c:v>
                </c:pt>
                <c:pt idx="19">
                  <c:v>8.64</c:v>
                </c:pt>
                <c:pt idx="20">
                  <c:v>8.6677</c:v>
                </c:pt>
                <c:pt idx="21">
                  <c:v>8.5795999999999992</c:v>
                </c:pt>
                <c:pt idx="22">
                  <c:v>8.6097999999999999</c:v>
                </c:pt>
                <c:pt idx="23">
                  <c:v>8.5015000000000001</c:v>
                </c:pt>
                <c:pt idx="24">
                  <c:v>8.1563999999999997</c:v>
                </c:pt>
                <c:pt idx="25">
                  <c:v>8.1563999999999997</c:v>
                </c:pt>
                <c:pt idx="26">
                  <c:v>8.0757999999999992</c:v>
                </c:pt>
                <c:pt idx="27">
                  <c:v>8.9329000000000001</c:v>
                </c:pt>
                <c:pt idx="28">
                  <c:v>9.0473999999999997</c:v>
                </c:pt>
                <c:pt idx="29">
                  <c:v>8.8894000000000002</c:v>
                </c:pt>
                <c:pt idx="30">
                  <c:v>8.6905000000000001</c:v>
                </c:pt>
                <c:pt idx="31">
                  <c:v>8.6196000000000002</c:v>
                </c:pt>
                <c:pt idx="32">
                  <c:v>8.9110999999999994</c:v>
                </c:pt>
                <c:pt idx="33">
                  <c:v>9.0038</c:v>
                </c:pt>
                <c:pt idx="34">
                  <c:v>8.8948</c:v>
                </c:pt>
                <c:pt idx="35">
                  <c:v>8.8675999999999995</c:v>
                </c:pt>
                <c:pt idx="36">
                  <c:v>8.5841999999999992</c:v>
                </c:pt>
                <c:pt idx="37">
                  <c:v>8.5977999999999994</c:v>
                </c:pt>
                <c:pt idx="38">
                  <c:v>8.4398</c:v>
                </c:pt>
                <c:pt idx="39">
                  <c:v>8.5624000000000002</c:v>
                </c:pt>
                <c:pt idx="40">
                  <c:v>11.0977</c:v>
                </c:pt>
                <c:pt idx="41">
                  <c:v>11.31</c:v>
                </c:pt>
                <c:pt idx="42">
                  <c:v>11.3756</c:v>
                </c:pt>
                <c:pt idx="43">
                  <c:v>11.469200000000001</c:v>
                </c:pt>
                <c:pt idx="44">
                  <c:v>11.5723</c:v>
                </c:pt>
                <c:pt idx="45">
                  <c:v>12.121700000000001</c:v>
                </c:pt>
                <c:pt idx="46">
                  <c:v>12.209099999999999</c:v>
                </c:pt>
                <c:pt idx="47">
                  <c:v>12.209099999999999</c:v>
                </c:pt>
                <c:pt idx="48">
                  <c:v>12.1561</c:v>
                </c:pt>
                <c:pt idx="49">
                  <c:v>12.2622</c:v>
                </c:pt>
                <c:pt idx="50">
                  <c:v>12.412100000000001</c:v>
                </c:pt>
                <c:pt idx="51">
                  <c:v>12.3309</c:v>
                </c:pt>
                <c:pt idx="52">
                  <c:v>12.4495</c:v>
                </c:pt>
                <c:pt idx="53">
                  <c:v>11.509</c:v>
                </c:pt>
                <c:pt idx="54">
                  <c:v>11.6676</c:v>
                </c:pt>
                <c:pt idx="55">
                  <c:v>11.829499999999999</c:v>
                </c:pt>
                <c:pt idx="56">
                  <c:v>11.902200000000001</c:v>
                </c:pt>
                <c:pt idx="57">
                  <c:v>11.819599999999999</c:v>
                </c:pt>
                <c:pt idx="58">
                  <c:v>12.166600000000001</c:v>
                </c:pt>
                <c:pt idx="59">
                  <c:v>11.968299999999999</c:v>
                </c:pt>
                <c:pt idx="60">
                  <c:v>11.9055</c:v>
                </c:pt>
                <c:pt idx="61">
                  <c:v>11.5619</c:v>
                </c:pt>
                <c:pt idx="62">
                  <c:v>11.4429</c:v>
                </c:pt>
                <c:pt idx="63">
                  <c:v>11.4495</c:v>
                </c:pt>
                <c:pt idx="64">
                  <c:v>11.585000000000001</c:v>
                </c:pt>
                <c:pt idx="65">
                  <c:v>11.618</c:v>
                </c:pt>
                <c:pt idx="66">
                  <c:v>11.484500000000001</c:v>
                </c:pt>
                <c:pt idx="67">
                  <c:v>11.3843</c:v>
                </c:pt>
                <c:pt idx="68">
                  <c:v>11.380800000000001</c:v>
                </c:pt>
                <c:pt idx="69">
                  <c:v>11.985200000000001</c:v>
                </c:pt>
                <c:pt idx="70">
                  <c:v>11.846399999999999</c:v>
                </c:pt>
                <c:pt idx="71">
                  <c:v>11.967000000000001</c:v>
                </c:pt>
                <c:pt idx="72">
                  <c:v>12.182499999999999</c:v>
                </c:pt>
                <c:pt idx="73">
                  <c:v>11.930400000000001</c:v>
                </c:pt>
                <c:pt idx="74">
                  <c:v>11.8537</c:v>
                </c:pt>
                <c:pt idx="75">
                  <c:v>12.021800000000001</c:v>
                </c:pt>
                <c:pt idx="76">
                  <c:v>12.1167</c:v>
                </c:pt>
                <c:pt idx="77">
                  <c:v>12.529500000000001</c:v>
                </c:pt>
                <c:pt idx="78">
                  <c:v>12.887499999999999</c:v>
                </c:pt>
                <c:pt idx="79">
                  <c:v>3.4238</c:v>
                </c:pt>
                <c:pt idx="80">
                  <c:v>3.4238</c:v>
                </c:pt>
                <c:pt idx="81">
                  <c:v>3.4792999999999998</c:v>
                </c:pt>
                <c:pt idx="82">
                  <c:v>3.4401000000000002</c:v>
                </c:pt>
                <c:pt idx="83">
                  <c:v>3.4706999999999999</c:v>
                </c:pt>
                <c:pt idx="84">
                  <c:v>3.4142999999999999</c:v>
                </c:pt>
                <c:pt idx="85">
                  <c:v>3.3654999999999999</c:v>
                </c:pt>
                <c:pt idx="86">
                  <c:v>3.4123999999999999</c:v>
                </c:pt>
                <c:pt idx="87">
                  <c:v>3.4621</c:v>
                </c:pt>
                <c:pt idx="88">
                  <c:v>3.4754999999999998</c:v>
                </c:pt>
                <c:pt idx="89">
                  <c:v>3.4630000000000001</c:v>
                </c:pt>
                <c:pt idx="90">
                  <c:v>3.5663</c:v>
                </c:pt>
                <c:pt idx="91">
                  <c:v>3.5337999999999998</c:v>
                </c:pt>
                <c:pt idx="92">
                  <c:v>3.8056000000000001</c:v>
                </c:pt>
                <c:pt idx="93">
                  <c:v>3.8056000000000001</c:v>
                </c:pt>
                <c:pt idx="94">
                  <c:v>3.8483000000000001</c:v>
                </c:pt>
                <c:pt idx="95">
                  <c:v>3.6646000000000001</c:v>
                </c:pt>
                <c:pt idx="96">
                  <c:v>3.7111999999999998</c:v>
                </c:pt>
                <c:pt idx="97">
                  <c:v>3.6526999999999998</c:v>
                </c:pt>
                <c:pt idx="98">
                  <c:v>3.6983000000000001</c:v>
                </c:pt>
                <c:pt idx="99">
                  <c:v>3.6368</c:v>
                </c:pt>
                <c:pt idx="100">
                  <c:v>3.5564</c:v>
                </c:pt>
                <c:pt idx="101">
                  <c:v>3.4809000000000001</c:v>
                </c:pt>
                <c:pt idx="102">
                  <c:v>3.3706999999999998</c:v>
                </c:pt>
                <c:pt idx="103">
                  <c:v>3.5047000000000001</c:v>
                </c:pt>
                <c:pt idx="104">
                  <c:v>3.3875999999999999</c:v>
                </c:pt>
                <c:pt idx="105">
                  <c:v>3.5663999999999998</c:v>
                </c:pt>
                <c:pt idx="106">
                  <c:v>3.5869</c:v>
                </c:pt>
                <c:pt idx="107">
                  <c:v>3.6657999999999999</c:v>
                </c:pt>
                <c:pt idx="108">
                  <c:v>3.5674000000000001</c:v>
                </c:pt>
                <c:pt idx="109">
                  <c:v>3.6074000000000002</c:v>
                </c:pt>
                <c:pt idx="110">
                  <c:v>3.6873999999999998</c:v>
                </c:pt>
                <c:pt idx="111">
                  <c:v>3.6412</c:v>
                </c:pt>
                <c:pt idx="112">
                  <c:v>3.7734999999999999</c:v>
                </c:pt>
                <c:pt idx="113">
                  <c:v>3.7294</c:v>
                </c:pt>
                <c:pt idx="114">
                  <c:v>3.7591000000000001</c:v>
                </c:pt>
                <c:pt idx="115">
                  <c:v>3.7694000000000001</c:v>
                </c:pt>
                <c:pt idx="116">
                  <c:v>3.7591000000000001</c:v>
                </c:pt>
                <c:pt idx="117">
                  <c:v>3.8616000000000001</c:v>
                </c:pt>
                <c:pt idx="118">
                  <c:v>3.7776000000000001</c:v>
                </c:pt>
                <c:pt idx="119">
                  <c:v>4.1436999999999999</c:v>
                </c:pt>
                <c:pt idx="120">
                  <c:v>3.9438</c:v>
                </c:pt>
                <c:pt idx="121">
                  <c:v>3.87</c:v>
                </c:pt>
                <c:pt idx="122">
                  <c:v>3.8243</c:v>
                </c:pt>
                <c:pt idx="123">
                  <c:v>3.7179000000000002</c:v>
                </c:pt>
                <c:pt idx="124">
                  <c:v>3.6526999999999998</c:v>
                </c:pt>
                <c:pt idx="125">
                  <c:v>3.5093000000000001</c:v>
                </c:pt>
                <c:pt idx="126">
                  <c:v>3.4929999999999999</c:v>
                </c:pt>
                <c:pt idx="127">
                  <c:v>3.4266999999999999</c:v>
                </c:pt>
                <c:pt idx="128">
                  <c:v>3.4245999999999999</c:v>
                </c:pt>
                <c:pt idx="129">
                  <c:v>3.4245999999999999</c:v>
                </c:pt>
                <c:pt idx="130">
                  <c:v>3.3138000000000001</c:v>
                </c:pt>
                <c:pt idx="131">
                  <c:v>3.3138000000000001</c:v>
                </c:pt>
                <c:pt idx="132">
                  <c:v>22.5046</c:v>
                </c:pt>
                <c:pt idx="133">
                  <c:v>23.481200000000001</c:v>
                </c:pt>
                <c:pt idx="134">
                  <c:v>23.231300000000001</c:v>
                </c:pt>
                <c:pt idx="135">
                  <c:v>22.414200000000001</c:v>
                </c:pt>
                <c:pt idx="136">
                  <c:v>23.385100000000001</c:v>
                </c:pt>
                <c:pt idx="137">
                  <c:v>23.8368</c:v>
                </c:pt>
                <c:pt idx="138">
                  <c:v>23.346599999999999</c:v>
                </c:pt>
                <c:pt idx="139">
                  <c:v>23.308199999999999</c:v>
                </c:pt>
                <c:pt idx="140">
                  <c:v>23.635000000000002</c:v>
                </c:pt>
                <c:pt idx="141">
                  <c:v>23.279299999999999</c:v>
                </c:pt>
                <c:pt idx="142">
                  <c:v>23.529199999999999</c:v>
                </c:pt>
                <c:pt idx="143">
                  <c:v>22.616099999999999</c:v>
                </c:pt>
                <c:pt idx="144">
                  <c:v>19.6663</c:v>
                </c:pt>
                <c:pt idx="145">
                  <c:v>19.6663</c:v>
                </c:pt>
                <c:pt idx="146">
                  <c:v>18.404599999999999</c:v>
                </c:pt>
                <c:pt idx="147">
                  <c:v>18.991299999999999</c:v>
                </c:pt>
                <c:pt idx="148">
                  <c:v>19.907399999999999</c:v>
                </c:pt>
                <c:pt idx="149">
                  <c:v>19.939499999999999</c:v>
                </c:pt>
                <c:pt idx="150">
                  <c:v>19.602</c:v>
                </c:pt>
                <c:pt idx="151">
                  <c:v>20.236799999999999</c:v>
                </c:pt>
                <c:pt idx="152">
                  <c:v>23.611899999999999</c:v>
                </c:pt>
                <c:pt idx="153">
                  <c:v>22.3262</c:v>
                </c:pt>
                <c:pt idx="154">
                  <c:v>22.687799999999999</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JHSF PART</c:v>
                </c:pt>
              </c:strCache>
            </c:strRef>
          </c:tx>
          <c:spPr>
            <a:ln w="28575" cap="rnd">
              <a:solidFill>
                <a:schemeClr val="accent5"/>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Data'!$E$5:$E$159</c:f>
              <c:numCache>
                <c:formatCode>0.0</c:formatCode>
                <c:ptCount val="155"/>
                <c:pt idx="0">
                  <c:v>4.9230999999999998</c:v>
                </c:pt>
                <c:pt idx="1">
                  <c:v>4.9309000000000003</c:v>
                </c:pt>
                <c:pt idx="2">
                  <c:v>4.9504000000000001</c:v>
                </c:pt>
                <c:pt idx="3">
                  <c:v>4.6296999999999997</c:v>
                </c:pt>
                <c:pt idx="4">
                  <c:v>4.7157999999999998</c:v>
                </c:pt>
                <c:pt idx="5">
                  <c:v>4.7039999999999997</c:v>
                </c:pt>
                <c:pt idx="6">
                  <c:v>4.6414999999999997</c:v>
                </c:pt>
                <c:pt idx="7">
                  <c:v>4.6063000000000001</c:v>
                </c:pt>
                <c:pt idx="8">
                  <c:v>4.5671999999999997</c:v>
                </c:pt>
                <c:pt idx="9">
                  <c:v>4.4927999999999999</c:v>
                </c:pt>
                <c:pt idx="10">
                  <c:v>4.4771999999999998</c:v>
                </c:pt>
                <c:pt idx="11">
                  <c:v>4.4459</c:v>
                </c:pt>
                <c:pt idx="12">
                  <c:v>4.5163000000000002</c:v>
                </c:pt>
                <c:pt idx="13">
                  <c:v>4.5476000000000001</c:v>
                </c:pt>
                <c:pt idx="14">
                  <c:v>4.5956000000000001</c:v>
                </c:pt>
                <c:pt idx="15">
                  <c:v>4.5998000000000001</c:v>
                </c:pt>
                <c:pt idx="16">
                  <c:v>4.5872000000000002</c:v>
                </c:pt>
                <c:pt idx="17">
                  <c:v>4.5914000000000001</c:v>
                </c:pt>
                <c:pt idx="18">
                  <c:v>4.6378000000000004</c:v>
                </c:pt>
                <c:pt idx="19">
                  <c:v>4.5156000000000001</c:v>
                </c:pt>
                <c:pt idx="20">
                  <c:v>4.5408999999999997</c:v>
                </c:pt>
                <c:pt idx="21">
                  <c:v>4.4861000000000004</c:v>
                </c:pt>
                <c:pt idx="22">
                  <c:v>4.4903000000000004</c:v>
                </c:pt>
                <c:pt idx="23">
                  <c:v>4.5156000000000001</c:v>
                </c:pt>
                <c:pt idx="24">
                  <c:v>4.1492000000000004</c:v>
                </c:pt>
                <c:pt idx="25">
                  <c:v>4.1492000000000004</c:v>
                </c:pt>
                <c:pt idx="26">
                  <c:v>4.1113</c:v>
                </c:pt>
                <c:pt idx="27">
                  <c:v>4.9957000000000003</c:v>
                </c:pt>
                <c:pt idx="28">
                  <c:v>4.8734999999999999</c:v>
                </c:pt>
                <c:pt idx="29">
                  <c:v>4.8681999999999999</c:v>
                </c:pt>
                <c:pt idx="30">
                  <c:v>4.8098000000000001</c:v>
                </c:pt>
                <c:pt idx="31">
                  <c:v>4.6929999999999996</c:v>
                </c:pt>
                <c:pt idx="32">
                  <c:v>4.8417000000000003</c:v>
                </c:pt>
                <c:pt idx="33">
                  <c:v>4.9320000000000004</c:v>
                </c:pt>
                <c:pt idx="34">
                  <c:v>4.8575999999999997</c:v>
                </c:pt>
                <c:pt idx="35">
                  <c:v>4.8993000000000002</c:v>
                </c:pt>
                <c:pt idx="36">
                  <c:v>4.7563000000000004</c:v>
                </c:pt>
                <c:pt idx="37">
                  <c:v>4.7404000000000002</c:v>
                </c:pt>
                <c:pt idx="38">
                  <c:v>4.7351000000000001</c:v>
                </c:pt>
                <c:pt idx="39">
                  <c:v>4.7404000000000002</c:v>
                </c:pt>
                <c:pt idx="40">
                  <c:v>5.0612000000000004</c:v>
                </c:pt>
                <c:pt idx="41">
                  <c:v>5.1365999999999996</c:v>
                </c:pt>
                <c:pt idx="42">
                  <c:v>5.1597999999999997</c:v>
                </c:pt>
                <c:pt idx="43">
                  <c:v>5.2352999999999996</c:v>
                </c:pt>
                <c:pt idx="44">
                  <c:v>5.3978000000000002</c:v>
                </c:pt>
                <c:pt idx="45">
                  <c:v>5.4964000000000004</c:v>
                </c:pt>
                <c:pt idx="46">
                  <c:v>5.5254000000000003</c:v>
                </c:pt>
                <c:pt idx="47">
                  <c:v>5.5254000000000003</c:v>
                </c:pt>
                <c:pt idx="48">
                  <c:v>5.3920000000000003</c:v>
                </c:pt>
                <c:pt idx="49">
                  <c:v>5.4442000000000004</c:v>
                </c:pt>
                <c:pt idx="50">
                  <c:v>5.45</c:v>
                </c:pt>
                <c:pt idx="51">
                  <c:v>5.3455000000000004</c:v>
                </c:pt>
                <c:pt idx="52">
                  <c:v>5.3920000000000003</c:v>
                </c:pt>
                <c:pt idx="53">
                  <c:v>5.6300999999999997</c:v>
                </c:pt>
                <c:pt idx="54">
                  <c:v>5.6795</c:v>
                </c:pt>
                <c:pt idx="55">
                  <c:v>5.9013999999999998</c:v>
                </c:pt>
                <c:pt idx="56">
                  <c:v>5.8705999999999996</c:v>
                </c:pt>
                <c:pt idx="57">
                  <c:v>5.7965999999999998</c:v>
                </c:pt>
                <c:pt idx="58">
                  <c:v>5.8521000000000001</c:v>
                </c:pt>
                <c:pt idx="59">
                  <c:v>5.7350000000000003</c:v>
                </c:pt>
                <c:pt idx="60">
                  <c:v>5.6733000000000002</c:v>
                </c:pt>
                <c:pt idx="61">
                  <c:v>5.5747</c:v>
                </c:pt>
                <c:pt idx="62">
                  <c:v>5.5685000000000002</c:v>
                </c:pt>
                <c:pt idx="63">
                  <c:v>5.5808</c:v>
                </c:pt>
                <c:pt idx="64">
                  <c:v>5.7595999999999998</c:v>
                </c:pt>
                <c:pt idx="65">
                  <c:v>5.7287999999999997</c:v>
                </c:pt>
                <c:pt idx="66">
                  <c:v>5.8864000000000001</c:v>
                </c:pt>
                <c:pt idx="67">
                  <c:v>5.8216000000000001</c:v>
                </c:pt>
                <c:pt idx="68">
                  <c:v>5.7567000000000004</c:v>
                </c:pt>
                <c:pt idx="69">
                  <c:v>5.8346</c:v>
                </c:pt>
                <c:pt idx="70">
                  <c:v>5.9188999999999998</c:v>
                </c:pt>
                <c:pt idx="71">
                  <c:v>5.9577999999999998</c:v>
                </c:pt>
                <c:pt idx="72">
                  <c:v>6.0096999999999996</c:v>
                </c:pt>
                <c:pt idx="73">
                  <c:v>6.0486000000000004</c:v>
                </c:pt>
                <c:pt idx="74">
                  <c:v>6.1524000000000001</c:v>
                </c:pt>
                <c:pt idx="75">
                  <c:v>6.1329000000000002</c:v>
                </c:pt>
                <c:pt idx="76">
                  <c:v>6.1005000000000003</c:v>
                </c:pt>
                <c:pt idx="77">
                  <c:v>6.0486000000000004</c:v>
                </c:pt>
                <c:pt idx="78">
                  <c:v>6.3663999999999996</c:v>
                </c:pt>
                <c:pt idx="79">
                  <c:v>6.3429000000000002</c:v>
                </c:pt>
                <c:pt idx="80">
                  <c:v>6.3429000000000002</c:v>
                </c:pt>
                <c:pt idx="81">
                  <c:v>6.3983999999999996</c:v>
                </c:pt>
                <c:pt idx="82">
                  <c:v>6.4260999999999999</c:v>
                </c:pt>
                <c:pt idx="83">
                  <c:v>6.4816000000000003</c:v>
                </c:pt>
                <c:pt idx="84">
                  <c:v>6.44</c:v>
                </c:pt>
                <c:pt idx="85">
                  <c:v>6.3705999999999996</c:v>
                </c:pt>
                <c:pt idx="86">
                  <c:v>6.4053000000000004</c:v>
                </c:pt>
                <c:pt idx="87">
                  <c:v>6.6132999999999997</c:v>
                </c:pt>
                <c:pt idx="88">
                  <c:v>6.7934999999999999</c:v>
                </c:pt>
                <c:pt idx="89">
                  <c:v>6.8697999999999997</c:v>
                </c:pt>
                <c:pt idx="90">
                  <c:v>6.9806999999999997</c:v>
                </c:pt>
                <c:pt idx="91">
                  <c:v>6.9390999999999998</c:v>
                </c:pt>
                <c:pt idx="92">
                  <c:v>8.4085000000000001</c:v>
                </c:pt>
                <c:pt idx="93">
                  <c:v>8.4085000000000001</c:v>
                </c:pt>
                <c:pt idx="94">
                  <c:v>8.0167999999999999</c:v>
                </c:pt>
                <c:pt idx="95">
                  <c:v>7.8975999999999997</c:v>
                </c:pt>
                <c:pt idx="96">
                  <c:v>7.7613000000000003</c:v>
                </c:pt>
                <c:pt idx="97">
                  <c:v>7.5655000000000001</c:v>
                </c:pt>
                <c:pt idx="98">
                  <c:v>7.6250999999999998</c:v>
                </c:pt>
                <c:pt idx="99">
                  <c:v>7.8380000000000001</c:v>
                </c:pt>
                <c:pt idx="100">
                  <c:v>7.6505999999999998</c:v>
                </c:pt>
                <c:pt idx="101">
                  <c:v>7.4547999999999996</c:v>
                </c:pt>
                <c:pt idx="102">
                  <c:v>7.4036999999999997</c:v>
                </c:pt>
                <c:pt idx="103">
                  <c:v>7.7443</c:v>
                </c:pt>
                <c:pt idx="104">
                  <c:v>7.6421000000000001</c:v>
                </c:pt>
                <c:pt idx="105">
                  <c:v>7.8532000000000002</c:v>
                </c:pt>
                <c:pt idx="106">
                  <c:v>7.8022999999999998</c:v>
                </c:pt>
                <c:pt idx="107">
                  <c:v>8.0568000000000008</c:v>
                </c:pt>
                <c:pt idx="108">
                  <c:v>7.8956</c:v>
                </c:pt>
                <c:pt idx="109">
                  <c:v>7.9126000000000003</c:v>
                </c:pt>
                <c:pt idx="110">
                  <c:v>7.9550000000000001</c:v>
                </c:pt>
                <c:pt idx="111">
                  <c:v>7.8701999999999996</c:v>
                </c:pt>
                <c:pt idx="112">
                  <c:v>8.4215999999999998</c:v>
                </c:pt>
                <c:pt idx="113">
                  <c:v>8.7270000000000003</c:v>
                </c:pt>
                <c:pt idx="114">
                  <c:v>8.4131</c:v>
                </c:pt>
                <c:pt idx="115">
                  <c:v>8.3027999999999995</c:v>
                </c:pt>
                <c:pt idx="116">
                  <c:v>8.2689000000000004</c:v>
                </c:pt>
                <c:pt idx="117">
                  <c:v>8.4471000000000007</c:v>
                </c:pt>
                <c:pt idx="118">
                  <c:v>8.1332000000000004</c:v>
                </c:pt>
                <c:pt idx="119">
                  <c:v>7.0004</c:v>
                </c:pt>
                <c:pt idx="120">
                  <c:v>6.9855</c:v>
                </c:pt>
                <c:pt idx="121">
                  <c:v>6.9855</c:v>
                </c:pt>
                <c:pt idx="122">
                  <c:v>6.6878000000000002</c:v>
                </c:pt>
                <c:pt idx="123">
                  <c:v>6.7622</c:v>
                </c:pt>
                <c:pt idx="124">
                  <c:v>6.5315000000000003</c:v>
                </c:pt>
                <c:pt idx="125">
                  <c:v>6.3083</c:v>
                </c:pt>
                <c:pt idx="126">
                  <c:v>6.2785000000000002</c:v>
                </c:pt>
                <c:pt idx="127">
                  <c:v>6.1891999999999996</c:v>
                </c:pt>
                <c:pt idx="128">
                  <c:v>6.2934000000000001</c:v>
                </c:pt>
                <c:pt idx="129">
                  <c:v>6.2934000000000001</c:v>
                </c:pt>
                <c:pt idx="130">
                  <c:v>6.0552000000000001</c:v>
                </c:pt>
                <c:pt idx="131">
                  <c:v>6.0552000000000001</c:v>
                </c:pt>
                <c:pt idx="132">
                  <c:v>5.6429</c:v>
                </c:pt>
                <c:pt idx="133">
                  <c:v>5.8604000000000003</c:v>
                </c:pt>
                <c:pt idx="134">
                  <c:v>6.0709999999999997</c:v>
                </c:pt>
                <c:pt idx="135">
                  <c:v>6.0709999999999997</c:v>
                </c:pt>
                <c:pt idx="136">
                  <c:v>6.3868</c:v>
                </c:pt>
                <c:pt idx="137">
                  <c:v>6.4359000000000002</c:v>
                </c:pt>
                <c:pt idx="138">
                  <c:v>6.5061</c:v>
                </c:pt>
                <c:pt idx="139">
                  <c:v>6.6745000000000001</c:v>
                </c:pt>
                <c:pt idx="140">
                  <c:v>6.6534000000000004</c:v>
                </c:pt>
                <c:pt idx="141">
                  <c:v>6.5130999999999997</c:v>
                </c:pt>
                <c:pt idx="142">
                  <c:v>6.4779999999999998</c:v>
                </c:pt>
                <c:pt idx="143">
                  <c:v>6.5481999999999996</c:v>
                </c:pt>
                <c:pt idx="144">
                  <c:v>6.0411999999999999</c:v>
                </c:pt>
                <c:pt idx="145">
                  <c:v>6.0411999999999999</c:v>
                </c:pt>
                <c:pt idx="146">
                  <c:v>5.6806999999999999</c:v>
                </c:pt>
                <c:pt idx="147">
                  <c:v>6.0145</c:v>
                </c:pt>
                <c:pt idx="148">
                  <c:v>6.3616000000000001</c:v>
                </c:pt>
                <c:pt idx="149">
                  <c:v>6.3216000000000001</c:v>
                </c:pt>
                <c:pt idx="150">
                  <c:v>6.3415999999999997</c:v>
                </c:pt>
                <c:pt idx="151">
                  <c:v>6.7420999999999998</c:v>
                </c:pt>
                <c:pt idx="152">
                  <c:v>7.5631000000000004</c:v>
                </c:pt>
                <c:pt idx="153">
                  <c:v>7.3696000000000002</c:v>
                </c:pt>
                <c:pt idx="154">
                  <c:v>7.7032999999999996</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LOG COMMERCIAL P</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Data'!$F$5:$F$159</c:f>
              <c:numCache>
                <c:formatCode>0.0</c:formatCode>
                <c:ptCount val="155"/>
                <c:pt idx="0">
                  <c:v>7.61</c:v>
                </c:pt>
                <c:pt idx="1">
                  <c:v>7.7531999999999996</c:v>
                </c:pt>
                <c:pt idx="2">
                  <c:v>7.5606</c:v>
                </c:pt>
                <c:pt idx="3">
                  <c:v>7.4173999999999998</c:v>
                </c:pt>
                <c:pt idx="4">
                  <c:v>7.4305000000000003</c:v>
                </c:pt>
                <c:pt idx="5">
                  <c:v>7.3152999999999997</c:v>
                </c:pt>
                <c:pt idx="6">
                  <c:v>7.2889999999999997</c:v>
                </c:pt>
                <c:pt idx="7">
                  <c:v>7.2263999999999999</c:v>
                </c:pt>
                <c:pt idx="8">
                  <c:v>7.1573000000000002</c:v>
                </c:pt>
                <c:pt idx="9">
                  <c:v>7.1951000000000001</c:v>
                </c:pt>
                <c:pt idx="10">
                  <c:v>7.2083000000000004</c:v>
                </c:pt>
                <c:pt idx="11">
                  <c:v>7.0914000000000001</c:v>
                </c:pt>
                <c:pt idx="12">
                  <c:v>7.1407999999999996</c:v>
                </c:pt>
                <c:pt idx="13">
                  <c:v>7.2544000000000004</c:v>
                </c:pt>
                <c:pt idx="14">
                  <c:v>6.9142000000000001</c:v>
                </c:pt>
                <c:pt idx="15">
                  <c:v>6.9157999999999999</c:v>
                </c:pt>
                <c:pt idx="16">
                  <c:v>6.9157999999999999</c:v>
                </c:pt>
                <c:pt idx="17">
                  <c:v>7.0522999999999998</c:v>
                </c:pt>
                <c:pt idx="18">
                  <c:v>6.9832000000000001</c:v>
                </c:pt>
                <c:pt idx="19">
                  <c:v>7.0637999999999996</c:v>
                </c:pt>
                <c:pt idx="20">
                  <c:v>6.9634999999999998</c:v>
                </c:pt>
                <c:pt idx="21">
                  <c:v>6.9191000000000003</c:v>
                </c:pt>
                <c:pt idx="22">
                  <c:v>7.0045999999999999</c:v>
                </c:pt>
                <c:pt idx="23">
                  <c:v>6.7973999999999997</c:v>
                </c:pt>
                <c:pt idx="24">
                  <c:v>6.5952000000000002</c:v>
                </c:pt>
                <c:pt idx="25">
                  <c:v>6.5952000000000002</c:v>
                </c:pt>
                <c:pt idx="26">
                  <c:v>6.4471999999999996</c:v>
                </c:pt>
                <c:pt idx="27">
                  <c:v>7.0208000000000004</c:v>
                </c:pt>
                <c:pt idx="28">
                  <c:v>6.9901</c:v>
                </c:pt>
                <c:pt idx="29">
                  <c:v>6.9756</c:v>
                </c:pt>
                <c:pt idx="30">
                  <c:v>6.8529</c:v>
                </c:pt>
                <c:pt idx="31">
                  <c:v>7.0225999999999997</c:v>
                </c:pt>
                <c:pt idx="32">
                  <c:v>7.1219000000000001</c:v>
                </c:pt>
                <c:pt idx="33">
                  <c:v>7.1525999999999996</c:v>
                </c:pt>
                <c:pt idx="34">
                  <c:v>7.1471</c:v>
                </c:pt>
                <c:pt idx="35">
                  <c:v>7.1291000000000002</c:v>
                </c:pt>
                <c:pt idx="36">
                  <c:v>6.7047999999999996</c:v>
                </c:pt>
                <c:pt idx="37">
                  <c:v>7.1002000000000001</c:v>
                </c:pt>
                <c:pt idx="38">
                  <c:v>6.9702000000000002</c:v>
                </c:pt>
                <c:pt idx="39">
                  <c:v>6.9630000000000001</c:v>
                </c:pt>
                <c:pt idx="40">
                  <c:v>7.5888999999999998</c:v>
                </c:pt>
                <c:pt idx="41">
                  <c:v>7.5354999999999999</c:v>
                </c:pt>
                <c:pt idx="42">
                  <c:v>7.7750000000000004</c:v>
                </c:pt>
                <c:pt idx="43">
                  <c:v>8.2988</c:v>
                </c:pt>
                <c:pt idx="44">
                  <c:v>8.0015999999999998</c:v>
                </c:pt>
                <c:pt idx="45">
                  <c:v>8.3223000000000003</c:v>
                </c:pt>
                <c:pt idx="46">
                  <c:v>8.6771999999999991</c:v>
                </c:pt>
                <c:pt idx="47">
                  <c:v>8.6771999999999991</c:v>
                </c:pt>
                <c:pt idx="48">
                  <c:v>8.4719999999999995</c:v>
                </c:pt>
                <c:pt idx="49">
                  <c:v>8.4527000000000001</c:v>
                </c:pt>
                <c:pt idx="50">
                  <c:v>8.6411999999999995</c:v>
                </c:pt>
                <c:pt idx="51">
                  <c:v>8.6051000000000002</c:v>
                </c:pt>
                <c:pt idx="52">
                  <c:v>8.9184999999999999</c:v>
                </c:pt>
                <c:pt idx="53">
                  <c:v>11.063000000000001</c:v>
                </c:pt>
                <c:pt idx="54">
                  <c:v>11.137499999999999</c:v>
                </c:pt>
                <c:pt idx="55">
                  <c:v>11.2759</c:v>
                </c:pt>
                <c:pt idx="56">
                  <c:v>11.262600000000001</c:v>
                </c:pt>
                <c:pt idx="57">
                  <c:v>11.342499999999999</c:v>
                </c:pt>
                <c:pt idx="58">
                  <c:v>11.6539</c:v>
                </c:pt>
                <c:pt idx="59">
                  <c:v>11.451599999999999</c:v>
                </c:pt>
                <c:pt idx="60">
                  <c:v>11.382400000000001</c:v>
                </c:pt>
                <c:pt idx="61">
                  <c:v>11.100300000000001</c:v>
                </c:pt>
                <c:pt idx="62">
                  <c:v>10.823399999999999</c:v>
                </c:pt>
                <c:pt idx="63">
                  <c:v>11.2759</c:v>
                </c:pt>
                <c:pt idx="64">
                  <c:v>11.9781</c:v>
                </c:pt>
                <c:pt idx="65">
                  <c:v>12.3743</c:v>
                </c:pt>
                <c:pt idx="66">
                  <c:v>14.616400000000001</c:v>
                </c:pt>
                <c:pt idx="67">
                  <c:v>14.447100000000001</c:v>
                </c:pt>
                <c:pt idx="68">
                  <c:v>14.277799999999999</c:v>
                </c:pt>
                <c:pt idx="69">
                  <c:v>14.0974</c:v>
                </c:pt>
                <c:pt idx="70">
                  <c:v>14.0017</c:v>
                </c:pt>
                <c:pt idx="71">
                  <c:v>14.1195</c:v>
                </c:pt>
                <c:pt idx="72">
                  <c:v>14.3772</c:v>
                </c:pt>
                <c:pt idx="73">
                  <c:v>14.229900000000001</c:v>
                </c:pt>
                <c:pt idx="74">
                  <c:v>14.450799999999999</c:v>
                </c:pt>
                <c:pt idx="75">
                  <c:v>14.034800000000001</c:v>
                </c:pt>
                <c:pt idx="76">
                  <c:v>14.0054</c:v>
                </c:pt>
                <c:pt idx="77">
                  <c:v>14.2189</c:v>
                </c:pt>
                <c:pt idx="78">
                  <c:v>14.104799999999999</c:v>
                </c:pt>
                <c:pt idx="79">
                  <c:v>14.4322</c:v>
                </c:pt>
                <c:pt idx="80">
                  <c:v>14.4322</c:v>
                </c:pt>
                <c:pt idx="81">
                  <c:v>14.178800000000001</c:v>
                </c:pt>
                <c:pt idx="82">
                  <c:v>14.2659</c:v>
                </c:pt>
                <c:pt idx="83">
                  <c:v>14.0838</c:v>
                </c:pt>
                <c:pt idx="84">
                  <c:v>13.664</c:v>
                </c:pt>
                <c:pt idx="85">
                  <c:v>13.4977</c:v>
                </c:pt>
                <c:pt idx="86">
                  <c:v>13.854100000000001</c:v>
                </c:pt>
                <c:pt idx="87">
                  <c:v>13.513500000000001</c:v>
                </c:pt>
                <c:pt idx="88">
                  <c:v>13.568899999999999</c:v>
                </c:pt>
                <c:pt idx="89">
                  <c:v>13.6996</c:v>
                </c:pt>
                <c:pt idx="90">
                  <c:v>14.3293</c:v>
                </c:pt>
                <c:pt idx="91">
                  <c:v>13.889699999999999</c:v>
                </c:pt>
                <c:pt idx="92">
                  <c:v>12.183199999999999</c:v>
                </c:pt>
                <c:pt idx="93">
                  <c:v>12.183199999999999</c:v>
                </c:pt>
                <c:pt idx="94">
                  <c:v>12.466799999999999</c:v>
                </c:pt>
                <c:pt idx="95">
                  <c:v>12.3653</c:v>
                </c:pt>
                <c:pt idx="96">
                  <c:v>12.95</c:v>
                </c:pt>
                <c:pt idx="97">
                  <c:v>12.312799999999999</c:v>
                </c:pt>
                <c:pt idx="98">
                  <c:v>12.757400000000001</c:v>
                </c:pt>
                <c:pt idx="99">
                  <c:v>13.111000000000001</c:v>
                </c:pt>
                <c:pt idx="100">
                  <c:v>12.620900000000001</c:v>
                </c:pt>
                <c:pt idx="101">
                  <c:v>11.630100000000001</c:v>
                </c:pt>
                <c:pt idx="102">
                  <c:v>11.0944</c:v>
                </c:pt>
                <c:pt idx="103">
                  <c:v>11.1259</c:v>
                </c:pt>
                <c:pt idx="104">
                  <c:v>11.104900000000001</c:v>
                </c:pt>
                <c:pt idx="105">
                  <c:v>10.371600000000001</c:v>
                </c:pt>
                <c:pt idx="106">
                  <c:v>10.246</c:v>
                </c:pt>
                <c:pt idx="107">
                  <c:v>10.536</c:v>
                </c:pt>
                <c:pt idx="108">
                  <c:v>10.0008</c:v>
                </c:pt>
                <c:pt idx="109">
                  <c:v>10.066599999999999</c:v>
                </c:pt>
                <c:pt idx="110">
                  <c:v>9.9499999999999993</c:v>
                </c:pt>
                <c:pt idx="111">
                  <c:v>9.9050999999999991</c:v>
                </c:pt>
                <c:pt idx="112">
                  <c:v>10.231</c:v>
                </c:pt>
                <c:pt idx="113">
                  <c:v>10.413399999999999</c:v>
                </c:pt>
                <c:pt idx="114">
                  <c:v>10.607799999999999</c:v>
                </c:pt>
                <c:pt idx="115">
                  <c:v>10.9217</c:v>
                </c:pt>
                <c:pt idx="116">
                  <c:v>10.8499</c:v>
                </c:pt>
                <c:pt idx="117">
                  <c:v>11.5167</c:v>
                </c:pt>
                <c:pt idx="118">
                  <c:v>11.2775</c:v>
                </c:pt>
                <c:pt idx="119">
                  <c:v>9.5924999999999994</c:v>
                </c:pt>
                <c:pt idx="120">
                  <c:v>9.1422000000000008</c:v>
                </c:pt>
                <c:pt idx="121">
                  <c:v>9.7687000000000008</c:v>
                </c:pt>
                <c:pt idx="122">
                  <c:v>9.2254000000000005</c:v>
                </c:pt>
                <c:pt idx="123">
                  <c:v>8.8192000000000004</c:v>
                </c:pt>
                <c:pt idx="124">
                  <c:v>8.6625999999999994</c:v>
                </c:pt>
                <c:pt idx="125">
                  <c:v>8.3712999999999997</c:v>
                </c:pt>
                <c:pt idx="126">
                  <c:v>8.2905999999999995</c:v>
                </c:pt>
                <c:pt idx="127">
                  <c:v>7.6909999999999998</c:v>
                </c:pt>
                <c:pt idx="128">
                  <c:v>7.8403</c:v>
                </c:pt>
                <c:pt idx="129">
                  <c:v>7.8403</c:v>
                </c:pt>
                <c:pt idx="130">
                  <c:v>7.5491000000000001</c:v>
                </c:pt>
                <c:pt idx="131">
                  <c:v>7.5491000000000001</c:v>
                </c:pt>
                <c:pt idx="132">
                  <c:v>6.1581999999999999</c:v>
                </c:pt>
                <c:pt idx="133">
                  <c:v>6.1436000000000002</c:v>
                </c:pt>
                <c:pt idx="134">
                  <c:v>6.0499000000000001</c:v>
                </c:pt>
                <c:pt idx="135">
                  <c:v>5.7896000000000001</c:v>
                </c:pt>
                <c:pt idx="136">
                  <c:v>6.0831999999999997</c:v>
                </c:pt>
                <c:pt idx="137">
                  <c:v>6.2455999999999996</c:v>
                </c:pt>
                <c:pt idx="138">
                  <c:v>6.6224999999999996</c:v>
                </c:pt>
                <c:pt idx="139">
                  <c:v>6.4642999999999997</c:v>
                </c:pt>
                <c:pt idx="140">
                  <c:v>6.4142999999999999</c:v>
                </c:pt>
                <c:pt idx="141">
                  <c:v>6.1977000000000002</c:v>
                </c:pt>
                <c:pt idx="142">
                  <c:v>6.0707000000000004</c:v>
                </c:pt>
                <c:pt idx="143">
                  <c:v>6.0978000000000003</c:v>
                </c:pt>
                <c:pt idx="144">
                  <c:v>6.4591000000000003</c:v>
                </c:pt>
                <c:pt idx="145">
                  <c:v>6.4591000000000003</c:v>
                </c:pt>
                <c:pt idx="146">
                  <c:v>5.9922000000000004</c:v>
                </c:pt>
                <c:pt idx="147">
                  <c:v>6.5579000000000001</c:v>
                </c:pt>
                <c:pt idx="148">
                  <c:v>6.7019000000000002</c:v>
                </c:pt>
                <c:pt idx="149">
                  <c:v>6.7244999999999999</c:v>
                </c:pt>
                <c:pt idx="150">
                  <c:v>6.6607000000000003</c:v>
                </c:pt>
                <c:pt idx="151">
                  <c:v>6.9816000000000003</c:v>
                </c:pt>
                <c:pt idx="152">
                  <c:v>7.7140000000000004</c:v>
                </c:pt>
                <c:pt idx="153">
                  <c:v>7.6254999999999997</c:v>
                </c:pt>
                <c:pt idx="154">
                  <c:v>7.8127000000000004</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MULTIPLAN</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Data'!$G$5:$G$159</c:f>
              <c:numCache>
                <c:formatCode>0.0</c:formatCode>
                <c:ptCount val="155"/>
                <c:pt idx="0">
                  <c:v>10.071899999999999</c:v>
                </c:pt>
                <c:pt idx="1">
                  <c:v>10.2768</c:v>
                </c:pt>
                <c:pt idx="2">
                  <c:v>10.2821</c:v>
                </c:pt>
                <c:pt idx="3">
                  <c:v>10.143800000000001</c:v>
                </c:pt>
                <c:pt idx="4">
                  <c:v>10.0746</c:v>
                </c:pt>
                <c:pt idx="5">
                  <c:v>9.9974000000000007</c:v>
                </c:pt>
                <c:pt idx="6">
                  <c:v>9.7260000000000009</c:v>
                </c:pt>
                <c:pt idx="7">
                  <c:v>9.6674000000000007</c:v>
                </c:pt>
                <c:pt idx="8">
                  <c:v>9.4891000000000005</c:v>
                </c:pt>
                <c:pt idx="9">
                  <c:v>9.4120000000000008</c:v>
                </c:pt>
                <c:pt idx="10">
                  <c:v>9.3055000000000003</c:v>
                </c:pt>
                <c:pt idx="11">
                  <c:v>9.3028999999999993</c:v>
                </c:pt>
                <c:pt idx="12">
                  <c:v>9.4785000000000004</c:v>
                </c:pt>
                <c:pt idx="13">
                  <c:v>9.8164999999999996</c:v>
                </c:pt>
                <c:pt idx="14">
                  <c:v>10.376899999999999</c:v>
                </c:pt>
                <c:pt idx="15">
                  <c:v>10.048299999999999</c:v>
                </c:pt>
                <c:pt idx="16">
                  <c:v>10.0068</c:v>
                </c:pt>
                <c:pt idx="17">
                  <c:v>10.1615</c:v>
                </c:pt>
                <c:pt idx="18">
                  <c:v>10.332800000000001</c:v>
                </c:pt>
                <c:pt idx="19">
                  <c:v>10.062099999999999</c:v>
                </c:pt>
                <c:pt idx="20">
                  <c:v>10.1173</c:v>
                </c:pt>
                <c:pt idx="21">
                  <c:v>9.9984999999999999</c:v>
                </c:pt>
                <c:pt idx="22">
                  <c:v>10.084199999999999</c:v>
                </c:pt>
                <c:pt idx="23">
                  <c:v>9.9515999999999991</c:v>
                </c:pt>
                <c:pt idx="24">
                  <c:v>9.4819999999999993</c:v>
                </c:pt>
                <c:pt idx="25">
                  <c:v>9.4819999999999993</c:v>
                </c:pt>
                <c:pt idx="26">
                  <c:v>9.2003000000000004</c:v>
                </c:pt>
                <c:pt idx="27">
                  <c:v>9.2505000000000006</c:v>
                </c:pt>
                <c:pt idx="28">
                  <c:v>9.3588000000000005</c:v>
                </c:pt>
                <c:pt idx="29">
                  <c:v>9.3665000000000003</c:v>
                </c:pt>
                <c:pt idx="30">
                  <c:v>8.9956999999999994</c:v>
                </c:pt>
                <c:pt idx="31">
                  <c:v>8.8160000000000007</c:v>
                </c:pt>
                <c:pt idx="32">
                  <c:v>9.1643000000000008</c:v>
                </c:pt>
                <c:pt idx="33">
                  <c:v>9.3497000000000003</c:v>
                </c:pt>
                <c:pt idx="34">
                  <c:v>9.1305999999999994</c:v>
                </c:pt>
                <c:pt idx="35">
                  <c:v>9.2233000000000001</c:v>
                </c:pt>
                <c:pt idx="36">
                  <c:v>8.7766000000000002</c:v>
                </c:pt>
                <c:pt idx="37">
                  <c:v>8.6980000000000004</c:v>
                </c:pt>
                <c:pt idx="38">
                  <c:v>8.6165000000000003</c:v>
                </c:pt>
                <c:pt idx="39">
                  <c:v>8.6277000000000008</c:v>
                </c:pt>
                <c:pt idx="40">
                  <c:v>9.1348000000000003</c:v>
                </c:pt>
                <c:pt idx="41">
                  <c:v>9.5282999999999998</c:v>
                </c:pt>
                <c:pt idx="42">
                  <c:v>9.5608000000000004</c:v>
                </c:pt>
                <c:pt idx="43">
                  <c:v>9.7949000000000002</c:v>
                </c:pt>
                <c:pt idx="44">
                  <c:v>9.9802</c:v>
                </c:pt>
                <c:pt idx="45">
                  <c:v>10.607799999999999</c:v>
                </c:pt>
                <c:pt idx="46">
                  <c:v>10.269600000000001</c:v>
                </c:pt>
                <c:pt idx="47">
                  <c:v>10.269600000000001</c:v>
                </c:pt>
                <c:pt idx="48">
                  <c:v>10.747400000000001</c:v>
                </c:pt>
                <c:pt idx="49">
                  <c:v>11.3337</c:v>
                </c:pt>
                <c:pt idx="50">
                  <c:v>11.6342</c:v>
                </c:pt>
                <c:pt idx="51">
                  <c:v>11.514699999999999</c:v>
                </c:pt>
                <c:pt idx="52">
                  <c:v>11.583500000000001</c:v>
                </c:pt>
                <c:pt idx="53">
                  <c:v>11.240500000000001</c:v>
                </c:pt>
                <c:pt idx="54">
                  <c:v>11.904500000000001</c:v>
                </c:pt>
                <c:pt idx="55">
                  <c:v>12.349500000000001</c:v>
                </c:pt>
                <c:pt idx="56">
                  <c:v>11.757400000000001</c:v>
                </c:pt>
                <c:pt idx="57">
                  <c:v>11.640499999999999</c:v>
                </c:pt>
                <c:pt idx="58">
                  <c:v>12.0365</c:v>
                </c:pt>
                <c:pt idx="59">
                  <c:v>11.919600000000001</c:v>
                </c:pt>
                <c:pt idx="60">
                  <c:v>11.8894</c:v>
                </c:pt>
                <c:pt idx="61">
                  <c:v>11.3238</c:v>
                </c:pt>
                <c:pt idx="62">
                  <c:v>11.0862</c:v>
                </c:pt>
                <c:pt idx="63">
                  <c:v>11.259600000000001</c:v>
                </c:pt>
                <c:pt idx="64">
                  <c:v>11.282299999999999</c:v>
                </c:pt>
                <c:pt idx="65">
                  <c:v>11.0862</c:v>
                </c:pt>
                <c:pt idx="66">
                  <c:v>10.7835</c:v>
                </c:pt>
                <c:pt idx="67">
                  <c:v>10.6515</c:v>
                </c:pt>
                <c:pt idx="68">
                  <c:v>10.7525</c:v>
                </c:pt>
                <c:pt idx="69">
                  <c:v>10.9155</c:v>
                </c:pt>
                <c:pt idx="70">
                  <c:v>10.845599999999999</c:v>
                </c:pt>
                <c:pt idx="71">
                  <c:v>10.8805</c:v>
                </c:pt>
                <c:pt idx="72">
                  <c:v>11.3813</c:v>
                </c:pt>
                <c:pt idx="73">
                  <c:v>11.214399999999999</c:v>
                </c:pt>
                <c:pt idx="74">
                  <c:v>11.5831</c:v>
                </c:pt>
                <c:pt idx="75">
                  <c:v>11.350199999999999</c:v>
                </c:pt>
                <c:pt idx="76">
                  <c:v>11.3813</c:v>
                </c:pt>
                <c:pt idx="77">
                  <c:v>11.598599999999999</c:v>
                </c:pt>
                <c:pt idx="78">
                  <c:v>11.695600000000001</c:v>
                </c:pt>
                <c:pt idx="79">
                  <c:v>11.331099999999999</c:v>
                </c:pt>
                <c:pt idx="80">
                  <c:v>11.331099999999999</c:v>
                </c:pt>
                <c:pt idx="81">
                  <c:v>11.269500000000001</c:v>
                </c:pt>
                <c:pt idx="82">
                  <c:v>11.3348</c:v>
                </c:pt>
                <c:pt idx="83">
                  <c:v>11.327500000000001</c:v>
                </c:pt>
                <c:pt idx="84">
                  <c:v>11.229699999999999</c:v>
                </c:pt>
                <c:pt idx="85">
                  <c:v>11.258699999999999</c:v>
                </c:pt>
                <c:pt idx="86">
                  <c:v>11.450699999999999</c:v>
                </c:pt>
                <c:pt idx="87">
                  <c:v>11.7515</c:v>
                </c:pt>
                <c:pt idx="88">
                  <c:v>12.0886</c:v>
                </c:pt>
                <c:pt idx="89">
                  <c:v>11.8856</c:v>
                </c:pt>
                <c:pt idx="90">
                  <c:v>12.396599999999999</c:v>
                </c:pt>
                <c:pt idx="91">
                  <c:v>11.994300000000001</c:v>
                </c:pt>
                <c:pt idx="92">
                  <c:v>12.123799999999999</c:v>
                </c:pt>
                <c:pt idx="93">
                  <c:v>12.123799999999999</c:v>
                </c:pt>
                <c:pt idx="94">
                  <c:v>12.2507</c:v>
                </c:pt>
                <c:pt idx="95">
                  <c:v>11.735799999999999</c:v>
                </c:pt>
                <c:pt idx="96">
                  <c:v>11.806699999999999</c:v>
                </c:pt>
                <c:pt idx="97">
                  <c:v>11.6127</c:v>
                </c:pt>
                <c:pt idx="98">
                  <c:v>11.474600000000001</c:v>
                </c:pt>
                <c:pt idx="99">
                  <c:v>11.153700000000001</c:v>
                </c:pt>
                <c:pt idx="100">
                  <c:v>11.0306</c:v>
                </c:pt>
                <c:pt idx="101">
                  <c:v>10.840299999999999</c:v>
                </c:pt>
                <c:pt idx="102">
                  <c:v>10.5045</c:v>
                </c:pt>
                <c:pt idx="103">
                  <c:v>10.8851</c:v>
                </c:pt>
                <c:pt idx="104">
                  <c:v>10.568</c:v>
                </c:pt>
                <c:pt idx="105">
                  <c:v>10.969200000000001</c:v>
                </c:pt>
                <c:pt idx="106">
                  <c:v>11.1066</c:v>
                </c:pt>
                <c:pt idx="107">
                  <c:v>11.2165</c:v>
                </c:pt>
                <c:pt idx="108">
                  <c:v>11.1145</c:v>
                </c:pt>
                <c:pt idx="109">
                  <c:v>11.220499999999999</c:v>
                </c:pt>
                <c:pt idx="110">
                  <c:v>11.3893</c:v>
                </c:pt>
                <c:pt idx="111">
                  <c:v>11.7387</c:v>
                </c:pt>
                <c:pt idx="112">
                  <c:v>11.793699999999999</c:v>
                </c:pt>
                <c:pt idx="113">
                  <c:v>12.1509</c:v>
                </c:pt>
                <c:pt idx="114">
                  <c:v>11.805400000000001</c:v>
                </c:pt>
                <c:pt idx="115">
                  <c:v>11.7112</c:v>
                </c:pt>
                <c:pt idx="116">
                  <c:v>11.801500000000001</c:v>
                </c:pt>
                <c:pt idx="117">
                  <c:v>12.1234</c:v>
                </c:pt>
                <c:pt idx="118">
                  <c:v>12.186299999999999</c:v>
                </c:pt>
                <c:pt idx="119">
                  <c:v>13.0158</c:v>
                </c:pt>
                <c:pt idx="120">
                  <c:v>12.2921</c:v>
                </c:pt>
                <c:pt idx="121">
                  <c:v>12.521100000000001</c:v>
                </c:pt>
                <c:pt idx="122">
                  <c:v>12.1531</c:v>
                </c:pt>
                <c:pt idx="123">
                  <c:v>12.476100000000001</c:v>
                </c:pt>
                <c:pt idx="124">
                  <c:v>12.529299999999999</c:v>
                </c:pt>
                <c:pt idx="125">
                  <c:v>12.4475</c:v>
                </c:pt>
                <c:pt idx="126">
                  <c:v>12.6028</c:v>
                </c:pt>
                <c:pt idx="127">
                  <c:v>12.059100000000001</c:v>
                </c:pt>
                <c:pt idx="128">
                  <c:v>12.067299999999999</c:v>
                </c:pt>
                <c:pt idx="129">
                  <c:v>12.067299999999999</c:v>
                </c:pt>
                <c:pt idx="130">
                  <c:v>11.544</c:v>
                </c:pt>
                <c:pt idx="131">
                  <c:v>11.544</c:v>
                </c:pt>
                <c:pt idx="132">
                  <c:v>13.9308</c:v>
                </c:pt>
                <c:pt idx="133">
                  <c:v>14.0692</c:v>
                </c:pt>
                <c:pt idx="134">
                  <c:v>14.4176</c:v>
                </c:pt>
                <c:pt idx="135">
                  <c:v>13.6492</c:v>
                </c:pt>
                <c:pt idx="136">
                  <c:v>14.1503</c:v>
                </c:pt>
                <c:pt idx="137">
                  <c:v>14.3126</c:v>
                </c:pt>
                <c:pt idx="138">
                  <c:v>13.7446</c:v>
                </c:pt>
                <c:pt idx="139">
                  <c:v>13.210100000000001</c:v>
                </c:pt>
                <c:pt idx="140">
                  <c:v>13.477399999999999</c:v>
                </c:pt>
                <c:pt idx="141">
                  <c:v>13.062099999999999</c:v>
                </c:pt>
                <c:pt idx="142">
                  <c:v>12.9094</c:v>
                </c:pt>
                <c:pt idx="143">
                  <c:v>12.7089</c:v>
                </c:pt>
                <c:pt idx="144">
                  <c:v>14.1769</c:v>
                </c:pt>
                <c:pt idx="145">
                  <c:v>14.1769</c:v>
                </c:pt>
                <c:pt idx="146">
                  <c:v>12.8421</c:v>
                </c:pt>
                <c:pt idx="147">
                  <c:v>13.466699999999999</c:v>
                </c:pt>
                <c:pt idx="148">
                  <c:v>14.030799999999999</c:v>
                </c:pt>
                <c:pt idx="149">
                  <c:v>14.030799999999999</c:v>
                </c:pt>
                <c:pt idx="150">
                  <c:v>13.824299999999999</c:v>
                </c:pt>
                <c:pt idx="151">
                  <c:v>14.1366</c:v>
                </c:pt>
                <c:pt idx="152">
                  <c:v>16.151499999999999</c:v>
                </c:pt>
                <c:pt idx="153">
                  <c:v>15.048400000000001</c:v>
                </c:pt>
                <c:pt idx="154">
                  <c:v>15.3355</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IGUATEMI SA - UN</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HBR REALTY EMPRE</c:v>
                </c:pt>
              </c:strCache>
            </c:strRef>
          </c:tx>
          <c:spPr>
            <a:ln w="28575" cap="rnd">
              <a:solidFill>
                <a:schemeClr val="accent1"/>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Data'!$J$5:$J$159</c:f>
              <c:numCache>
                <c:formatCode>0.0</c:formatCode>
                <c:ptCount val="155"/>
                <c:pt idx="0">
                  <c:v>22.094799999999999</c:v>
                </c:pt>
                <c:pt idx="1">
                  <c:v>22.5669</c:v>
                </c:pt>
                <c:pt idx="2">
                  <c:v>23.558299999999999</c:v>
                </c:pt>
                <c:pt idx="3">
                  <c:v>24.0304</c:v>
                </c:pt>
                <c:pt idx="4">
                  <c:v>20.7728</c:v>
                </c:pt>
                <c:pt idx="5">
                  <c:v>21.339400000000001</c:v>
                </c:pt>
                <c:pt idx="6">
                  <c:v>19.781400000000001</c:v>
                </c:pt>
                <c:pt idx="7">
                  <c:v>17.4681</c:v>
                </c:pt>
                <c:pt idx="8">
                  <c:v>17.043199999999999</c:v>
                </c:pt>
                <c:pt idx="9">
                  <c:v>15.7685</c:v>
                </c:pt>
                <c:pt idx="10">
                  <c:v>15.626799999999999</c:v>
                </c:pt>
                <c:pt idx="11">
                  <c:v>14.2105</c:v>
                </c:pt>
                <c:pt idx="12">
                  <c:v>14.4466</c:v>
                </c:pt>
                <c:pt idx="13">
                  <c:v>15.9573</c:v>
                </c:pt>
                <c:pt idx="14">
                  <c:v>9.9216999999999995</c:v>
                </c:pt>
                <c:pt idx="15">
                  <c:v>9.9507999999999992</c:v>
                </c:pt>
                <c:pt idx="16">
                  <c:v>10.270899999999999</c:v>
                </c:pt>
                <c:pt idx="17">
                  <c:v>10.2418</c:v>
                </c:pt>
                <c:pt idx="18">
                  <c:v>10.154500000000001</c:v>
                </c:pt>
                <c:pt idx="19">
                  <c:v>9.9799000000000007</c:v>
                </c:pt>
                <c:pt idx="20">
                  <c:v>11.0565</c:v>
                </c:pt>
                <c:pt idx="21">
                  <c:v>10.2127</c:v>
                </c:pt>
                <c:pt idx="22">
                  <c:v>10.940099999999999</c:v>
                </c:pt>
                <c:pt idx="23">
                  <c:v>10.911</c:v>
                </c:pt>
                <c:pt idx="24">
                  <c:v>10.6782</c:v>
                </c:pt>
                <c:pt idx="25">
                  <c:v>10.6782</c:v>
                </c:pt>
                <c:pt idx="26">
                  <c:v>9.9507999999999992</c:v>
                </c:pt>
                <c:pt idx="27">
                  <c:v>7.5152999999999999</c:v>
                </c:pt>
                <c:pt idx="28">
                  <c:v>7.0605000000000002</c:v>
                </c:pt>
                <c:pt idx="29">
                  <c:v>6.4973999999999998</c:v>
                </c:pt>
                <c:pt idx="30">
                  <c:v>5.8259999999999996</c:v>
                </c:pt>
                <c:pt idx="31">
                  <c:v>5.9343000000000004</c:v>
                </c:pt>
                <c:pt idx="32">
                  <c:v>6.4107000000000003</c:v>
                </c:pt>
                <c:pt idx="33">
                  <c:v>6.6923000000000004</c:v>
                </c:pt>
                <c:pt idx="34">
                  <c:v>6.4107000000000003</c:v>
                </c:pt>
                <c:pt idx="35">
                  <c:v>6.9737999999999998</c:v>
                </c:pt>
                <c:pt idx="36">
                  <c:v>6.5407000000000002</c:v>
                </c:pt>
                <c:pt idx="37">
                  <c:v>6.4973999999999998</c:v>
                </c:pt>
                <c:pt idx="38">
                  <c:v>6.2374999999999998</c:v>
                </c:pt>
                <c:pt idx="39">
                  <c:v>6.4324000000000003</c:v>
                </c:pt>
                <c:pt idx="40">
                  <c:v>3.1438000000000001</c:v>
                </c:pt>
                <c:pt idx="41">
                  <c:v>3.3429000000000002</c:v>
                </c:pt>
                <c:pt idx="42">
                  <c:v>3.6154000000000002</c:v>
                </c:pt>
                <c:pt idx="43">
                  <c:v>3.9925999999999999</c:v>
                </c:pt>
                <c:pt idx="44">
                  <c:v>4.2651000000000003</c:v>
                </c:pt>
                <c:pt idx="45">
                  <c:v>4.4537000000000004</c:v>
                </c:pt>
                <c:pt idx="46">
                  <c:v>4.6214000000000004</c:v>
                </c:pt>
                <c:pt idx="47">
                  <c:v>4.6214000000000004</c:v>
                </c:pt>
                <c:pt idx="48">
                  <c:v>4.5899000000000001</c:v>
                </c:pt>
                <c:pt idx="49">
                  <c:v>4.8205</c:v>
                </c:pt>
                <c:pt idx="50">
                  <c:v>4.7366999999999999</c:v>
                </c:pt>
                <c:pt idx="51">
                  <c:v>4.7262000000000004</c:v>
                </c:pt>
                <c:pt idx="52">
                  <c:v>4.8310000000000004</c:v>
                </c:pt>
                <c:pt idx="53">
                  <c:v>4.5976999999999997</c:v>
                </c:pt>
                <c:pt idx="54">
                  <c:v>4.4172000000000002</c:v>
                </c:pt>
                <c:pt idx="55">
                  <c:v>4.8352000000000004</c:v>
                </c:pt>
                <c:pt idx="56">
                  <c:v>4.8257000000000003</c:v>
                </c:pt>
                <c:pt idx="57">
                  <c:v>5.1012000000000004</c:v>
                </c:pt>
                <c:pt idx="58">
                  <c:v>5.0251999999999999</c:v>
                </c:pt>
                <c:pt idx="59">
                  <c:v>4.9016999999999999</c:v>
                </c:pt>
                <c:pt idx="60">
                  <c:v>5.1296999999999997</c:v>
                </c:pt>
                <c:pt idx="61">
                  <c:v>5.0822000000000003</c:v>
                </c:pt>
                <c:pt idx="62">
                  <c:v>5.2816999999999998</c:v>
                </c:pt>
                <c:pt idx="63">
                  <c:v>5.3197000000000001</c:v>
                </c:pt>
                <c:pt idx="64">
                  <c:v>5.6996000000000002</c:v>
                </c:pt>
                <c:pt idx="65">
                  <c:v>5.3007</c:v>
                </c:pt>
                <c:pt idx="66">
                  <c:v>4.4775</c:v>
                </c:pt>
                <c:pt idx="67">
                  <c:v>4.5391000000000004</c:v>
                </c:pt>
                <c:pt idx="68">
                  <c:v>4.1959999999999997</c:v>
                </c:pt>
                <c:pt idx="69">
                  <c:v>3.8706</c:v>
                </c:pt>
                <c:pt idx="70">
                  <c:v>4.0201000000000002</c:v>
                </c:pt>
                <c:pt idx="71">
                  <c:v>4.2047999999999996</c:v>
                </c:pt>
                <c:pt idx="72">
                  <c:v>4.4246999999999996</c:v>
                </c:pt>
                <c:pt idx="73">
                  <c:v>4.3895999999999997</c:v>
                </c:pt>
                <c:pt idx="74">
                  <c:v>4.7413999999999996</c:v>
                </c:pt>
                <c:pt idx="75">
                  <c:v>4.7590000000000003</c:v>
                </c:pt>
                <c:pt idx="76">
                  <c:v>4.6623000000000001</c:v>
                </c:pt>
                <c:pt idx="77">
                  <c:v>4.9438000000000004</c:v>
                </c:pt>
                <c:pt idx="78">
                  <c:v>5.3836000000000004</c:v>
                </c:pt>
                <c:pt idx="79">
                  <c:v>5.3780000000000001</c:v>
                </c:pt>
                <c:pt idx="80">
                  <c:v>5.3780000000000001</c:v>
                </c:pt>
                <c:pt idx="81">
                  <c:v>4.2271999999999998</c:v>
                </c:pt>
                <c:pt idx="82">
                  <c:v>4.1881000000000004</c:v>
                </c:pt>
                <c:pt idx="83">
                  <c:v>4.3368000000000002</c:v>
                </c:pt>
                <c:pt idx="84">
                  <c:v>3.8201999999999998</c:v>
                </c:pt>
                <c:pt idx="85">
                  <c:v>3.7732000000000001</c:v>
                </c:pt>
                <c:pt idx="86">
                  <c:v>3.6871</c:v>
                </c:pt>
                <c:pt idx="87">
                  <c:v>3.9140999999999999</c:v>
                </c:pt>
                <c:pt idx="88">
                  <c:v>3.8123</c:v>
                </c:pt>
                <c:pt idx="89">
                  <c:v>4.1020000000000003</c:v>
                </c:pt>
                <c:pt idx="90">
                  <c:v>4.1489000000000003</c:v>
                </c:pt>
                <c:pt idx="91">
                  <c:v>4.3681000000000001</c:v>
                </c:pt>
                <c:pt idx="92">
                  <c:v>11.720499999999999</c:v>
                </c:pt>
                <c:pt idx="93">
                  <c:v>11.720499999999999</c:v>
                </c:pt>
                <c:pt idx="94">
                  <c:v>10.253</c:v>
                </c:pt>
                <c:pt idx="95">
                  <c:v>9.8421000000000003</c:v>
                </c:pt>
                <c:pt idx="96">
                  <c:v>9.8028999999999993</c:v>
                </c:pt>
                <c:pt idx="97">
                  <c:v>9.9398999999999997</c:v>
                </c:pt>
                <c:pt idx="98">
                  <c:v>10.037699999999999</c:v>
                </c:pt>
                <c:pt idx="99">
                  <c:v>9.7441999999999993</c:v>
                </c:pt>
                <c:pt idx="100">
                  <c:v>10.037699999999999</c:v>
                </c:pt>
                <c:pt idx="101">
                  <c:v>9.2355</c:v>
                </c:pt>
                <c:pt idx="102">
                  <c:v>8.9810999999999996</c:v>
                </c:pt>
                <c:pt idx="103">
                  <c:v>9.4312000000000005</c:v>
                </c:pt>
                <c:pt idx="104">
                  <c:v>9.4506999999999994</c:v>
                </c:pt>
                <c:pt idx="105">
                  <c:v>8.6838999999999995</c:v>
                </c:pt>
                <c:pt idx="106">
                  <c:v>8.3760999999999992</c:v>
                </c:pt>
                <c:pt idx="107">
                  <c:v>8.7972999999999999</c:v>
                </c:pt>
                <c:pt idx="108">
                  <c:v>8.5867000000000004</c:v>
                </c:pt>
                <c:pt idx="109">
                  <c:v>9.1537000000000006</c:v>
                </c:pt>
                <c:pt idx="110">
                  <c:v>8.9107000000000003</c:v>
                </c:pt>
                <c:pt idx="111">
                  <c:v>9.5911000000000008</c:v>
                </c:pt>
                <c:pt idx="112">
                  <c:v>10.8062</c:v>
                </c:pt>
                <c:pt idx="113">
                  <c:v>9.6396999999999995</c:v>
                </c:pt>
                <c:pt idx="114">
                  <c:v>8.4733000000000001</c:v>
                </c:pt>
                <c:pt idx="115">
                  <c:v>9.0241000000000007</c:v>
                </c:pt>
                <c:pt idx="116">
                  <c:v>8.3923000000000005</c:v>
                </c:pt>
                <c:pt idx="117">
                  <c:v>9.0403000000000002</c:v>
                </c:pt>
                <c:pt idx="118">
                  <c:v>9.1051000000000002</c:v>
                </c:pt>
                <c:pt idx="119">
                  <c:v>8.5413999999999994</c:v>
                </c:pt>
                <c:pt idx="120">
                  <c:v>8.1257999999999999</c:v>
                </c:pt>
                <c:pt idx="121">
                  <c:v>8.3567</c:v>
                </c:pt>
                <c:pt idx="122">
                  <c:v>7.2178000000000004</c:v>
                </c:pt>
                <c:pt idx="123">
                  <c:v>6.6946000000000003</c:v>
                </c:pt>
                <c:pt idx="124">
                  <c:v>5.9250999999999996</c:v>
                </c:pt>
                <c:pt idx="125">
                  <c:v>5.9097</c:v>
                </c:pt>
                <c:pt idx="126">
                  <c:v>6.0481999999999996</c:v>
                </c:pt>
                <c:pt idx="127">
                  <c:v>5.8327999999999998</c:v>
                </c:pt>
                <c:pt idx="128">
                  <c:v>5.8480999999999996</c:v>
                </c:pt>
                <c:pt idx="129">
                  <c:v>5.8480999999999996</c:v>
                </c:pt>
                <c:pt idx="130">
                  <c:v>5.9558999999999997</c:v>
                </c:pt>
                <c:pt idx="131">
                  <c:v>5.9558999999999997</c:v>
                </c:pt>
                <c:pt idx="132">
                  <c:v>6.5313999999999997</c:v>
                </c:pt>
                <c:pt idx="133">
                  <c:v>7.0061</c:v>
                </c:pt>
                <c:pt idx="134">
                  <c:v>6.9078999999999997</c:v>
                </c:pt>
                <c:pt idx="135">
                  <c:v>7.0224000000000002</c:v>
                </c:pt>
                <c:pt idx="136">
                  <c:v>6.8750999999999998</c:v>
                </c:pt>
                <c:pt idx="137">
                  <c:v>6.7605000000000004</c:v>
                </c:pt>
                <c:pt idx="138">
                  <c:v>6.5476999999999999</c:v>
                </c:pt>
                <c:pt idx="139">
                  <c:v>6.9405999999999999</c:v>
                </c:pt>
                <c:pt idx="140">
                  <c:v>7.3662000000000001</c:v>
                </c:pt>
                <c:pt idx="141">
                  <c:v>7.3662000000000001</c:v>
                </c:pt>
                <c:pt idx="142">
                  <c:v>7.2843</c:v>
                </c:pt>
                <c:pt idx="143">
                  <c:v>7.4480000000000004</c:v>
                </c:pt>
                <c:pt idx="144">
                  <c:v>2.6945999999999999</c:v>
                </c:pt>
                <c:pt idx="145">
                  <c:v>2.6945999999999999</c:v>
                </c:pt>
                <c:pt idx="146">
                  <c:v>2.4992000000000001</c:v>
                </c:pt>
                <c:pt idx="147">
                  <c:v>2.9817999999999998</c:v>
                </c:pt>
                <c:pt idx="148">
                  <c:v>3.1541999999999999</c:v>
                </c:pt>
                <c:pt idx="149">
                  <c:v>2.8784000000000001</c:v>
                </c:pt>
                <c:pt idx="150">
                  <c:v>3.2806000000000002</c:v>
                </c:pt>
                <c:pt idx="151">
                  <c:v>3.6655000000000002</c:v>
                </c:pt>
                <c:pt idx="152">
                  <c:v>3.5966</c:v>
                </c:pt>
                <c:pt idx="153">
                  <c:v>3.3839999999999999</c:v>
                </c:pt>
                <c:pt idx="154">
                  <c:v>3.1598999999999999</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ALLOS SA</c:v>
                </c:pt>
              </c:strCache>
            </c:strRef>
          </c:tx>
          <c:spPr>
            <a:ln w="28575" cap="rnd">
              <a:solidFill>
                <a:schemeClr val="accent2"/>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Data'!$K$5:$K$159</c:f>
              <c:numCache>
                <c:formatCode>0.0</c:formatCode>
                <c:ptCount val="155"/>
                <c:pt idx="0">
                  <c:v>18.3169</c:v>
                </c:pt>
                <c:pt idx="1">
                  <c:v>18.638400000000001</c:v>
                </c:pt>
                <c:pt idx="2">
                  <c:v>18.499500000000001</c:v>
                </c:pt>
                <c:pt idx="3">
                  <c:v>17.827400000000001</c:v>
                </c:pt>
                <c:pt idx="4">
                  <c:v>17.8931</c:v>
                </c:pt>
                <c:pt idx="5">
                  <c:v>17.5059</c:v>
                </c:pt>
                <c:pt idx="6">
                  <c:v>16.8337</c:v>
                </c:pt>
                <c:pt idx="7">
                  <c:v>16.702200000000001</c:v>
                </c:pt>
                <c:pt idx="8">
                  <c:v>16.315000000000001</c:v>
                </c:pt>
                <c:pt idx="9">
                  <c:v>15.7378</c:v>
                </c:pt>
                <c:pt idx="10">
                  <c:v>15.533200000000001</c:v>
                </c:pt>
                <c:pt idx="11">
                  <c:v>15.832800000000001</c:v>
                </c:pt>
                <c:pt idx="12">
                  <c:v>15.8108</c:v>
                </c:pt>
                <c:pt idx="13">
                  <c:v>16.694900000000001</c:v>
                </c:pt>
                <c:pt idx="14">
                  <c:v>14.468</c:v>
                </c:pt>
                <c:pt idx="15">
                  <c:v>13.704499999999999</c:v>
                </c:pt>
                <c:pt idx="16">
                  <c:v>13.781499999999999</c:v>
                </c:pt>
                <c:pt idx="17">
                  <c:v>14.0124</c:v>
                </c:pt>
                <c:pt idx="18">
                  <c:v>14.2562</c:v>
                </c:pt>
                <c:pt idx="19">
                  <c:v>13.9034</c:v>
                </c:pt>
                <c:pt idx="20">
                  <c:v>13.9739</c:v>
                </c:pt>
                <c:pt idx="21">
                  <c:v>13.7494</c:v>
                </c:pt>
                <c:pt idx="22">
                  <c:v>13.8264</c:v>
                </c:pt>
                <c:pt idx="23">
                  <c:v>13.5505</c:v>
                </c:pt>
                <c:pt idx="24">
                  <c:v>12.6715</c:v>
                </c:pt>
                <c:pt idx="25">
                  <c:v>12.6715</c:v>
                </c:pt>
                <c:pt idx="26">
                  <c:v>12.466200000000001</c:v>
                </c:pt>
                <c:pt idx="27">
                  <c:v>15.6196</c:v>
                </c:pt>
                <c:pt idx="28">
                  <c:v>15.960599999999999</c:v>
                </c:pt>
                <c:pt idx="29">
                  <c:v>15.489699999999999</c:v>
                </c:pt>
                <c:pt idx="30">
                  <c:v>14.8971</c:v>
                </c:pt>
                <c:pt idx="31">
                  <c:v>14.686</c:v>
                </c:pt>
                <c:pt idx="32">
                  <c:v>15.5547</c:v>
                </c:pt>
                <c:pt idx="33">
                  <c:v>15.8307</c:v>
                </c:pt>
                <c:pt idx="34">
                  <c:v>15.506</c:v>
                </c:pt>
                <c:pt idx="35">
                  <c:v>15.424799999999999</c:v>
                </c:pt>
                <c:pt idx="36">
                  <c:v>14.580500000000001</c:v>
                </c:pt>
                <c:pt idx="37">
                  <c:v>14.6211</c:v>
                </c:pt>
                <c:pt idx="38">
                  <c:v>14.1502</c:v>
                </c:pt>
                <c:pt idx="39">
                  <c:v>14.515499999999999</c:v>
                </c:pt>
                <c:pt idx="40">
                  <c:v>14.2898</c:v>
                </c:pt>
                <c:pt idx="41">
                  <c:v>14.8246</c:v>
                </c:pt>
                <c:pt idx="42">
                  <c:v>14.989699999999999</c:v>
                </c:pt>
                <c:pt idx="43">
                  <c:v>15.2257</c:v>
                </c:pt>
                <c:pt idx="44">
                  <c:v>15.485200000000001</c:v>
                </c:pt>
                <c:pt idx="45">
                  <c:v>16.869299999999999</c:v>
                </c:pt>
                <c:pt idx="46">
                  <c:v>17.089500000000001</c:v>
                </c:pt>
                <c:pt idx="47">
                  <c:v>17.089500000000001</c:v>
                </c:pt>
                <c:pt idx="48">
                  <c:v>16.9558</c:v>
                </c:pt>
                <c:pt idx="49">
                  <c:v>17.223199999999999</c:v>
                </c:pt>
                <c:pt idx="50">
                  <c:v>17.6007</c:v>
                </c:pt>
                <c:pt idx="51">
                  <c:v>17.3963</c:v>
                </c:pt>
                <c:pt idx="52">
                  <c:v>17.6951</c:v>
                </c:pt>
                <c:pt idx="53">
                  <c:v>19.984500000000001</c:v>
                </c:pt>
                <c:pt idx="54">
                  <c:v>20.423100000000002</c:v>
                </c:pt>
                <c:pt idx="55">
                  <c:v>20.870899999999999</c:v>
                </c:pt>
                <c:pt idx="56">
                  <c:v>21.071899999999999</c:v>
                </c:pt>
                <c:pt idx="57">
                  <c:v>20.843499999999999</c:v>
                </c:pt>
                <c:pt idx="58">
                  <c:v>21.803000000000001</c:v>
                </c:pt>
                <c:pt idx="59">
                  <c:v>21.2547</c:v>
                </c:pt>
                <c:pt idx="60">
                  <c:v>21.081099999999999</c:v>
                </c:pt>
                <c:pt idx="61">
                  <c:v>20.130700000000001</c:v>
                </c:pt>
                <c:pt idx="62">
                  <c:v>19.8018</c:v>
                </c:pt>
                <c:pt idx="63">
                  <c:v>19.82</c:v>
                </c:pt>
                <c:pt idx="64">
                  <c:v>20.194700000000001</c:v>
                </c:pt>
                <c:pt idx="65">
                  <c:v>20.286100000000001</c:v>
                </c:pt>
                <c:pt idx="66">
                  <c:v>25.8856</c:v>
                </c:pt>
                <c:pt idx="67">
                  <c:v>25.530200000000001</c:v>
                </c:pt>
                <c:pt idx="68">
                  <c:v>25.517900000000001</c:v>
                </c:pt>
                <c:pt idx="69">
                  <c:v>26.1675</c:v>
                </c:pt>
                <c:pt idx="70">
                  <c:v>25.701799999999999</c:v>
                </c:pt>
                <c:pt idx="71">
                  <c:v>26.106200000000001</c:v>
                </c:pt>
                <c:pt idx="72">
                  <c:v>26.8294</c:v>
                </c:pt>
                <c:pt idx="73">
                  <c:v>25.983699999999999</c:v>
                </c:pt>
                <c:pt idx="74">
                  <c:v>25.726299999999998</c:v>
                </c:pt>
                <c:pt idx="75">
                  <c:v>26.290099999999999</c:v>
                </c:pt>
                <c:pt idx="76">
                  <c:v>26.608799999999999</c:v>
                </c:pt>
                <c:pt idx="77">
                  <c:v>27.9937</c:v>
                </c:pt>
                <c:pt idx="78">
                  <c:v>29.194900000000001</c:v>
                </c:pt>
                <c:pt idx="79">
                  <c:v>2.5686</c:v>
                </c:pt>
                <c:pt idx="80">
                  <c:v>2.5686</c:v>
                </c:pt>
                <c:pt idx="81">
                  <c:v>2.6305000000000001</c:v>
                </c:pt>
                <c:pt idx="82">
                  <c:v>2.5867</c:v>
                </c:pt>
                <c:pt idx="83">
                  <c:v>2.6208999999999998</c:v>
                </c:pt>
                <c:pt idx="84">
                  <c:v>2.5579000000000001</c:v>
                </c:pt>
                <c:pt idx="85">
                  <c:v>2.5034999999999998</c:v>
                </c:pt>
                <c:pt idx="86">
                  <c:v>2.5558000000000001</c:v>
                </c:pt>
                <c:pt idx="87">
                  <c:v>2.6113</c:v>
                </c:pt>
                <c:pt idx="88">
                  <c:v>2.6261999999999999</c:v>
                </c:pt>
                <c:pt idx="89">
                  <c:v>2.6122999999999998</c:v>
                </c:pt>
                <c:pt idx="90">
                  <c:v>2.7275</c:v>
                </c:pt>
                <c:pt idx="91">
                  <c:v>2.6913</c:v>
                </c:pt>
                <c:pt idx="92">
                  <c:v>2.9327999999999999</c:v>
                </c:pt>
                <c:pt idx="93">
                  <c:v>2.9327999999999999</c:v>
                </c:pt>
                <c:pt idx="94">
                  <c:v>2.9805999999999999</c:v>
                </c:pt>
                <c:pt idx="95">
                  <c:v>2.7751000000000001</c:v>
                </c:pt>
                <c:pt idx="96">
                  <c:v>2.8273000000000001</c:v>
                </c:pt>
                <c:pt idx="97">
                  <c:v>2.7616999999999998</c:v>
                </c:pt>
                <c:pt idx="98">
                  <c:v>2.8128000000000002</c:v>
                </c:pt>
                <c:pt idx="99">
                  <c:v>2.7440000000000002</c:v>
                </c:pt>
                <c:pt idx="100">
                  <c:v>2.6539999999999999</c:v>
                </c:pt>
                <c:pt idx="101">
                  <c:v>2.5695999999999999</c:v>
                </c:pt>
                <c:pt idx="102">
                  <c:v>2.4462000000000002</c:v>
                </c:pt>
                <c:pt idx="103">
                  <c:v>2.5962000000000001</c:v>
                </c:pt>
                <c:pt idx="104">
                  <c:v>2.4651000000000001</c:v>
                </c:pt>
                <c:pt idx="105">
                  <c:v>2.4245999999999999</c:v>
                </c:pt>
                <c:pt idx="106">
                  <c:v>2.4460000000000002</c:v>
                </c:pt>
                <c:pt idx="107">
                  <c:v>2.5287000000000002</c:v>
                </c:pt>
                <c:pt idx="108">
                  <c:v>2.4256000000000002</c:v>
                </c:pt>
                <c:pt idx="109">
                  <c:v>2.4674999999999998</c:v>
                </c:pt>
                <c:pt idx="110">
                  <c:v>2.5512000000000001</c:v>
                </c:pt>
                <c:pt idx="111">
                  <c:v>2.5028999999999999</c:v>
                </c:pt>
                <c:pt idx="112">
                  <c:v>2.6414</c:v>
                </c:pt>
                <c:pt idx="113">
                  <c:v>2.5952000000000002</c:v>
                </c:pt>
                <c:pt idx="114">
                  <c:v>2.6263000000000001</c:v>
                </c:pt>
                <c:pt idx="115">
                  <c:v>2.6371000000000002</c:v>
                </c:pt>
                <c:pt idx="116">
                  <c:v>2.6263000000000001</c:v>
                </c:pt>
                <c:pt idx="117">
                  <c:v>2.7336999999999998</c:v>
                </c:pt>
                <c:pt idx="118">
                  <c:v>2.6457000000000002</c:v>
                </c:pt>
                <c:pt idx="119">
                  <c:v>2.7751999999999999</c:v>
                </c:pt>
                <c:pt idx="120">
                  <c:v>2.5729000000000002</c:v>
                </c:pt>
                <c:pt idx="121">
                  <c:v>2.4982000000000002</c:v>
                </c:pt>
                <c:pt idx="122">
                  <c:v>2.452</c:v>
                </c:pt>
                <c:pt idx="123">
                  <c:v>2.3441999999999998</c:v>
                </c:pt>
                <c:pt idx="124">
                  <c:v>2.2782</c:v>
                </c:pt>
                <c:pt idx="125">
                  <c:v>2.1331000000000002</c:v>
                </c:pt>
                <c:pt idx="126">
                  <c:v>2.1166</c:v>
                </c:pt>
                <c:pt idx="127">
                  <c:v>2.0495000000000001</c:v>
                </c:pt>
                <c:pt idx="128">
                  <c:v>2.0472999999999999</c:v>
                </c:pt>
                <c:pt idx="129">
                  <c:v>2.0472999999999999</c:v>
                </c:pt>
                <c:pt idx="130">
                  <c:v>1.9352</c:v>
                </c:pt>
                <c:pt idx="131">
                  <c:v>1.9352</c:v>
                </c:pt>
                <c:pt idx="132">
                  <c:v>29.116199999999999</c:v>
                </c:pt>
                <c:pt idx="133">
                  <c:v>29.932099999999998</c:v>
                </c:pt>
                <c:pt idx="134">
                  <c:v>29.490200000000002</c:v>
                </c:pt>
                <c:pt idx="135">
                  <c:v>28.045400000000001</c:v>
                </c:pt>
                <c:pt idx="136">
                  <c:v>29.7621</c:v>
                </c:pt>
                <c:pt idx="137">
                  <c:v>30.561</c:v>
                </c:pt>
                <c:pt idx="138">
                  <c:v>29.694099999999999</c:v>
                </c:pt>
                <c:pt idx="139">
                  <c:v>29.626100000000001</c:v>
                </c:pt>
                <c:pt idx="140">
                  <c:v>30.204000000000001</c:v>
                </c:pt>
                <c:pt idx="141">
                  <c:v>29.575099999999999</c:v>
                </c:pt>
                <c:pt idx="142">
                  <c:v>30.017099999999999</c:v>
                </c:pt>
                <c:pt idx="143">
                  <c:v>28.4023</c:v>
                </c:pt>
                <c:pt idx="144">
                  <c:v>16.095300000000002</c:v>
                </c:pt>
                <c:pt idx="145">
                  <c:v>16.095300000000002</c:v>
                </c:pt>
                <c:pt idx="146">
                  <c:v>14.649699999999999</c:v>
                </c:pt>
                <c:pt idx="147">
                  <c:v>15.321899999999999</c:v>
                </c:pt>
                <c:pt idx="148">
                  <c:v>16.371600000000001</c:v>
                </c:pt>
                <c:pt idx="149">
                  <c:v>16.4084</c:v>
                </c:pt>
                <c:pt idx="150">
                  <c:v>16.021699999999999</c:v>
                </c:pt>
                <c:pt idx="151">
                  <c:v>16.749099999999999</c:v>
                </c:pt>
                <c:pt idx="152">
                  <c:v>20.616399999999999</c:v>
                </c:pt>
                <c:pt idx="153">
                  <c:v>19.1431</c:v>
                </c:pt>
                <c:pt idx="154">
                  <c:v>19.557500000000001</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JHSF PART</c:v>
                </c:pt>
              </c:strCache>
            </c:strRef>
          </c:tx>
          <c:spPr>
            <a:ln w="28575" cap="rnd">
              <a:solidFill>
                <a:schemeClr val="accent3"/>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Data'!$L$5:$L$159</c:f>
              <c:numCache>
                <c:formatCode>0.0</c:formatCode>
                <c:ptCount val="155"/>
                <c:pt idx="0">
                  <c:v>3.7115</c:v>
                </c:pt>
                <c:pt idx="1">
                  <c:v>3.7233000000000001</c:v>
                </c:pt>
                <c:pt idx="2">
                  <c:v>3.7530000000000001</c:v>
                </c:pt>
                <c:pt idx="3">
                  <c:v>3.2667999999999999</c:v>
                </c:pt>
                <c:pt idx="4">
                  <c:v>3.3972000000000002</c:v>
                </c:pt>
                <c:pt idx="5">
                  <c:v>3.3795000000000002</c:v>
                </c:pt>
                <c:pt idx="6">
                  <c:v>3.2846000000000002</c:v>
                </c:pt>
                <c:pt idx="7">
                  <c:v>3.2311999999999999</c:v>
                </c:pt>
                <c:pt idx="8">
                  <c:v>3.1718999999999999</c:v>
                </c:pt>
                <c:pt idx="9">
                  <c:v>3.0592999999999999</c:v>
                </c:pt>
                <c:pt idx="10">
                  <c:v>3.0356000000000001</c:v>
                </c:pt>
                <c:pt idx="11">
                  <c:v>2.9881000000000002</c:v>
                </c:pt>
                <c:pt idx="12">
                  <c:v>3.0949</c:v>
                </c:pt>
                <c:pt idx="13">
                  <c:v>3.1423000000000001</c:v>
                </c:pt>
                <c:pt idx="14">
                  <c:v>3.3281999999999998</c:v>
                </c:pt>
                <c:pt idx="15">
                  <c:v>3.3346</c:v>
                </c:pt>
                <c:pt idx="16">
                  <c:v>3.3155999999999999</c:v>
                </c:pt>
                <c:pt idx="17">
                  <c:v>3.3218999999999999</c:v>
                </c:pt>
                <c:pt idx="18">
                  <c:v>3.3915999999999999</c:v>
                </c:pt>
                <c:pt idx="19">
                  <c:v>3.2078000000000002</c:v>
                </c:pt>
                <c:pt idx="20">
                  <c:v>3.2458</c:v>
                </c:pt>
                <c:pt idx="21">
                  <c:v>3.1634000000000002</c:v>
                </c:pt>
                <c:pt idx="22">
                  <c:v>3.1697000000000002</c:v>
                </c:pt>
                <c:pt idx="23">
                  <c:v>3.2078000000000002</c:v>
                </c:pt>
                <c:pt idx="24">
                  <c:v>2.6562000000000001</c:v>
                </c:pt>
                <c:pt idx="25">
                  <c:v>2.6562000000000001</c:v>
                </c:pt>
                <c:pt idx="26">
                  <c:v>2.5992000000000002</c:v>
                </c:pt>
                <c:pt idx="27">
                  <c:v>3.2704</c:v>
                </c:pt>
                <c:pt idx="28">
                  <c:v>3.0882999999999998</c:v>
                </c:pt>
                <c:pt idx="29">
                  <c:v>3.0802999999999998</c:v>
                </c:pt>
                <c:pt idx="30">
                  <c:v>2.9931999999999999</c:v>
                </c:pt>
                <c:pt idx="31">
                  <c:v>2.819</c:v>
                </c:pt>
                <c:pt idx="32">
                  <c:v>3.0407000000000002</c:v>
                </c:pt>
                <c:pt idx="33">
                  <c:v>3.1753999999999998</c:v>
                </c:pt>
                <c:pt idx="34">
                  <c:v>3.0644999999999998</c:v>
                </c:pt>
                <c:pt idx="35">
                  <c:v>3.1358000000000001</c:v>
                </c:pt>
                <c:pt idx="36">
                  <c:v>2.9220000000000002</c:v>
                </c:pt>
                <c:pt idx="37">
                  <c:v>2.8982000000000001</c:v>
                </c:pt>
                <c:pt idx="38">
                  <c:v>2.8902999999999999</c:v>
                </c:pt>
                <c:pt idx="39">
                  <c:v>2.8982000000000001</c:v>
                </c:pt>
                <c:pt idx="40">
                  <c:v>4.0975999999999999</c:v>
                </c:pt>
                <c:pt idx="41">
                  <c:v>4.24</c:v>
                </c:pt>
                <c:pt idx="42">
                  <c:v>4.2838000000000003</c:v>
                </c:pt>
                <c:pt idx="43">
                  <c:v>4.4263000000000003</c:v>
                </c:pt>
                <c:pt idx="44">
                  <c:v>4.7329999999999997</c:v>
                </c:pt>
                <c:pt idx="45">
                  <c:v>4.9192999999999998</c:v>
                </c:pt>
                <c:pt idx="46">
                  <c:v>4.9741</c:v>
                </c:pt>
                <c:pt idx="47">
                  <c:v>4.9741</c:v>
                </c:pt>
                <c:pt idx="48">
                  <c:v>4.7221000000000002</c:v>
                </c:pt>
                <c:pt idx="49">
                  <c:v>4.8207000000000004</c:v>
                </c:pt>
                <c:pt idx="50">
                  <c:v>4.8315999999999999</c:v>
                </c:pt>
                <c:pt idx="51">
                  <c:v>4.6344000000000003</c:v>
                </c:pt>
                <c:pt idx="52">
                  <c:v>4.7221000000000002</c:v>
                </c:pt>
                <c:pt idx="53">
                  <c:v>4.7466999999999997</c:v>
                </c:pt>
                <c:pt idx="54">
                  <c:v>4.8394000000000004</c:v>
                </c:pt>
                <c:pt idx="55">
                  <c:v>5.2561999999999998</c:v>
                </c:pt>
                <c:pt idx="56">
                  <c:v>5.1982999999999997</c:v>
                </c:pt>
                <c:pt idx="57">
                  <c:v>5.0593000000000004</c:v>
                </c:pt>
                <c:pt idx="58">
                  <c:v>5.1635</c:v>
                </c:pt>
                <c:pt idx="59">
                  <c:v>4.9436</c:v>
                </c:pt>
                <c:pt idx="60">
                  <c:v>4.8277999999999999</c:v>
                </c:pt>
                <c:pt idx="61">
                  <c:v>4.6425999999999998</c:v>
                </c:pt>
                <c:pt idx="62">
                  <c:v>4.6310000000000002</c:v>
                </c:pt>
                <c:pt idx="63">
                  <c:v>4.6540999999999997</c:v>
                </c:pt>
                <c:pt idx="64">
                  <c:v>4.9898999999999996</c:v>
                </c:pt>
                <c:pt idx="65">
                  <c:v>4.9320000000000004</c:v>
                </c:pt>
                <c:pt idx="66">
                  <c:v>5.0579000000000001</c:v>
                </c:pt>
                <c:pt idx="67">
                  <c:v>4.9298000000000002</c:v>
                </c:pt>
                <c:pt idx="68">
                  <c:v>4.8018000000000001</c:v>
                </c:pt>
                <c:pt idx="69">
                  <c:v>4.9554</c:v>
                </c:pt>
                <c:pt idx="70">
                  <c:v>5.1219000000000001</c:v>
                </c:pt>
                <c:pt idx="71">
                  <c:v>5.1986999999999997</c:v>
                </c:pt>
                <c:pt idx="72">
                  <c:v>5.3011999999999997</c:v>
                </c:pt>
                <c:pt idx="73">
                  <c:v>5.3780000000000001</c:v>
                </c:pt>
                <c:pt idx="74">
                  <c:v>5.5829000000000004</c:v>
                </c:pt>
                <c:pt idx="75">
                  <c:v>5.5445000000000002</c:v>
                </c:pt>
                <c:pt idx="76">
                  <c:v>5.4804000000000004</c:v>
                </c:pt>
                <c:pt idx="77">
                  <c:v>5.3780000000000001</c:v>
                </c:pt>
                <c:pt idx="78">
                  <c:v>6.0053999999999998</c:v>
                </c:pt>
                <c:pt idx="79">
                  <c:v>6.1634000000000002</c:v>
                </c:pt>
                <c:pt idx="80">
                  <c:v>6.1634000000000002</c:v>
                </c:pt>
                <c:pt idx="81">
                  <c:v>6.2803000000000004</c:v>
                </c:pt>
                <c:pt idx="82">
                  <c:v>6.3387000000000002</c:v>
                </c:pt>
                <c:pt idx="83">
                  <c:v>6.4554999999999998</c:v>
                </c:pt>
                <c:pt idx="84">
                  <c:v>6.3678999999999997</c:v>
                </c:pt>
                <c:pt idx="85">
                  <c:v>6.2218</c:v>
                </c:pt>
                <c:pt idx="86">
                  <c:v>6.2949000000000002</c:v>
                </c:pt>
                <c:pt idx="87">
                  <c:v>6.7329999999999997</c:v>
                </c:pt>
                <c:pt idx="88">
                  <c:v>7.1128</c:v>
                </c:pt>
                <c:pt idx="89">
                  <c:v>7.2733999999999996</c:v>
                </c:pt>
                <c:pt idx="90">
                  <c:v>7.5071000000000003</c:v>
                </c:pt>
                <c:pt idx="91">
                  <c:v>7.4195000000000002</c:v>
                </c:pt>
                <c:pt idx="92">
                  <c:v>9.2096</c:v>
                </c:pt>
                <c:pt idx="93">
                  <c:v>9.2096</c:v>
                </c:pt>
                <c:pt idx="94">
                  <c:v>8.4132999999999996</c:v>
                </c:pt>
                <c:pt idx="95">
                  <c:v>8.1709999999999994</c:v>
                </c:pt>
                <c:pt idx="96">
                  <c:v>7.8940000000000001</c:v>
                </c:pt>
                <c:pt idx="97">
                  <c:v>7.4958</c:v>
                </c:pt>
                <c:pt idx="98">
                  <c:v>7.617</c:v>
                </c:pt>
                <c:pt idx="99">
                  <c:v>8.0497999999999994</c:v>
                </c:pt>
                <c:pt idx="100">
                  <c:v>7.6688999999999998</c:v>
                </c:pt>
                <c:pt idx="101">
                  <c:v>7.2708000000000004</c:v>
                </c:pt>
                <c:pt idx="102">
                  <c:v>7.1669</c:v>
                </c:pt>
                <c:pt idx="103">
                  <c:v>7.8593999999999999</c:v>
                </c:pt>
                <c:pt idx="104">
                  <c:v>7.6516000000000002</c:v>
                </c:pt>
                <c:pt idx="105">
                  <c:v>7.6528999999999998</c:v>
                </c:pt>
                <c:pt idx="106">
                  <c:v>7.5564</c:v>
                </c:pt>
                <c:pt idx="107">
                  <c:v>8.0387000000000004</c:v>
                </c:pt>
                <c:pt idx="108">
                  <c:v>7.7332999999999998</c:v>
                </c:pt>
                <c:pt idx="109">
                  <c:v>7.7653999999999996</c:v>
                </c:pt>
                <c:pt idx="110">
                  <c:v>7.8457999999999997</c:v>
                </c:pt>
                <c:pt idx="111">
                  <c:v>7.6849999999999996</c:v>
                </c:pt>
                <c:pt idx="112">
                  <c:v>8.7301000000000002</c:v>
                </c:pt>
                <c:pt idx="113">
                  <c:v>9.3088999999999995</c:v>
                </c:pt>
                <c:pt idx="114">
                  <c:v>8.7140000000000004</c:v>
                </c:pt>
                <c:pt idx="115">
                  <c:v>8.5050000000000008</c:v>
                </c:pt>
                <c:pt idx="116">
                  <c:v>8.4406999999999996</c:v>
                </c:pt>
                <c:pt idx="117">
                  <c:v>8.7782999999999998</c:v>
                </c:pt>
                <c:pt idx="118">
                  <c:v>8.1834000000000007</c:v>
                </c:pt>
                <c:pt idx="119">
                  <c:v>6.2647000000000004</c:v>
                </c:pt>
                <c:pt idx="120">
                  <c:v>6.2394999999999996</c:v>
                </c:pt>
                <c:pt idx="121">
                  <c:v>6.2394999999999996</c:v>
                </c:pt>
                <c:pt idx="122">
                  <c:v>5.7352999999999996</c:v>
                </c:pt>
                <c:pt idx="123">
                  <c:v>5.8613</c:v>
                </c:pt>
                <c:pt idx="124">
                  <c:v>5.4706000000000001</c:v>
                </c:pt>
                <c:pt idx="125">
                  <c:v>5.0923999999999996</c:v>
                </c:pt>
                <c:pt idx="126">
                  <c:v>5.0419999999999998</c:v>
                </c:pt>
                <c:pt idx="127">
                  <c:v>4.8906999999999998</c:v>
                </c:pt>
                <c:pt idx="128">
                  <c:v>5.0671999999999997</c:v>
                </c:pt>
                <c:pt idx="129">
                  <c:v>5.0671999999999997</c:v>
                </c:pt>
                <c:pt idx="130">
                  <c:v>4.6638999999999999</c:v>
                </c:pt>
                <c:pt idx="131">
                  <c:v>4.6638999999999999</c:v>
                </c:pt>
                <c:pt idx="132">
                  <c:v>3.8090999999999999</c:v>
                </c:pt>
                <c:pt idx="133">
                  <c:v>4.1398999999999999</c:v>
                </c:pt>
                <c:pt idx="134">
                  <c:v>4.46</c:v>
                </c:pt>
                <c:pt idx="135">
                  <c:v>4.46</c:v>
                </c:pt>
                <c:pt idx="136">
                  <c:v>4.9401000000000002</c:v>
                </c:pt>
                <c:pt idx="137">
                  <c:v>5.0148000000000001</c:v>
                </c:pt>
                <c:pt idx="138">
                  <c:v>5.1215000000000002</c:v>
                </c:pt>
                <c:pt idx="139">
                  <c:v>5.3776000000000002</c:v>
                </c:pt>
                <c:pt idx="140">
                  <c:v>5.3456000000000001</c:v>
                </c:pt>
                <c:pt idx="141">
                  <c:v>5.1322000000000001</c:v>
                </c:pt>
                <c:pt idx="142">
                  <c:v>5.0788000000000002</c:v>
                </c:pt>
                <c:pt idx="143">
                  <c:v>5.1855000000000002</c:v>
                </c:pt>
                <c:pt idx="144">
                  <c:v>4.3296000000000001</c:v>
                </c:pt>
                <c:pt idx="145">
                  <c:v>4.3296000000000001</c:v>
                </c:pt>
                <c:pt idx="146">
                  <c:v>3.8702000000000001</c:v>
                </c:pt>
                <c:pt idx="147">
                  <c:v>4.2954999999999997</c:v>
                </c:pt>
                <c:pt idx="148">
                  <c:v>4.7378</c:v>
                </c:pt>
                <c:pt idx="149">
                  <c:v>4.6867999999999999</c:v>
                </c:pt>
                <c:pt idx="150">
                  <c:v>4.7122999999999999</c:v>
                </c:pt>
                <c:pt idx="151">
                  <c:v>5.2226999999999997</c:v>
                </c:pt>
                <c:pt idx="152">
                  <c:v>6.2689000000000004</c:v>
                </c:pt>
                <c:pt idx="153">
                  <c:v>6.0223000000000004</c:v>
                </c:pt>
                <c:pt idx="154">
                  <c:v>6.4476000000000004</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LOG COMMERCIAL P</c:v>
                </c:pt>
              </c:strCache>
            </c:strRef>
          </c:tx>
          <c:spPr>
            <a:ln w="28575" cap="rnd">
              <a:solidFill>
                <a:schemeClr val="accent4"/>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Data'!$M$5:$M$159</c:f>
              <c:numCache>
                <c:formatCode>0.0</c:formatCode>
                <c:ptCount val="155"/>
                <c:pt idx="0">
                  <c:v>5.4970999999999997</c:v>
                </c:pt>
                <c:pt idx="1">
                  <c:v>5.7055999999999996</c:v>
                </c:pt>
                <c:pt idx="2">
                  <c:v>5.4252000000000002</c:v>
                </c:pt>
                <c:pt idx="3">
                  <c:v>5.2167000000000003</c:v>
                </c:pt>
                <c:pt idx="4">
                  <c:v>5.2359</c:v>
                </c:pt>
                <c:pt idx="5">
                  <c:v>5.0682</c:v>
                </c:pt>
                <c:pt idx="6">
                  <c:v>5.0297999999999998</c:v>
                </c:pt>
                <c:pt idx="7">
                  <c:v>4.9387999999999996</c:v>
                </c:pt>
                <c:pt idx="8">
                  <c:v>4.8380999999999998</c:v>
                </c:pt>
                <c:pt idx="9">
                  <c:v>4.8932000000000002</c:v>
                </c:pt>
                <c:pt idx="10">
                  <c:v>4.9123999999999999</c:v>
                </c:pt>
                <c:pt idx="11">
                  <c:v>4.7423000000000002</c:v>
                </c:pt>
                <c:pt idx="12">
                  <c:v>4.8141999999999996</c:v>
                </c:pt>
                <c:pt idx="13">
                  <c:v>4.9794999999999998</c:v>
                </c:pt>
                <c:pt idx="14">
                  <c:v>5.0551000000000004</c:v>
                </c:pt>
                <c:pt idx="15">
                  <c:v>5.0575000000000001</c:v>
                </c:pt>
                <c:pt idx="16">
                  <c:v>5.0575000000000001</c:v>
                </c:pt>
                <c:pt idx="17">
                  <c:v>5.26</c:v>
                </c:pt>
                <c:pt idx="18">
                  <c:v>5.1574999999999998</c:v>
                </c:pt>
                <c:pt idx="19">
                  <c:v>5.2770999999999999</c:v>
                </c:pt>
                <c:pt idx="20">
                  <c:v>5.1283000000000003</c:v>
                </c:pt>
                <c:pt idx="21">
                  <c:v>5.0624000000000002</c:v>
                </c:pt>
                <c:pt idx="22">
                  <c:v>5.1891999999999996</c:v>
                </c:pt>
                <c:pt idx="23">
                  <c:v>4.8818000000000001</c:v>
                </c:pt>
                <c:pt idx="24">
                  <c:v>4.5818000000000003</c:v>
                </c:pt>
                <c:pt idx="25">
                  <c:v>4.5818000000000003</c:v>
                </c:pt>
                <c:pt idx="26">
                  <c:v>4.3621999999999996</c:v>
                </c:pt>
                <c:pt idx="27">
                  <c:v>5.0045999999999999</c:v>
                </c:pt>
                <c:pt idx="28">
                  <c:v>4.9581</c:v>
                </c:pt>
                <c:pt idx="29">
                  <c:v>4.9362000000000004</c:v>
                </c:pt>
                <c:pt idx="30">
                  <c:v>4.7503000000000002</c:v>
                </c:pt>
                <c:pt idx="31">
                  <c:v>5.0072999999999999</c:v>
                </c:pt>
                <c:pt idx="32">
                  <c:v>5.1577999999999999</c:v>
                </c:pt>
                <c:pt idx="33">
                  <c:v>5.2042000000000002</c:v>
                </c:pt>
                <c:pt idx="34">
                  <c:v>5.1959999999999997</c:v>
                </c:pt>
                <c:pt idx="35">
                  <c:v>5.1687000000000003</c:v>
                </c:pt>
                <c:pt idx="36">
                  <c:v>4.5259999999999998</c:v>
                </c:pt>
                <c:pt idx="37">
                  <c:v>5.1249000000000002</c:v>
                </c:pt>
                <c:pt idx="38">
                  <c:v>4.9279999999999999</c:v>
                </c:pt>
                <c:pt idx="39">
                  <c:v>4.9170999999999996</c:v>
                </c:pt>
                <c:pt idx="40">
                  <c:v>5.6062000000000003</c:v>
                </c:pt>
                <c:pt idx="41">
                  <c:v>5.5293999999999999</c:v>
                </c:pt>
                <c:pt idx="42">
                  <c:v>5.8731</c:v>
                </c:pt>
                <c:pt idx="43">
                  <c:v>6.6249000000000002</c:v>
                </c:pt>
                <c:pt idx="44">
                  <c:v>6.1984000000000004</c:v>
                </c:pt>
                <c:pt idx="45">
                  <c:v>6.6586999999999996</c:v>
                </c:pt>
                <c:pt idx="46">
                  <c:v>7.1680000000000001</c:v>
                </c:pt>
                <c:pt idx="47">
                  <c:v>7.1680000000000001</c:v>
                </c:pt>
                <c:pt idx="48">
                  <c:v>6.8734000000000002</c:v>
                </c:pt>
                <c:pt idx="49">
                  <c:v>6.8457999999999997</c:v>
                </c:pt>
                <c:pt idx="50">
                  <c:v>6.7476000000000003</c:v>
                </c:pt>
                <c:pt idx="51">
                  <c:v>6.6985000000000001</c:v>
                </c:pt>
                <c:pt idx="52">
                  <c:v>7.1250999999999998</c:v>
                </c:pt>
                <c:pt idx="53">
                  <c:v>8.2797999999999998</c:v>
                </c:pt>
                <c:pt idx="54">
                  <c:v>8.3835999999999995</c:v>
                </c:pt>
                <c:pt idx="55">
                  <c:v>8.5762</c:v>
                </c:pt>
                <c:pt idx="56">
                  <c:v>8.5577000000000005</c:v>
                </c:pt>
                <c:pt idx="57">
                  <c:v>8.6687999999999992</c:v>
                </c:pt>
                <c:pt idx="58">
                  <c:v>9.1022999999999996</c:v>
                </c:pt>
                <c:pt idx="59">
                  <c:v>8.8207000000000004</c:v>
                </c:pt>
                <c:pt idx="60">
                  <c:v>8.7243999999999993</c:v>
                </c:pt>
                <c:pt idx="61">
                  <c:v>8.3316999999999997</c:v>
                </c:pt>
                <c:pt idx="62">
                  <c:v>7.9463999999999997</c:v>
                </c:pt>
                <c:pt idx="63">
                  <c:v>8.5762</c:v>
                </c:pt>
                <c:pt idx="64">
                  <c:v>8.6651000000000007</c:v>
                </c:pt>
                <c:pt idx="65">
                  <c:v>9.1652000000000005</c:v>
                </c:pt>
                <c:pt idx="66">
                  <c:v>10.603999999999999</c:v>
                </c:pt>
                <c:pt idx="67">
                  <c:v>10.395099999999999</c:v>
                </c:pt>
                <c:pt idx="68">
                  <c:v>10.186199999999999</c:v>
                </c:pt>
                <c:pt idx="69">
                  <c:v>9.9635999999999996</c:v>
                </c:pt>
                <c:pt idx="70">
                  <c:v>9.8455999999999992</c:v>
                </c:pt>
                <c:pt idx="71">
                  <c:v>9.9908999999999999</c:v>
                </c:pt>
                <c:pt idx="72">
                  <c:v>10.3088</c:v>
                </c:pt>
                <c:pt idx="73">
                  <c:v>10.1271</c:v>
                </c:pt>
                <c:pt idx="74">
                  <c:v>10.3996</c:v>
                </c:pt>
                <c:pt idx="75">
                  <c:v>9.8864000000000001</c:v>
                </c:pt>
                <c:pt idx="76">
                  <c:v>9.8500999999999994</c:v>
                </c:pt>
                <c:pt idx="77">
                  <c:v>10.1135</c:v>
                </c:pt>
                <c:pt idx="78">
                  <c:v>9.9726999999999997</c:v>
                </c:pt>
                <c:pt idx="79">
                  <c:v>11.8339</c:v>
                </c:pt>
                <c:pt idx="80">
                  <c:v>11.8339</c:v>
                </c:pt>
                <c:pt idx="81">
                  <c:v>11.501899999999999</c:v>
                </c:pt>
                <c:pt idx="82">
                  <c:v>11.616</c:v>
                </c:pt>
                <c:pt idx="83">
                  <c:v>11.3774</c:v>
                </c:pt>
                <c:pt idx="84">
                  <c:v>10.827400000000001</c:v>
                </c:pt>
                <c:pt idx="85">
                  <c:v>10.609500000000001</c:v>
                </c:pt>
                <c:pt idx="86">
                  <c:v>11.076499999999999</c:v>
                </c:pt>
                <c:pt idx="87">
                  <c:v>10.6303</c:v>
                </c:pt>
                <c:pt idx="88">
                  <c:v>10.7029</c:v>
                </c:pt>
                <c:pt idx="89">
                  <c:v>10.8741</c:v>
                </c:pt>
                <c:pt idx="90">
                  <c:v>11.699</c:v>
                </c:pt>
                <c:pt idx="91">
                  <c:v>11.123200000000001</c:v>
                </c:pt>
                <c:pt idx="92">
                  <c:v>13.597899999999999</c:v>
                </c:pt>
                <c:pt idx="93">
                  <c:v>13.597899999999999</c:v>
                </c:pt>
                <c:pt idx="94">
                  <c:v>14.0943</c:v>
                </c:pt>
                <c:pt idx="95">
                  <c:v>13.916600000000001</c:v>
                </c:pt>
                <c:pt idx="96">
                  <c:v>14.94</c:v>
                </c:pt>
                <c:pt idx="97">
                  <c:v>13.8247</c:v>
                </c:pt>
                <c:pt idx="98">
                  <c:v>14.6029</c:v>
                </c:pt>
                <c:pt idx="99">
                  <c:v>15.2218</c:v>
                </c:pt>
                <c:pt idx="100">
                  <c:v>14.363899999999999</c:v>
                </c:pt>
                <c:pt idx="101">
                  <c:v>12.6297</c:v>
                </c:pt>
                <c:pt idx="102">
                  <c:v>11.6921</c:v>
                </c:pt>
                <c:pt idx="103">
                  <c:v>11.747299999999999</c:v>
                </c:pt>
                <c:pt idx="104">
                  <c:v>11.7105</c:v>
                </c:pt>
                <c:pt idx="105">
                  <c:v>9.0649999999999995</c:v>
                </c:pt>
                <c:pt idx="106">
                  <c:v>8.8780000000000001</c:v>
                </c:pt>
                <c:pt idx="107">
                  <c:v>9.3099000000000007</c:v>
                </c:pt>
                <c:pt idx="108">
                  <c:v>8.5129000000000001</c:v>
                </c:pt>
                <c:pt idx="109">
                  <c:v>8.6107999999999993</c:v>
                </c:pt>
                <c:pt idx="110">
                  <c:v>8.4372000000000007</c:v>
                </c:pt>
                <c:pt idx="111">
                  <c:v>8.3704000000000001</c:v>
                </c:pt>
                <c:pt idx="112">
                  <c:v>8.8557000000000006</c:v>
                </c:pt>
                <c:pt idx="113">
                  <c:v>9.1273</c:v>
                </c:pt>
                <c:pt idx="114">
                  <c:v>9.4167000000000005</c:v>
                </c:pt>
                <c:pt idx="115">
                  <c:v>9.8841999999999999</c:v>
                </c:pt>
                <c:pt idx="116">
                  <c:v>9.7774000000000001</c:v>
                </c:pt>
                <c:pt idx="117">
                  <c:v>10.770200000000001</c:v>
                </c:pt>
                <c:pt idx="118">
                  <c:v>10.414</c:v>
                </c:pt>
                <c:pt idx="119">
                  <c:v>8.6079000000000008</c:v>
                </c:pt>
                <c:pt idx="120">
                  <c:v>7.9523000000000001</c:v>
                </c:pt>
                <c:pt idx="121">
                  <c:v>8.8643999999999998</c:v>
                </c:pt>
                <c:pt idx="122">
                  <c:v>8.0733999999999995</c:v>
                </c:pt>
                <c:pt idx="123">
                  <c:v>7.4820000000000002</c:v>
                </c:pt>
                <c:pt idx="124">
                  <c:v>7.2539999999999996</c:v>
                </c:pt>
                <c:pt idx="125">
                  <c:v>6.83</c:v>
                </c:pt>
                <c:pt idx="126">
                  <c:v>6.7123999999999997</c:v>
                </c:pt>
                <c:pt idx="127">
                  <c:v>5.8395000000000001</c:v>
                </c:pt>
                <c:pt idx="128">
                  <c:v>6.0568999999999997</c:v>
                </c:pt>
                <c:pt idx="129">
                  <c:v>6.0568999999999997</c:v>
                </c:pt>
                <c:pt idx="130">
                  <c:v>5.6329000000000002</c:v>
                </c:pt>
                <c:pt idx="131">
                  <c:v>5.6329000000000002</c:v>
                </c:pt>
                <c:pt idx="132">
                  <c:v>4.0636000000000001</c:v>
                </c:pt>
                <c:pt idx="133">
                  <c:v>4.0453000000000001</c:v>
                </c:pt>
                <c:pt idx="134">
                  <c:v>3.9279000000000002</c:v>
                </c:pt>
                <c:pt idx="135">
                  <c:v>3.6017000000000001</c:v>
                </c:pt>
                <c:pt idx="136">
                  <c:v>3.9697</c:v>
                </c:pt>
                <c:pt idx="137">
                  <c:v>4.1731999999999996</c:v>
                </c:pt>
                <c:pt idx="138">
                  <c:v>4.6456</c:v>
                </c:pt>
                <c:pt idx="139">
                  <c:v>4.4473000000000003</c:v>
                </c:pt>
                <c:pt idx="140">
                  <c:v>4.3845999999999998</c:v>
                </c:pt>
                <c:pt idx="141">
                  <c:v>4.1132</c:v>
                </c:pt>
                <c:pt idx="142">
                  <c:v>3.9540000000000002</c:v>
                </c:pt>
                <c:pt idx="143">
                  <c:v>3.9878999999999998</c:v>
                </c:pt>
                <c:pt idx="144">
                  <c:v>3.9451000000000001</c:v>
                </c:pt>
                <c:pt idx="145">
                  <c:v>3.9451000000000001</c:v>
                </c:pt>
                <c:pt idx="146">
                  <c:v>3.4114</c:v>
                </c:pt>
                <c:pt idx="147">
                  <c:v>4.0579000000000001</c:v>
                </c:pt>
                <c:pt idx="148">
                  <c:v>4.2225000000000001</c:v>
                </c:pt>
                <c:pt idx="149">
                  <c:v>4.2483000000000004</c:v>
                </c:pt>
                <c:pt idx="150">
                  <c:v>4.1755000000000004</c:v>
                </c:pt>
                <c:pt idx="151">
                  <c:v>4.5422000000000002</c:v>
                </c:pt>
                <c:pt idx="152">
                  <c:v>5.3792</c:v>
                </c:pt>
                <c:pt idx="153">
                  <c:v>5.2781000000000002</c:v>
                </c:pt>
                <c:pt idx="154">
                  <c:v>5.492</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MULTIPLAN</c:v>
                </c:pt>
              </c:strCache>
            </c:strRef>
          </c:tx>
          <c:spPr>
            <a:ln w="28575" cap="rnd">
              <a:solidFill>
                <a:schemeClr val="accent5"/>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Data'!$N$5:$N$159</c:f>
              <c:numCache>
                <c:formatCode>0.0</c:formatCode>
                <c:ptCount val="155"/>
                <c:pt idx="0">
                  <c:v>11.103199999999999</c:v>
                </c:pt>
                <c:pt idx="1">
                  <c:v>11.4071</c:v>
                </c:pt>
                <c:pt idx="2">
                  <c:v>11.414999999999999</c:v>
                </c:pt>
                <c:pt idx="3">
                  <c:v>11.2098</c:v>
                </c:pt>
                <c:pt idx="4">
                  <c:v>11.107100000000001</c:v>
                </c:pt>
                <c:pt idx="5">
                  <c:v>10.992699999999999</c:v>
                </c:pt>
                <c:pt idx="6">
                  <c:v>10.5901</c:v>
                </c:pt>
                <c:pt idx="7">
                  <c:v>10.5032</c:v>
                </c:pt>
                <c:pt idx="8">
                  <c:v>10.238799999999999</c:v>
                </c:pt>
                <c:pt idx="9">
                  <c:v>10.1243</c:v>
                </c:pt>
                <c:pt idx="10">
                  <c:v>9.9664000000000001</c:v>
                </c:pt>
                <c:pt idx="11">
                  <c:v>9.9625000000000004</c:v>
                </c:pt>
                <c:pt idx="12">
                  <c:v>10.223000000000001</c:v>
                </c:pt>
                <c:pt idx="13">
                  <c:v>10.724299999999999</c:v>
                </c:pt>
                <c:pt idx="14">
                  <c:v>10.883699999999999</c:v>
                </c:pt>
                <c:pt idx="15">
                  <c:v>10.4047</c:v>
                </c:pt>
                <c:pt idx="16">
                  <c:v>10.3444</c:v>
                </c:pt>
                <c:pt idx="17">
                  <c:v>10.569800000000001</c:v>
                </c:pt>
                <c:pt idx="18">
                  <c:v>10.8193</c:v>
                </c:pt>
                <c:pt idx="19">
                  <c:v>10.424899999999999</c:v>
                </c:pt>
                <c:pt idx="20">
                  <c:v>10.5054</c:v>
                </c:pt>
                <c:pt idx="21">
                  <c:v>10.3323</c:v>
                </c:pt>
                <c:pt idx="22">
                  <c:v>10.457100000000001</c:v>
                </c:pt>
                <c:pt idx="23">
                  <c:v>10.2639</c:v>
                </c:pt>
                <c:pt idx="24">
                  <c:v>9.5795999999999992</c:v>
                </c:pt>
                <c:pt idx="25">
                  <c:v>9.5795999999999992</c:v>
                </c:pt>
                <c:pt idx="26">
                  <c:v>9.1691000000000003</c:v>
                </c:pt>
                <c:pt idx="27">
                  <c:v>9.2332999999999998</c:v>
                </c:pt>
                <c:pt idx="28">
                  <c:v>9.3915000000000006</c:v>
                </c:pt>
                <c:pt idx="29">
                  <c:v>9.2942</c:v>
                </c:pt>
                <c:pt idx="30">
                  <c:v>8.7586999999999993</c:v>
                </c:pt>
                <c:pt idx="31">
                  <c:v>8.4990000000000006</c:v>
                </c:pt>
                <c:pt idx="32">
                  <c:v>9.0021000000000004</c:v>
                </c:pt>
                <c:pt idx="33">
                  <c:v>9.2698</c:v>
                </c:pt>
                <c:pt idx="34">
                  <c:v>8.9534000000000002</c:v>
                </c:pt>
                <c:pt idx="35">
                  <c:v>9.0873000000000008</c:v>
                </c:pt>
                <c:pt idx="36">
                  <c:v>8.4421999999999997</c:v>
                </c:pt>
                <c:pt idx="37">
                  <c:v>8.3285999999999998</c:v>
                </c:pt>
                <c:pt idx="38">
                  <c:v>8.2110000000000003</c:v>
                </c:pt>
                <c:pt idx="39">
                  <c:v>8.2271999999999998</c:v>
                </c:pt>
                <c:pt idx="40">
                  <c:v>10.863300000000001</c:v>
                </c:pt>
                <c:pt idx="41">
                  <c:v>11.483599999999999</c:v>
                </c:pt>
                <c:pt idx="42">
                  <c:v>11.5349</c:v>
                </c:pt>
                <c:pt idx="43">
                  <c:v>11.904</c:v>
                </c:pt>
                <c:pt idx="44">
                  <c:v>12.196199999999999</c:v>
                </c:pt>
                <c:pt idx="45">
                  <c:v>13.185600000000001</c:v>
                </c:pt>
                <c:pt idx="46">
                  <c:v>12.6525</c:v>
                </c:pt>
                <c:pt idx="47">
                  <c:v>12.6525</c:v>
                </c:pt>
                <c:pt idx="48">
                  <c:v>12.837</c:v>
                </c:pt>
                <c:pt idx="49">
                  <c:v>12.867800000000001</c:v>
                </c:pt>
                <c:pt idx="50">
                  <c:v>13.2933</c:v>
                </c:pt>
                <c:pt idx="51">
                  <c:v>13.1241</c:v>
                </c:pt>
                <c:pt idx="52">
                  <c:v>13.221500000000001</c:v>
                </c:pt>
                <c:pt idx="53">
                  <c:v>13.3127</c:v>
                </c:pt>
                <c:pt idx="54">
                  <c:v>13.729699999999999</c:v>
                </c:pt>
                <c:pt idx="55">
                  <c:v>14.3447</c:v>
                </c:pt>
                <c:pt idx="56">
                  <c:v>13.526400000000001</c:v>
                </c:pt>
                <c:pt idx="57">
                  <c:v>13.364800000000001</c:v>
                </c:pt>
                <c:pt idx="58">
                  <c:v>13.912100000000001</c:v>
                </c:pt>
                <c:pt idx="59">
                  <c:v>13.750500000000001</c:v>
                </c:pt>
                <c:pt idx="60">
                  <c:v>13.7088</c:v>
                </c:pt>
                <c:pt idx="61">
                  <c:v>12.9269</c:v>
                </c:pt>
                <c:pt idx="62">
                  <c:v>12.598599999999999</c:v>
                </c:pt>
                <c:pt idx="63">
                  <c:v>12.8383</c:v>
                </c:pt>
                <c:pt idx="64">
                  <c:v>12.8696</c:v>
                </c:pt>
                <c:pt idx="65">
                  <c:v>12.598599999999999</c:v>
                </c:pt>
                <c:pt idx="66">
                  <c:v>12.1579</c:v>
                </c:pt>
                <c:pt idx="67">
                  <c:v>11.974500000000001</c:v>
                </c:pt>
                <c:pt idx="68">
                  <c:v>12.114699999999999</c:v>
                </c:pt>
                <c:pt idx="69">
                  <c:v>12.3413</c:v>
                </c:pt>
                <c:pt idx="70">
                  <c:v>12.244199999999999</c:v>
                </c:pt>
                <c:pt idx="71">
                  <c:v>12.2927</c:v>
                </c:pt>
                <c:pt idx="72">
                  <c:v>12.9885</c:v>
                </c:pt>
                <c:pt idx="73">
                  <c:v>12.756600000000001</c:v>
                </c:pt>
                <c:pt idx="74">
                  <c:v>13.269</c:v>
                </c:pt>
                <c:pt idx="75">
                  <c:v>12.945399999999999</c:v>
                </c:pt>
                <c:pt idx="76">
                  <c:v>12.9885</c:v>
                </c:pt>
                <c:pt idx="77">
                  <c:v>13.2906</c:v>
                </c:pt>
                <c:pt idx="78">
                  <c:v>13.4254</c:v>
                </c:pt>
                <c:pt idx="79">
                  <c:v>13.032</c:v>
                </c:pt>
                <c:pt idx="80">
                  <c:v>13.032</c:v>
                </c:pt>
                <c:pt idx="81">
                  <c:v>12.9472</c:v>
                </c:pt>
                <c:pt idx="82">
                  <c:v>13.037000000000001</c:v>
                </c:pt>
                <c:pt idx="83">
                  <c:v>13.027100000000001</c:v>
                </c:pt>
                <c:pt idx="84">
                  <c:v>12.892200000000001</c:v>
                </c:pt>
                <c:pt idx="85">
                  <c:v>12.9322</c:v>
                </c:pt>
                <c:pt idx="86">
                  <c:v>13.1968</c:v>
                </c:pt>
                <c:pt idx="87">
                  <c:v>13.6113</c:v>
                </c:pt>
                <c:pt idx="88">
                  <c:v>14.0756</c:v>
                </c:pt>
                <c:pt idx="89">
                  <c:v>13.795999999999999</c:v>
                </c:pt>
                <c:pt idx="90">
                  <c:v>14.5</c:v>
                </c:pt>
                <c:pt idx="91">
                  <c:v>13.9458</c:v>
                </c:pt>
                <c:pt idx="92">
                  <c:v>15.113899999999999</c:v>
                </c:pt>
                <c:pt idx="93">
                  <c:v>15.113899999999999</c:v>
                </c:pt>
                <c:pt idx="94">
                  <c:v>15.293699999999999</c:v>
                </c:pt>
                <c:pt idx="95">
                  <c:v>14.5639</c:v>
                </c:pt>
                <c:pt idx="96">
                  <c:v>14.664400000000001</c:v>
                </c:pt>
                <c:pt idx="97">
                  <c:v>14.3894</c:v>
                </c:pt>
                <c:pt idx="98">
                  <c:v>14.1937</c:v>
                </c:pt>
                <c:pt idx="99">
                  <c:v>13.739000000000001</c:v>
                </c:pt>
                <c:pt idx="100">
                  <c:v>13.564399999999999</c:v>
                </c:pt>
                <c:pt idx="101">
                  <c:v>13.294700000000001</c:v>
                </c:pt>
                <c:pt idx="102">
                  <c:v>12.8188</c:v>
                </c:pt>
                <c:pt idx="103">
                  <c:v>13.3582</c:v>
                </c:pt>
                <c:pt idx="104">
                  <c:v>12.9087</c:v>
                </c:pt>
                <c:pt idx="105">
                  <c:v>13.9857</c:v>
                </c:pt>
                <c:pt idx="106">
                  <c:v>14.184900000000001</c:v>
                </c:pt>
                <c:pt idx="107">
                  <c:v>14.3443</c:v>
                </c:pt>
                <c:pt idx="108">
                  <c:v>14.196300000000001</c:v>
                </c:pt>
                <c:pt idx="109">
                  <c:v>14.35</c:v>
                </c:pt>
                <c:pt idx="110">
                  <c:v>14.594799999999999</c:v>
                </c:pt>
                <c:pt idx="111">
                  <c:v>15.1014</c:v>
                </c:pt>
                <c:pt idx="112">
                  <c:v>15.181100000000001</c:v>
                </c:pt>
                <c:pt idx="113">
                  <c:v>15.6991</c:v>
                </c:pt>
                <c:pt idx="114">
                  <c:v>15.1982</c:v>
                </c:pt>
                <c:pt idx="115">
                  <c:v>15.061500000000001</c:v>
                </c:pt>
                <c:pt idx="116">
                  <c:v>15.192500000000001</c:v>
                </c:pt>
                <c:pt idx="117">
                  <c:v>15.6592</c:v>
                </c:pt>
                <c:pt idx="118">
                  <c:v>15.750299999999999</c:v>
                </c:pt>
                <c:pt idx="119">
                  <c:v>17.351099999999999</c:v>
                </c:pt>
                <c:pt idx="120">
                  <c:v>16.263500000000001</c:v>
                </c:pt>
                <c:pt idx="121">
                  <c:v>16.607600000000001</c:v>
                </c:pt>
                <c:pt idx="122">
                  <c:v>16.054600000000001</c:v>
                </c:pt>
                <c:pt idx="123">
                  <c:v>16.54</c:v>
                </c:pt>
                <c:pt idx="124">
                  <c:v>16.619900000000001</c:v>
                </c:pt>
                <c:pt idx="125">
                  <c:v>16.497</c:v>
                </c:pt>
                <c:pt idx="126">
                  <c:v>16.730499999999999</c:v>
                </c:pt>
                <c:pt idx="127">
                  <c:v>15.9133</c:v>
                </c:pt>
                <c:pt idx="128">
                  <c:v>15.925599999999999</c:v>
                </c:pt>
                <c:pt idx="129">
                  <c:v>15.925599999999999</c:v>
                </c:pt>
                <c:pt idx="130">
                  <c:v>15.139200000000001</c:v>
                </c:pt>
                <c:pt idx="131">
                  <c:v>15.139200000000001</c:v>
                </c:pt>
                <c:pt idx="132">
                  <c:v>18.346699999999998</c:v>
                </c:pt>
                <c:pt idx="133">
                  <c:v>18.568000000000001</c:v>
                </c:pt>
                <c:pt idx="134">
                  <c:v>19.1248</c:v>
                </c:pt>
                <c:pt idx="135">
                  <c:v>17.896599999999999</c:v>
                </c:pt>
                <c:pt idx="136">
                  <c:v>18.697600000000001</c:v>
                </c:pt>
                <c:pt idx="137">
                  <c:v>18.957000000000001</c:v>
                </c:pt>
                <c:pt idx="138">
                  <c:v>18.049199999999999</c:v>
                </c:pt>
                <c:pt idx="139">
                  <c:v>17.194800000000001</c:v>
                </c:pt>
                <c:pt idx="140">
                  <c:v>17.622</c:v>
                </c:pt>
                <c:pt idx="141">
                  <c:v>16.958300000000001</c:v>
                </c:pt>
                <c:pt idx="142">
                  <c:v>16.714200000000002</c:v>
                </c:pt>
                <c:pt idx="143">
                  <c:v>16.393799999999999</c:v>
                </c:pt>
                <c:pt idx="144">
                  <c:v>18.109400000000001</c:v>
                </c:pt>
                <c:pt idx="145">
                  <c:v>18.109400000000001</c:v>
                </c:pt>
                <c:pt idx="146">
                  <c:v>16.012899999999998</c:v>
                </c:pt>
                <c:pt idx="147">
                  <c:v>16.9939</c:v>
                </c:pt>
                <c:pt idx="148">
                  <c:v>17.88</c:v>
                </c:pt>
                <c:pt idx="149">
                  <c:v>17.88</c:v>
                </c:pt>
                <c:pt idx="150">
                  <c:v>17.555599999999998</c:v>
                </c:pt>
                <c:pt idx="151">
                  <c:v>18.046199999999999</c:v>
                </c:pt>
                <c:pt idx="152">
                  <c:v>21.210799999999999</c:v>
                </c:pt>
                <c:pt idx="153">
                  <c:v>19.478100000000001</c:v>
                </c:pt>
                <c:pt idx="154">
                  <c:v>19.929099999999998</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IGUATEMI SA - UN</c:v>
                </c:pt>
              </c:strCache>
            </c:strRef>
          </c:tx>
          <c:spPr>
            <a:ln w="28575" cap="rnd">
              <a:solidFill>
                <a:schemeClr val="accent6"/>
              </a:solidFill>
              <a:round/>
            </a:ln>
            <a:effectLst/>
          </c:spPr>
          <c:marker>
            <c:symbol val="none"/>
          </c:marker>
          <c:cat>
            <c:numRef>
              <c:f>'Stock Data'!$B$5:$B$159</c:f>
              <c:numCache>
                <c:formatCode>m/d/yyyy</c:formatCode>
                <c:ptCount val="155"/>
                <c:pt idx="0">
                  <c:v>45933</c:v>
                </c:pt>
                <c:pt idx="1">
                  <c:v>45926</c:v>
                </c:pt>
                <c:pt idx="2">
                  <c:v>45919</c:v>
                </c:pt>
                <c:pt idx="3">
                  <c:v>45912</c:v>
                </c:pt>
                <c:pt idx="4">
                  <c:v>45905</c:v>
                </c:pt>
                <c:pt idx="5">
                  <c:v>45898</c:v>
                </c:pt>
                <c:pt idx="6">
                  <c:v>45891</c:v>
                </c:pt>
                <c:pt idx="7">
                  <c:v>45884</c:v>
                </c:pt>
                <c:pt idx="8">
                  <c:v>45877</c:v>
                </c:pt>
                <c:pt idx="9">
                  <c:v>45870</c:v>
                </c:pt>
                <c:pt idx="10">
                  <c:v>45863</c:v>
                </c:pt>
                <c:pt idx="11">
                  <c:v>45856</c:v>
                </c:pt>
                <c:pt idx="12">
                  <c:v>45849</c:v>
                </c:pt>
                <c:pt idx="13">
                  <c:v>45842</c:v>
                </c:pt>
                <c:pt idx="14">
                  <c:v>45835</c:v>
                </c:pt>
                <c:pt idx="15">
                  <c:v>45828</c:v>
                </c:pt>
                <c:pt idx="16">
                  <c:v>45821</c:v>
                </c:pt>
                <c:pt idx="17">
                  <c:v>45814</c:v>
                </c:pt>
                <c:pt idx="18">
                  <c:v>45807</c:v>
                </c:pt>
                <c:pt idx="19">
                  <c:v>45800</c:v>
                </c:pt>
                <c:pt idx="20">
                  <c:v>45793</c:v>
                </c:pt>
                <c:pt idx="21">
                  <c:v>45786</c:v>
                </c:pt>
                <c:pt idx="22">
                  <c:v>45779</c:v>
                </c:pt>
                <c:pt idx="23">
                  <c:v>45772</c:v>
                </c:pt>
                <c:pt idx="24">
                  <c:v>45765</c:v>
                </c:pt>
                <c:pt idx="25">
                  <c:v>45758</c:v>
                </c:pt>
                <c:pt idx="26">
                  <c:v>45751</c:v>
                </c:pt>
                <c:pt idx="27">
                  <c:v>45744</c:v>
                </c:pt>
                <c:pt idx="28">
                  <c:v>45737</c:v>
                </c:pt>
                <c:pt idx="29">
                  <c:v>45730</c:v>
                </c:pt>
                <c:pt idx="30">
                  <c:v>45723</c:v>
                </c:pt>
                <c:pt idx="31">
                  <c:v>45716</c:v>
                </c:pt>
                <c:pt idx="32">
                  <c:v>45709</c:v>
                </c:pt>
                <c:pt idx="33">
                  <c:v>45702</c:v>
                </c:pt>
                <c:pt idx="34">
                  <c:v>45695</c:v>
                </c:pt>
                <c:pt idx="35">
                  <c:v>45688</c:v>
                </c:pt>
                <c:pt idx="36">
                  <c:v>45681</c:v>
                </c:pt>
                <c:pt idx="37">
                  <c:v>45674</c:v>
                </c:pt>
                <c:pt idx="38">
                  <c:v>45667</c:v>
                </c:pt>
                <c:pt idx="39">
                  <c:v>45660</c:v>
                </c:pt>
                <c:pt idx="40">
                  <c:v>45653</c:v>
                </c:pt>
                <c:pt idx="41">
                  <c:v>45646</c:v>
                </c:pt>
                <c:pt idx="42">
                  <c:v>45639</c:v>
                </c:pt>
                <c:pt idx="43">
                  <c:v>45632</c:v>
                </c:pt>
                <c:pt idx="44">
                  <c:v>45625</c:v>
                </c:pt>
                <c:pt idx="45">
                  <c:v>45618</c:v>
                </c:pt>
                <c:pt idx="46">
                  <c:v>45611</c:v>
                </c:pt>
                <c:pt idx="47">
                  <c:v>45604</c:v>
                </c:pt>
                <c:pt idx="48">
                  <c:v>45597</c:v>
                </c:pt>
                <c:pt idx="49">
                  <c:v>45590</c:v>
                </c:pt>
                <c:pt idx="50">
                  <c:v>45583</c:v>
                </c:pt>
                <c:pt idx="51">
                  <c:v>45576</c:v>
                </c:pt>
                <c:pt idx="52">
                  <c:v>45569</c:v>
                </c:pt>
                <c:pt idx="53">
                  <c:v>45562</c:v>
                </c:pt>
                <c:pt idx="54">
                  <c:v>45555</c:v>
                </c:pt>
                <c:pt idx="55">
                  <c:v>45548</c:v>
                </c:pt>
                <c:pt idx="56">
                  <c:v>45541</c:v>
                </c:pt>
                <c:pt idx="57">
                  <c:v>45534</c:v>
                </c:pt>
                <c:pt idx="58">
                  <c:v>45527</c:v>
                </c:pt>
                <c:pt idx="59">
                  <c:v>45520</c:v>
                </c:pt>
                <c:pt idx="60">
                  <c:v>45513</c:v>
                </c:pt>
                <c:pt idx="61">
                  <c:v>45506</c:v>
                </c:pt>
                <c:pt idx="62">
                  <c:v>45499</c:v>
                </c:pt>
                <c:pt idx="63">
                  <c:v>45492</c:v>
                </c:pt>
                <c:pt idx="64">
                  <c:v>45485</c:v>
                </c:pt>
                <c:pt idx="65">
                  <c:v>45478</c:v>
                </c:pt>
                <c:pt idx="66">
                  <c:v>45471</c:v>
                </c:pt>
                <c:pt idx="67">
                  <c:v>45464</c:v>
                </c:pt>
                <c:pt idx="68">
                  <c:v>45457</c:v>
                </c:pt>
                <c:pt idx="69">
                  <c:v>45450</c:v>
                </c:pt>
                <c:pt idx="70">
                  <c:v>45443</c:v>
                </c:pt>
                <c:pt idx="71">
                  <c:v>45436</c:v>
                </c:pt>
                <c:pt idx="72">
                  <c:v>45429</c:v>
                </c:pt>
                <c:pt idx="73">
                  <c:v>45422</c:v>
                </c:pt>
                <c:pt idx="74">
                  <c:v>45415</c:v>
                </c:pt>
                <c:pt idx="75">
                  <c:v>45408</c:v>
                </c:pt>
                <c:pt idx="76">
                  <c:v>45401</c:v>
                </c:pt>
                <c:pt idx="77">
                  <c:v>45394</c:v>
                </c:pt>
                <c:pt idx="78">
                  <c:v>45387</c:v>
                </c:pt>
                <c:pt idx="79">
                  <c:v>45380</c:v>
                </c:pt>
                <c:pt idx="80">
                  <c:v>45373</c:v>
                </c:pt>
                <c:pt idx="81">
                  <c:v>45366</c:v>
                </c:pt>
                <c:pt idx="82">
                  <c:v>45359</c:v>
                </c:pt>
                <c:pt idx="83">
                  <c:v>45352</c:v>
                </c:pt>
                <c:pt idx="84">
                  <c:v>45345</c:v>
                </c:pt>
                <c:pt idx="85">
                  <c:v>45338</c:v>
                </c:pt>
                <c:pt idx="86">
                  <c:v>45331</c:v>
                </c:pt>
                <c:pt idx="87">
                  <c:v>45324</c:v>
                </c:pt>
                <c:pt idx="88">
                  <c:v>45317</c:v>
                </c:pt>
                <c:pt idx="89">
                  <c:v>45310</c:v>
                </c:pt>
                <c:pt idx="90">
                  <c:v>45303</c:v>
                </c:pt>
                <c:pt idx="91">
                  <c:v>45296</c:v>
                </c:pt>
                <c:pt idx="92">
                  <c:v>45289</c:v>
                </c:pt>
                <c:pt idx="93">
                  <c:v>45282</c:v>
                </c:pt>
                <c:pt idx="94">
                  <c:v>45275</c:v>
                </c:pt>
                <c:pt idx="95">
                  <c:v>45268</c:v>
                </c:pt>
                <c:pt idx="96">
                  <c:v>45261</c:v>
                </c:pt>
                <c:pt idx="97">
                  <c:v>45254</c:v>
                </c:pt>
                <c:pt idx="98">
                  <c:v>45247</c:v>
                </c:pt>
                <c:pt idx="99">
                  <c:v>45240</c:v>
                </c:pt>
                <c:pt idx="100">
                  <c:v>45233</c:v>
                </c:pt>
                <c:pt idx="101">
                  <c:v>45226</c:v>
                </c:pt>
                <c:pt idx="102">
                  <c:v>45219</c:v>
                </c:pt>
                <c:pt idx="103">
                  <c:v>45212</c:v>
                </c:pt>
                <c:pt idx="104">
                  <c:v>45205</c:v>
                </c:pt>
                <c:pt idx="105">
                  <c:v>45198</c:v>
                </c:pt>
                <c:pt idx="106">
                  <c:v>45191</c:v>
                </c:pt>
                <c:pt idx="107">
                  <c:v>45184</c:v>
                </c:pt>
                <c:pt idx="108">
                  <c:v>45177</c:v>
                </c:pt>
                <c:pt idx="109">
                  <c:v>45170</c:v>
                </c:pt>
                <c:pt idx="110">
                  <c:v>45163</c:v>
                </c:pt>
                <c:pt idx="111">
                  <c:v>45156</c:v>
                </c:pt>
                <c:pt idx="112">
                  <c:v>45149</c:v>
                </c:pt>
                <c:pt idx="113">
                  <c:v>45142</c:v>
                </c:pt>
                <c:pt idx="114">
                  <c:v>45135</c:v>
                </c:pt>
                <c:pt idx="115">
                  <c:v>45128</c:v>
                </c:pt>
                <c:pt idx="116">
                  <c:v>45121</c:v>
                </c:pt>
                <c:pt idx="117">
                  <c:v>45114</c:v>
                </c:pt>
                <c:pt idx="118">
                  <c:v>45107</c:v>
                </c:pt>
                <c:pt idx="119">
                  <c:v>45100</c:v>
                </c:pt>
                <c:pt idx="120">
                  <c:v>45093</c:v>
                </c:pt>
                <c:pt idx="121">
                  <c:v>45086</c:v>
                </c:pt>
                <c:pt idx="122">
                  <c:v>45079</c:v>
                </c:pt>
                <c:pt idx="123">
                  <c:v>45072</c:v>
                </c:pt>
                <c:pt idx="124">
                  <c:v>45065</c:v>
                </c:pt>
                <c:pt idx="125">
                  <c:v>45058</c:v>
                </c:pt>
                <c:pt idx="126">
                  <c:v>45051</c:v>
                </c:pt>
                <c:pt idx="127">
                  <c:v>45044</c:v>
                </c:pt>
                <c:pt idx="128">
                  <c:v>45037</c:v>
                </c:pt>
                <c:pt idx="129">
                  <c:v>45030</c:v>
                </c:pt>
                <c:pt idx="130">
                  <c:v>45023</c:v>
                </c:pt>
                <c:pt idx="131">
                  <c:v>45016</c:v>
                </c:pt>
                <c:pt idx="132">
                  <c:v>45009</c:v>
                </c:pt>
                <c:pt idx="133">
                  <c:v>45002</c:v>
                </c:pt>
                <c:pt idx="134">
                  <c:v>44995</c:v>
                </c:pt>
                <c:pt idx="135">
                  <c:v>44988</c:v>
                </c:pt>
                <c:pt idx="136">
                  <c:v>44981</c:v>
                </c:pt>
                <c:pt idx="137">
                  <c:v>44974</c:v>
                </c:pt>
                <c:pt idx="138">
                  <c:v>44967</c:v>
                </c:pt>
                <c:pt idx="139">
                  <c:v>44960</c:v>
                </c:pt>
                <c:pt idx="140">
                  <c:v>44953</c:v>
                </c:pt>
                <c:pt idx="141">
                  <c:v>44946</c:v>
                </c:pt>
                <c:pt idx="142">
                  <c:v>44939</c:v>
                </c:pt>
                <c:pt idx="143">
                  <c:v>44932</c:v>
                </c:pt>
                <c:pt idx="144">
                  <c:v>44925</c:v>
                </c:pt>
                <c:pt idx="145">
                  <c:v>44918</c:v>
                </c:pt>
                <c:pt idx="146">
                  <c:v>44911</c:v>
                </c:pt>
                <c:pt idx="147">
                  <c:v>44904</c:v>
                </c:pt>
                <c:pt idx="148">
                  <c:v>44897</c:v>
                </c:pt>
                <c:pt idx="149">
                  <c:v>44890</c:v>
                </c:pt>
                <c:pt idx="150">
                  <c:v>44883</c:v>
                </c:pt>
                <c:pt idx="151">
                  <c:v>44876</c:v>
                </c:pt>
                <c:pt idx="152">
                  <c:v>44869</c:v>
                </c:pt>
                <c:pt idx="153">
                  <c:v>44862</c:v>
                </c:pt>
                <c:pt idx="154">
                  <c:v>44855</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 Female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Assumptions!$C$62</c:f>
              <c:strCache>
                <c:ptCount val="1"/>
                <c:pt idx="0">
                  <c:v>Male</c:v>
                </c:pt>
              </c:strCache>
            </c:strRef>
          </c:tx>
          <c:spPr>
            <a:solidFill>
              <a:schemeClr val="accent1"/>
            </a:solidFill>
            <a:ln>
              <a:noFill/>
            </a:ln>
            <a:effectLst/>
          </c:spPr>
          <c:invertIfNegative val="0"/>
          <c:cat>
            <c:strRef>
              <c:f>Assumptions!$B$63:$B$66</c:f>
              <c:strCache>
                <c:ptCount val="4"/>
                <c:pt idx="0">
                  <c:v>Board</c:v>
                </c:pt>
                <c:pt idx="1">
                  <c:v>Management</c:v>
                </c:pt>
                <c:pt idx="2">
                  <c:v>Coordination</c:v>
                </c:pt>
                <c:pt idx="3">
                  <c:v>Non-leadership</c:v>
                </c:pt>
              </c:strCache>
            </c:strRef>
          </c:cat>
          <c:val>
            <c:numRef>
              <c:f>Assumptions!$C$63:$C$66</c:f>
              <c:numCache>
                <c:formatCode>General</c:formatCode>
                <c:ptCount val="4"/>
                <c:pt idx="0">
                  <c:v>3</c:v>
                </c:pt>
                <c:pt idx="1">
                  <c:v>7</c:v>
                </c:pt>
                <c:pt idx="2">
                  <c:v>7</c:v>
                </c:pt>
                <c:pt idx="3">
                  <c:v>14</c:v>
                </c:pt>
              </c:numCache>
            </c:numRef>
          </c:val>
          <c:extLst>
            <c:ext xmlns:c16="http://schemas.microsoft.com/office/drawing/2014/chart" uri="{C3380CC4-5D6E-409C-BE32-E72D297353CC}">
              <c16:uniqueId val="{E281CD21-EF73-4D81-8F78-3BE0D1377A37}"/>
            </c:ext>
          </c:extLst>
        </c:ser>
        <c:ser>
          <c:idx val="1"/>
          <c:order val="1"/>
          <c:tx>
            <c:strRef>
              <c:f>Assumptions!$D$62</c:f>
              <c:strCache>
                <c:ptCount val="1"/>
                <c:pt idx="0">
                  <c:v>Female</c:v>
                </c:pt>
              </c:strCache>
            </c:strRef>
          </c:tx>
          <c:spPr>
            <a:solidFill>
              <a:schemeClr val="accent2"/>
            </a:solidFill>
            <a:ln>
              <a:noFill/>
            </a:ln>
            <a:effectLst/>
          </c:spPr>
          <c:invertIfNegative val="0"/>
          <c:cat>
            <c:strRef>
              <c:f>Assumptions!$B$63:$B$66</c:f>
              <c:strCache>
                <c:ptCount val="4"/>
                <c:pt idx="0">
                  <c:v>Board</c:v>
                </c:pt>
                <c:pt idx="1">
                  <c:v>Management</c:v>
                </c:pt>
                <c:pt idx="2">
                  <c:v>Coordination</c:v>
                </c:pt>
                <c:pt idx="3">
                  <c:v>Non-leadership</c:v>
                </c:pt>
              </c:strCache>
            </c:strRef>
          </c:cat>
          <c:val>
            <c:numRef>
              <c:f>Assumptions!$D$63:$D$66</c:f>
              <c:numCache>
                <c:formatCode>General</c:formatCode>
                <c:ptCount val="4"/>
                <c:pt idx="0">
                  <c:v>0</c:v>
                </c:pt>
                <c:pt idx="1">
                  <c:v>5</c:v>
                </c:pt>
                <c:pt idx="2">
                  <c:v>7</c:v>
                </c:pt>
                <c:pt idx="3">
                  <c:v>44</c:v>
                </c:pt>
              </c:numCache>
            </c:numRef>
          </c:val>
          <c:extLst>
            <c:ext xmlns:c16="http://schemas.microsoft.com/office/drawing/2014/chart" uri="{C3380CC4-5D6E-409C-BE32-E72D297353CC}">
              <c16:uniqueId val="{83584EE0-9D48-4703-B6D8-2D7A81793460}"/>
            </c:ext>
          </c:extLst>
        </c:ser>
        <c:dLbls>
          <c:showLegendKey val="0"/>
          <c:showVal val="0"/>
          <c:showCatName val="0"/>
          <c:showSerName val="0"/>
          <c:showPercent val="0"/>
          <c:showBubbleSize val="0"/>
        </c:dLbls>
        <c:gapWidth val="140"/>
        <c:overlap val="-30"/>
        <c:axId val="1646329864"/>
        <c:axId val="1646331912"/>
      </c:barChart>
      <c:catAx>
        <c:axId val="1646329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31912"/>
        <c:crosses val="autoZero"/>
        <c:auto val="1"/>
        <c:lblAlgn val="ctr"/>
        <c:lblOffset val="100"/>
        <c:noMultiLvlLbl val="0"/>
      </c:catAx>
      <c:valAx>
        <c:axId val="1646331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29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Assumptions!$B$82</c:f>
              <c:strCache>
                <c:ptCount val="1"/>
                <c:pt idx="0">
                  <c:v>Board</c:v>
                </c:pt>
              </c:strCache>
            </c:strRef>
          </c:tx>
          <c:spPr>
            <a:solidFill>
              <a:schemeClr val="accent1"/>
            </a:solidFill>
            <a:ln>
              <a:noFill/>
            </a:ln>
            <a:effectLst/>
          </c:spPr>
          <c:invertIfNegative val="0"/>
          <c:cat>
            <c:strRef>
              <c:f>Assumptions!$C$81:$E$81</c:f>
              <c:strCache>
                <c:ptCount val="3"/>
                <c:pt idx="0">
                  <c:v>Under 30</c:v>
                </c:pt>
                <c:pt idx="1">
                  <c:v>30-50</c:v>
                </c:pt>
                <c:pt idx="2">
                  <c:v>Over 50</c:v>
                </c:pt>
              </c:strCache>
            </c:strRef>
          </c:cat>
          <c:val>
            <c:numRef>
              <c:f>Assumptions!$C$82:$E$82</c:f>
              <c:numCache>
                <c:formatCode>General</c:formatCode>
                <c:ptCount val="3"/>
                <c:pt idx="0">
                  <c:v>0</c:v>
                </c:pt>
                <c:pt idx="1">
                  <c:v>1</c:v>
                </c:pt>
                <c:pt idx="2">
                  <c:v>2</c:v>
                </c:pt>
              </c:numCache>
            </c:numRef>
          </c:val>
          <c:extLst>
            <c:ext xmlns:c16="http://schemas.microsoft.com/office/drawing/2014/chart" uri="{C3380CC4-5D6E-409C-BE32-E72D297353CC}">
              <c16:uniqueId val="{7E6B2DA8-C752-44E0-B4D4-9E66288C62EA}"/>
            </c:ext>
          </c:extLst>
        </c:ser>
        <c:ser>
          <c:idx val="1"/>
          <c:order val="1"/>
          <c:tx>
            <c:strRef>
              <c:f>Assumptions!$B$83</c:f>
              <c:strCache>
                <c:ptCount val="1"/>
                <c:pt idx="0">
                  <c:v>Management</c:v>
                </c:pt>
              </c:strCache>
            </c:strRef>
          </c:tx>
          <c:spPr>
            <a:solidFill>
              <a:schemeClr val="accent2"/>
            </a:solidFill>
            <a:ln>
              <a:noFill/>
            </a:ln>
            <a:effectLst/>
          </c:spPr>
          <c:invertIfNegative val="0"/>
          <c:cat>
            <c:strRef>
              <c:f>Assumptions!$C$81:$E$81</c:f>
              <c:strCache>
                <c:ptCount val="3"/>
                <c:pt idx="0">
                  <c:v>Under 30</c:v>
                </c:pt>
                <c:pt idx="1">
                  <c:v>30-50</c:v>
                </c:pt>
                <c:pt idx="2">
                  <c:v>Over 50</c:v>
                </c:pt>
              </c:strCache>
            </c:strRef>
          </c:cat>
          <c:val>
            <c:numRef>
              <c:f>Assumptions!$C$83:$E$83</c:f>
              <c:numCache>
                <c:formatCode>General</c:formatCode>
                <c:ptCount val="3"/>
                <c:pt idx="0">
                  <c:v>0</c:v>
                </c:pt>
                <c:pt idx="1">
                  <c:v>11</c:v>
                </c:pt>
                <c:pt idx="2">
                  <c:v>1</c:v>
                </c:pt>
              </c:numCache>
            </c:numRef>
          </c:val>
          <c:extLst>
            <c:ext xmlns:c16="http://schemas.microsoft.com/office/drawing/2014/chart" uri="{C3380CC4-5D6E-409C-BE32-E72D297353CC}">
              <c16:uniqueId val="{DA8A8F27-5CCF-487E-BD4C-29B4BDD286CE}"/>
            </c:ext>
          </c:extLst>
        </c:ser>
        <c:ser>
          <c:idx val="2"/>
          <c:order val="2"/>
          <c:tx>
            <c:strRef>
              <c:f>Assumptions!$B$84</c:f>
              <c:strCache>
                <c:ptCount val="1"/>
                <c:pt idx="0">
                  <c:v>Coordination</c:v>
                </c:pt>
              </c:strCache>
            </c:strRef>
          </c:tx>
          <c:spPr>
            <a:solidFill>
              <a:schemeClr val="accent3"/>
            </a:solidFill>
            <a:ln>
              <a:noFill/>
            </a:ln>
            <a:effectLst/>
          </c:spPr>
          <c:invertIfNegative val="0"/>
          <c:cat>
            <c:strRef>
              <c:f>Assumptions!$C$81:$E$81</c:f>
              <c:strCache>
                <c:ptCount val="3"/>
                <c:pt idx="0">
                  <c:v>Under 30</c:v>
                </c:pt>
                <c:pt idx="1">
                  <c:v>30-50</c:v>
                </c:pt>
                <c:pt idx="2">
                  <c:v>Over 50</c:v>
                </c:pt>
              </c:strCache>
            </c:strRef>
          </c:cat>
          <c:val>
            <c:numRef>
              <c:f>Assumptions!$C$84:$E$84</c:f>
              <c:numCache>
                <c:formatCode>General</c:formatCode>
                <c:ptCount val="3"/>
                <c:pt idx="0">
                  <c:v>1</c:v>
                </c:pt>
                <c:pt idx="1">
                  <c:v>12</c:v>
                </c:pt>
                <c:pt idx="2">
                  <c:v>1</c:v>
                </c:pt>
              </c:numCache>
            </c:numRef>
          </c:val>
          <c:extLst>
            <c:ext xmlns:c16="http://schemas.microsoft.com/office/drawing/2014/chart" uri="{C3380CC4-5D6E-409C-BE32-E72D297353CC}">
              <c16:uniqueId val="{835920DA-B380-4AD6-9A09-1B585FB22070}"/>
            </c:ext>
          </c:extLst>
        </c:ser>
        <c:ser>
          <c:idx val="3"/>
          <c:order val="3"/>
          <c:tx>
            <c:strRef>
              <c:f>Assumptions!$B$85</c:f>
              <c:strCache>
                <c:ptCount val="1"/>
                <c:pt idx="0">
                  <c:v>Non-leadership</c:v>
                </c:pt>
              </c:strCache>
            </c:strRef>
          </c:tx>
          <c:spPr>
            <a:solidFill>
              <a:schemeClr val="accent4"/>
            </a:solidFill>
            <a:ln>
              <a:noFill/>
            </a:ln>
            <a:effectLst/>
          </c:spPr>
          <c:invertIfNegative val="0"/>
          <c:cat>
            <c:strRef>
              <c:f>Assumptions!$C$81:$E$81</c:f>
              <c:strCache>
                <c:ptCount val="3"/>
                <c:pt idx="0">
                  <c:v>Under 30</c:v>
                </c:pt>
                <c:pt idx="1">
                  <c:v>30-50</c:v>
                </c:pt>
                <c:pt idx="2">
                  <c:v>Over 50</c:v>
                </c:pt>
              </c:strCache>
            </c:strRef>
          </c:cat>
          <c:val>
            <c:numRef>
              <c:f>Assumptions!$C$85:$E$85</c:f>
              <c:numCache>
                <c:formatCode>General</c:formatCode>
                <c:ptCount val="3"/>
                <c:pt idx="0">
                  <c:v>32</c:v>
                </c:pt>
                <c:pt idx="1">
                  <c:v>26</c:v>
                </c:pt>
                <c:pt idx="2">
                  <c:v>0</c:v>
                </c:pt>
              </c:numCache>
            </c:numRef>
          </c:val>
          <c:extLst>
            <c:ext xmlns:c16="http://schemas.microsoft.com/office/drawing/2014/chart" uri="{C3380CC4-5D6E-409C-BE32-E72D297353CC}">
              <c16:uniqueId val="{115155BC-4774-4323-8D59-34EEAEC32D04}"/>
            </c:ext>
          </c:extLst>
        </c:ser>
        <c:dLbls>
          <c:showLegendKey val="0"/>
          <c:showVal val="0"/>
          <c:showCatName val="0"/>
          <c:showSerName val="0"/>
          <c:showPercent val="0"/>
          <c:showBubbleSize val="0"/>
        </c:dLbls>
        <c:gapWidth val="180"/>
        <c:overlap val="-30"/>
        <c:axId val="1590160904"/>
        <c:axId val="117401607"/>
      </c:barChart>
      <c:catAx>
        <c:axId val="1590160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01607"/>
        <c:crosses val="autoZero"/>
        <c:auto val="1"/>
        <c:lblAlgn val="ctr"/>
        <c:lblOffset val="100"/>
        <c:noMultiLvlLbl val="0"/>
      </c:catAx>
      <c:valAx>
        <c:axId val="117401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160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0.11163883332901117</c:v>
                </c:pt>
                <c:pt idx="1">
                  <c:v>0.10047494999611006</c:v>
                </c:pt>
                <c:pt idx="2">
                  <c:v>0.10278022277807822</c:v>
                </c:pt>
                <c:pt idx="3">
                  <c:v>0.10514356839855112</c:v>
                </c:pt>
                <c:pt idx="4">
                  <c:v>0.10462389839744636</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3.0435493788722328E-2</c:v>
                </c:pt>
                <c:pt idx="1">
                  <c:v>3.8729429094799137E-2</c:v>
                </c:pt>
                <c:pt idx="2">
                  <c:v>4.727968252684283E-2</c:v>
                </c:pt>
                <c:pt idx="3">
                  <c:v>4.7343985971752885E-2</c:v>
                </c:pt>
                <c:pt idx="4">
                  <c:v>4.8696059348392898E-2</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COGS Margin</c:v>
                </c:pt>
                <c:pt idx="1">
                  <c:v>Capex Intensity</c:v>
                </c:pt>
                <c:pt idx="2">
                  <c:v>SG&amp;A Margin</c:v>
                </c:pt>
                <c:pt idx="3">
                  <c:v>EBITDA Exit</c:v>
                </c:pt>
                <c:pt idx="4">
                  <c:v>Revenue Exit</c:v>
                </c:pt>
                <c:pt idx="5">
                  <c:v>WACC</c:v>
                </c:pt>
                <c:pt idx="6">
                  <c:v>Terminal g</c:v>
                </c:pt>
              </c:strCache>
            </c:strRef>
          </c:cat>
          <c:val>
            <c:numRef>
              <c:f>Sensitivity!$AJ$28:$AJ$34</c:f>
              <c:numCache>
                <c:formatCode>General</c:formatCode>
                <c:ptCount val="7"/>
                <c:pt idx="0">
                  <c:v>-2.9999999999999805E-2</c:v>
                </c:pt>
                <c:pt idx="1">
                  <c:v>-5.9999999999999609E-2</c:v>
                </c:pt>
                <c:pt idx="2">
                  <c:v>-0.31999999999999984</c:v>
                </c:pt>
                <c:pt idx="3">
                  <c:v>-1.1099999999999999</c:v>
                </c:pt>
                <c:pt idx="4">
                  <c:v>-1.27</c:v>
                </c:pt>
                <c:pt idx="5">
                  <c:v>-1.3499999999999999</c:v>
                </c:pt>
                <c:pt idx="6">
                  <c:v>-3.3</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COGS Margin</c:v>
                </c:pt>
                <c:pt idx="1">
                  <c:v>Capex Intensity</c:v>
                </c:pt>
                <c:pt idx="2">
                  <c:v>SG&amp;A Margin</c:v>
                </c:pt>
                <c:pt idx="3">
                  <c:v>EBITDA Exit</c:v>
                </c:pt>
                <c:pt idx="4">
                  <c:v>Revenue Exit</c:v>
                </c:pt>
                <c:pt idx="5">
                  <c:v>WACC</c:v>
                </c:pt>
                <c:pt idx="6">
                  <c:v>Terminal g</c:v>
                </c:pt>
              </c:strCache>
            </c:strRef>
          </c:cat>
          <c:val>
            <c:numRef>
              <c:f>Sensitivity!$AK$28:$AK$34</c:f>
              <c:numCache>
                <c:formatCode>General</c:formatCode>
                <c:ptCount val="7"/>
                <c:pt idx="0">
                  <c:v>2.0000000000000018E-2</c:v>
                </c:pt>
                <c:pt idx="1">
                  <c:v>6.0000000000000053E-2</c:v>
                </c:pt>
                <c:pt idx="2">
                  <c:v>0.32000000000000028</c:v>
                </c:pt>
                <c:pt idx="3">
                  <c:v>0.60000000000000009</c:v>
                </c:pt>
                <c:pt idx="4">
                  <c:v>1.2599999999999998</c:v>
                </c:pt>
                <c:pt idx="5">
                  <c:v>1.42</c:v>
                </c:pt>
                <c:pt idx="6">
                  <c:v>-3.3</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7.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0.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9.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1.xml"/><Relationship Id="rId9" Type="http://schemas.openxmlformats.org/officeDocument/2006/relationships/hyperlink" Target="#Industry!A1"/><Relationship Id="rId14" Type="http://schemas.openxmlformats.org/officeDocument/2006/relationships/hyperlink" Target="#WACC!A1"/></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3.xml"/><Relationship Id="rId16" Type="http://schemas.openxmlformats.org/officeDocument/2006/relationships/hyperlink" Target="#BS!A1"/><Relationship Id="rId1" Type="http://schemas.openxmlformats.org/officeDocument/2006/relationships/chart" Target="../charts/chart12.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6.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7.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4.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5.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6.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7.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309013</xdr:colOff>
      <xdr:row>5</xdr:row>
      <xdr:rowOff>175421</xdr:rowOff>
    </xdr:from>
    <xdr:to>
      <xdr:col>5</xdr:col>
      <xdr:colOff>400050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9000000}"/>
            </a:ext>
          </a:extLst>
        </xdr:cNvPr>
        <xdr:cNvSpPr/>
      </xdr:nvSpPr>
      <xdr:spPr>
        <a:xfrm>
          <a:off x="30901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Downside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C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9525</xdr:colOff>
      <xdr:row>0</xdr:row>
      <xdr:rowOff>9525</xdr:rowOff>
    </xdr:from>
    <xdr:to>
      <xdr:col>62</xdr:col>
      <xdr:colOff>599086</xdr:colOff>
      <xdr:row>4</xdr:row>
      <xdr:rowOff>9525</xdr:rowOff>
    </xdr:to>
    <xdr:sp macro="" textlink="">
      <xdr:nvSpPr>
        <xdr:cNvPr id="58" name="Rectangle 57">
          <a:extLst>
            <a:ext uri="{FF2B5EF4-FFF2-40B4-BE49-F238E27FC236}">
              <a16:creationId xmlns:a16="http://schemas.microsoft.com/office/drawing/2014/main" id="{AF733DE3-35E1-4EEC-B834-C1DBBEAA33BF}"/>
            </a:ext>
            <a:ext uri="{147F2762-F138-4A5C-976F-8EAC2B608ADB}">
              <a16:predDERef xmlns:a16="http://schemas.microsoft.com/office/drawing/2014/main" pred="{00000000-0008-0000-0000-000013000000}"/>
            </a:ext>
          </a:extLst>
        </xdr:cNvPr>
        <xdr:cNvSpPr/>
      </xdr:nvSpPr>
      <xdr:spPr>
        <a:xfrm>
          <a:off x="9525" y="9525"/>
          <a:ext cx="43366336"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416496</xdr:colOff>
      <xdr:row>7</xdr:row>
      <xdr:rowOff>89515</xdr:rowOff>
    </xdr:from>
    <xdr:to>
      <xdr:col>4</xdr:col>
      <xdr:colOff>389164</xdr:colOff>
      <xdr:row>13</xdr:row>
      <xdr:rowOff>79990</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416496" y="1286944"/>
          <a:ext cx="2884597"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-30.5%</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2"/>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4"/>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5"/>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6"/>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7"/>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8"/>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9"/>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0"/>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1"/>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2"/>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3"/>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4"/>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5"/>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6"/>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7"/>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8"/>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91965</xdr:colOff>
      <xdr:row>11</xdr:row>
      <xdr:rowOff>99154</xdr:rowOff>
    </xdr:from>
    <xdr:to>
      <xdr:col>18</xdr:col>
      <xdr:colOff>644134</xdr:colOff>
      <xdr:row>21</xdr:row>
      <xdr:rowOff>118242</xdr:rowOff>
    </xdr:to>
    <xdr:pic>
      <xdr:nvPicPr>
        <xdr:cNvPr id="2" name="Picture 1">
          <a:extLst>
            <a:ext uri="{FF2B5EF4-FFF2-40B4-BE49-F238E27FC236}">
              <a16:creationId xmlns:a16="http://schemas.microsoft.com/office/drawing/2014/main" id="{D018471F-603E-33D5-8A81-B03DCB53E9B2}"/>
            </a:ext>
          </a:extLst>
        </xdr:cNvPr>
        <xdr:cNvPicPr>
          <a:picLocks noChangeAspect="1"/>
        </xdr:cNvPicPr>
      </xdr:nvPicPr>
      <xdr:blipFill>
        <a:blip xmlns:r="http://schemas.openxmlformats.org/officeDocument/2006/relationships" r:embed="rId19"/>
        <a:stretch>
          <a:fillRect/>
        </a:stretch>
      </xdr:blipFill>
      <xdr:spPr>
        <a:xfrm>
          <a:off x="13315293" y="1761102"/>
          <a:ext cx="4099410" cy="19240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43</xdr:row>
      <xdr:rowOff>47625</xdr:rowOff>
    </xdr:from>
    <xdr:to>
      <xdr:col>50</xdr:col>
      <xdr:colOff>578303</xdr:colOff>
      <xdr:row>61</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39</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333375</xdr:colOff>
      <xdr:row>5</xdr:row>
      <xdr:rowOff>104775</xdr:rowOff>
    </xdr:from>
    <xdr:to>
      <xdr:col>24</xdr:col>
      <xdr:colOff>361950</xdr:colOff>
      <xdr:row>31</xdr:row>
      <xdr:rowOff>104775</xdr:rowOff>
    </xdr:to>
    <xdr:pic>
      <xdr:nvPicPr>
        <xdr:cNvPr id="6" name="Picture 1">
          <a:extLst>
            <a:ext uri="{FF2B5EF4-FFF2-40B4-BE49-F238E27FC236}">
              <a16:creationId xmlns:a16="http://schemas.microsoft.com/office/drawing/2014/main" id="{D8618394-93B0-4855-B462-5CA29A973BB0}"/>
            </a:ext>
            <a:ext uri="{147F2762-F138-4A5C-976F-8EAC2B608ADB}">
              <a16:predDERef xmlns:a16="http://schemas.microsoft.com/office/drawing/2014/main" pred="{0DAF0D06-BADF-5295-40EA-F9D7EC53F19B}"/>
            </a:ext>
          </a:extLst>
        </xdr:cNvPr>
        <xdr:cNvPicPr>
          <a:picLocks noChangeAspect="1"/>
        </xdr:cNvPicPr>
      </xdr:nvPicPr>
      <xdr:blipFill>
        <a:blip xmlns:r="http://schemas.openxmlformats.org/officeDocument/2006/relationships" r:embed="rId1"/>
        <a:stretch>
          <a:fillRect/>
        </a:stretch>
      </xdr:blipFill>
      <xdr:spPr>
        <a:xfrm>
          <a:off x="14497050" y="1009650"/>
          <a:ext cx="7267575" cy="4772025"/>
        </a:xfrm>
        <a:prstGeom prst="rect">
          <a:avLst/>
        </a:prstGeom>
      </xdr:spPr>
    </xdr:pic>
    <xdr:clientData/>
  </xdr:twoCellAnchor>
  <xdr:twoCellAnchor>
    <xdr:from>
      <xdr:col>5</xdr:col>
      <xdr:colOff>28575</xdr:colOff>
      <xdr:row>59</xdr:row>
      <xdr:rowOff>95250</xdr:rowOff>
    </xdr:from>
    <xdr:to>
      <xdr:col>9</xdr:col>
      <xdr:colOff>438150</xdr:colOff>
      <xdr:row>75</xdr:row>
      <xdr:rowOff>19050</xdr:rowOff>
    </xdr:to>
    <xdr:graphicFrame macro="">
      <xdr:nvGraphicFramePr>
        <xdr:cNvPr id="4" name="Chart 3" descr="Chart type: Clustered Column. 'Male', 'Female' by 'Job Category'&#10;&#10;Description automatically generated">
          <a:extLst>
            <a:ext uri="{FF2B5EF4-FFF2-40B4-BE49-F238E27FC236}">
              <a16:creationId xmlns:a16="http://schemas.microsoft.com/office/drawing/2014/main" id="{8C941678-D133-A562-1881-ACB38B04F57C}"/>
            </a:ext>
            <a:ext uri="{147F2762-F138-4A5C-976F-8EAC2B608ADB}">
              <a16:predDERef xmlns:a16="http://schemas.microsoft.com/office/drawing/2014/main" pred="{D8618394-93B0-4855-B462-5CA29A973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762000</xdr:colOff>
      <xdr:row>59</xdr:row>
      <xdr:rowOff>95250</xdr:rowOff>
    </xdr:from>
    <xdr:to>
      <xdr:col>15</xdr:col>
      <xdr:colOff>180975</xdr:colOff>
      <xdr:row>75</xdr:row>
      <xdr:rowOff>19050</xdr:rowOff>
    </xdr:to>
    <xdr:graphicFrame macro="">
      <xdr:nvGraphicFramePr>
        <xdr:cNvPr id="5" name="Chart 4" descr="Chart type: Clustered Column. Multiple values by 'Job Category'&#10;&#10;Description automatically generated">
          <a:extLst>
            <a:ext uri="{FF2B5EF4-FFF2-40B4-BE49-F238E27FC236}">
              <a16:creationId xmlns:a16="http://schemas.microsoft.com/office/drawing/2014/main" id="{B705E55B-C6EB-83BB-998F-582205BEAF24}"/>
            </a:ext>
            <a:ext uri="{147F2762-F138-4A5C-976F-8EAC2B608ADB}">
              <a16:predDERef xmlns:a16="http://schemas.microsoft.com/office/drawing/2014/main" pred="{8C941678-D133-A562-1881-ACB38B04F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18"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17"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16"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15"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14"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13"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12"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11"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10"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9"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8"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7"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552450</xdr:colOff>
      <xdr:row>11</xdr:row>
      <xdr:rowOff>38100</xdr:rowOff>
    </xdr:from>
    <xdr:to>
      <xdr:col>14</xdr:col>
      <xdr:colOff>304800</xdr:colOff>
      <xdr:row>38</xdr:row>
      <xdr:rowOff>95250</xdr:rowOff>
    </xdr:to>
    <xdr:pic>
      <xdr:nvPicPr>
        <xdr:cNvPr id="3" name="Picture 2">
          <a:extLst>
            <a:ext uri="{FF2B5EF4-FFF2-40B4-BE49-F238E27FC236}">
              <a16:creationId xmlns:a16="http://schemas.microsoft.com/office/drawing/2014/main" id="{3B310A5E-472D-07AC-BF86-5465812026C4}"/>
            </a:ext>
            <a:ext uri="{147F2762-F138-4A5C-976F-8EAC2B608ADB}">
              <a16:predDERef xmlns:a16="http://schemas.microsoft.com/office/drawing/2014/main" pred="{6CCA1591-D2F2-495C-876C-5045CAD5DBEF}"/>
            </a:ext>
          </a:extLst>
        </xdr:cNvPr>
        <xdr:cNvPicPr>
          <a:picLocks noChangeAspect="1"/>
        </xdr:cNvPicPr>
      </xdr:nvPicPr>
      <xdr:blipFill>
        <a:blip xmlns:r="http://schemas.openxmlformats.org/officeDocument/2006/relationships" r:embed="rId19"/>
        <a:stretch>
          <a:fillRect/>
        </a:stretch>
      </xdr:blipFill>
      <xdr:spPr>
        <a:xfrm>
          <a:off x="714375" y="1847850"/>
          <a:ext cx="8667750" cy="52006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63</xdr:col>
      <xdr:colOff>1732</xdr:colOff>
      <xdr:row>4</xdr:row>
      <xdr:rowOff>0</xdr:rowOff>
    </xdr:to>
    <xdr:sp macro="" textlink="">
      <xdr:nvSpPr>
        <xdr:cNvPr id="3" name="Rectangle 2">
          <a:extLst>
            <a:ext uri="{FF2B5EF4-FFF2-40B4-BE49-F238E27FC236}">
              <a16:creationId xmlns:a16="http://schemas.microsoft.com/office/drawing/2014/main" id="{608EADB1-FC27-44C5-99AB-A7842103E0AF}"/>
            </a:ext>
          </a:extLst>
        </xdr:cNvPr>
        <xdr:cNvSpPr/>
      </xdr:nvSpPr>
      <xdr:spPr>
        <a:xfrm>
          <a:off x="0" y="0"/>
          <a:ext cx="43140457"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6" name="TextBox 5">
          <a:hlinkClick xmlns:r="http://schemas.openxmlformats.org/officeDocument/2006/relationships" r:id="rId1"/>
          <a:extLst>
            <a:ext uri="{FF2B5EF4-FFF2-40B4-BE49-F238E27FC236}">
              <a16:creationId xmlns:a16="http://schemas.microsoft.com/office/drawing/2014/main" id="{AE5264F9-F305-4123-96C2-12D479D285CA}"/>
            </a:ext>
          </a:extLst>
        </xdr:cNvPr>
        <xdr:cNvSpPr txBox="1"/>
      </xdr:nvSpPr>
      <xdr:spPr>
        <a:xfrm>
          <a:off x="12524772" y="210379"/>
          <a:ext cx="9496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 name="Picture 6">
          <a:extLst>
            <a:ext uri="{FF2B5EF4-FFF2-40B4-BE49-F238E27FC236}">
              <a16:creationId xmlns:a16="http://schemas.microsoft.com/office/drawing/2014/main" id="{493C7847-376B-4B89-85FD-BB16E0E5734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8" name="Straight Connector 7">
          <a:extLst>
            <a:ext uri="{FF2B5EF4-FFF2-40B4-BE49-F238E27FC236}">
              <a16:creationId xmlns:a16="http://schemas.microsoft.com/office/drawing/2014/main" id="{42B08A1A-8BE4-47EC-9EE4-8D4CE5A8F09C}"/>
            </a:ext>
          </a:extLst>
        </xdr:cNvPr>
        <xdr:cNvCxnSpPr/>
      </xdr:nvCxnSpPr>
      <xdr:spPr>
        <a:xfrm>
          <a:off x="1444759"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5B09945B-E800-4C41-8493-49864528A85B}"/>
            </a:ext>
          </a:extLst>
        </xdr:cNvPr>
        <xdr:cNvSpPr txBox="1"/>
      </xdr:nvSpPr>
      <xdr:spPr>
        <a:xfrm>
          <a:off x="3948757" y="210379"/>
          <a:ext cx="94636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10" name="TextBox 9">
          <a:hlinkClick xmlns:r="http://schemas.openxmlformats.org/officeDocument/2006/relationships" r:id="rId4"/>
          <a:extLst>
            <a:ext uri="{FF2B5EF4-FFF2-40B4-BE49-F238E27FC236}">
              <a16:creationId xmlns:a16="http://schemas.microsoft.com/office/drawing/2014/main" id="{D8431748-3CE6-4CB6-9F59-0F95EB2EDA65}"/>
            </a:ext>
          </a:extLst>
        </xdr:cNvPr>
        <xdr:cNvSpPr txBox="1"/>
      </xdr:nvSpPr>
      <xdr:spPr>
        <a:xfrm>
          <a:off x="4797846" y="210379"/>
          <a:ext cx="9557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151FCA9B-05AE-496F-821E-AFDED3830B39}"/>
            </a:ext>
          </a:extLst>
        </xdr:cNvPr>
        <xdr:cNvSpPr txBox="1"/>
      </xdr:nvSpPr>
      <xdr:spPr>
        <a:xfrm>
          <a:off x="5657634" y="210379"/>
          <a:ext cx="9496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12" name="TextBox 11">
          <a:hlinkClick xmlns:r="http://schemas.openxmlformats.org/officeDocument/2006/relationships" r:id="rId6"/>
          <a:extLst>
            <a:ext uri="{FF2B5EF4-FFF2-40B4-BE49-F238E27FC236}">
              <a16:creationId xmlns:a16="http://schemas.microsoft.com/office/drawing/2014/main" id="{177B329C-9BF3-40D6-A88B-81A24211B4FD}"/>
            </a:ext>
          </a:extLst>
        </xdr:cNvPr>
        <xdr:cNvSpPr txBox="1"/>
      </xdr:nvSpPr>
      <xdr:spPr>
        <a:xfrm>
          <a:off x="6510003" y="210379"/>
          <a:ext cx="9570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13" name="TextBox 12">
          <a:hlinkClick xmlns:r="http://schemas.openxmlformats.org/officeDocument/2006/relationships" r:id="rId7"/>
          <a:extLst>
            <a:ext uri="{FF2B5EF4-FFF2-40B4-BE49-F238E27FC236}">
              <a16:creationId xmlns:a16="http://schemas.microsoft.com/office/drawing/2014/main" id="{563B36A9-D9ED-411E-B644-7C962000D7BB}"/>
            </a:ext>
          </a:extLst>
        </xdr:cNvPr>
        <xdr:cNvSpPr txBox="1"/>
      </xdr:nvSpPr>
      <xdr:spPr>
        <a:xfrm>
          <a:off x="7369763" y="210379"/>
          <a:ext cx="96519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7521F1C7-0043-47FD-8135-7D25C9FA8C91}"/>
            </a:ext>
          </a:extLst>
        </xdr:cNvPr>
        <xdr:cNvSpPr txBox="1"/>
      </xdr:nvSpPr>
      <xdr:spPr>
        <a:xfrm>
          <a:off x="8237686"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53761A67-CE74-4037-9F73-B755177D7549}"/>
            </a:ext>
          </a:extLst>
        </xdr:cNvPr>
        <xdr:cNvSpPr txBox="1"/>
      </xdr:nvSpPr>
      <xdr:spPr>
        <a:xfrm>
          <a:off x="9096138"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16" name="TextBox 15">
          <a:hlinkClick xmlns:r="http://schemas.openxmlformats.org/officeDocument/2006/relationships" r:id="rId10"/>
          <a:extLst>
            <a:ext uri="{FF2B5EF4-FFF2-40B4-BE49-F238E27FC236}">
              <a16:creationId xmlns:a16="http://schemas.microsoft.com/office/drawing/2014/main" id="{C21B3D25-068B-4FD0-9559-450A953839EA}"/>
            </a:ext>
          </a:extLst>
        </xdr:cNvPr>
        <xdr:cNvSpPr txBox="1"/>
      </xdr:nvSpPr>
      <xdr:spPr>
        <a:xfrm>
          <a:off x="9952909" y="210379"/>
          <a:ext cx="954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17" name="TextBox 16">
          <a:hlinkClick xmlns:r="http://schemas.openxmlformats.org/officeDocument/2006/relationships" r:id="rId11"/>
          <a:extLst>
            <a:ext uri="{FF2B5EF4-FFF2-40B4-BE49-F238E27FC236}">
              <a16:creationId xmlns:a16="http://schemas.microsoft.com/office/drawing/2014/main" id="{096FF46E-8CA7-418E-B596-C5B2BD0F5F5A}"/>
            </a:ext>
          </a:extLst>
        </xdr:cNvPr>
        <xdr:cNvSpPr txBox="1"/>
      </xdr:nvSpPr>
      <xdr:spPr>
        <a:xfrm>
          <a:off x="10810457" y="210379"/>
          <a:ext cx="955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18" name="TextBox 17">
          <a:hlinkClick xmlns:r="http://schemas.openxmlformats.org/officeDocument/2006/relationships" r:id="rId12"/>
          <a:extLst>
            <a:ext uri="{FF2B5EF4-FFF2-40B4-BE49-F238E27FC236}">
              <a16:creationId xmlns:a16="http://schemas.microsoft.com/office/drawing/2014/main" id="{1579A277-9005-4189-8D6F-EAFC7DA2D6F9}"/>
            </a:ext>
          </a:extLst>
        </xdr:cNvPr>
        <xdr:cNvSpPr txBox="1"/>
      </xdr:nvSpPr>
      <xdr:spPr>
        <a:xfrm>
          <a:off x="11668359" y="210379"/>
          <a:ext cx="9536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19" name="TextBox 18">
          <a:hlinkClick xmlns:r="http://schemas.openxmlformats.org/officeDocument/2006/relationships" r:id="rId13"/>
          <a:extLst>
            <a:ext uri="{FF2B5EF4-FFF2-40B4-BE49-F238E27FC236}">
              <a16:creationId xmlns:a16="http://schemas.microsoft.com/office/drawing/2014/main" id="{73816CE6-784E-4D2D-8BF0-2E2943497953}"/>
            </a:ext>
          </a:extLst>
        </xdr:cNvPr>
        <xdr:cNvSpPr txBox="1"/>
      </xdr:nvSpPr>
      <xdr:spPr>
        <a:xfrm>
          <a:off x="13377105" y="210379"/>
          <a:ext cx="95278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20" name="TextBox 19">
          <a:hlinkClick xmlns:r="http://schemas.openxmlformats.org/officeDocument/2006/relationships" r:id="rId14"/>
          <a:extLst>
            <a:ext uri="{FF2B5EF4-FFF2-40B4-BE49-F238E27FC236}">
              <a16:creationId xmlns:a16="http://schemas.microsoft.com/office/drawing/2014/main" id="{92C13E13-6BD2-4E22-B4C4-2C49246510CF}"/>
            </a:ext>
          </a:extLst>
        </xdr:cNvPr>
        <xdr:cNvSpPr txBox="1"/>
      </xdr:nvSpPr>
      <xdr:spPr>
        <a:xfrm>
          <a:off x="14232612" y="210379"/>
          <a:ext cx="9544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21" name="TextBox 20">
          <a:hlinkClick xmlns:r="http://schemas.openxmlformats.org/officeDocument/2006/relationships" r:id="rId15"/>
          <a:extLst>
            <a:ext uri="{FF2B5EF4-FFF2-40B4-BE49-F238E27FC236}">
              <a16:creationId xmlns:a16="http://schemas.microsoft.com/office/drawing/2014/main" id="{FAB0EB14-9EEF-4009-B601-EF68D4DFC0A7}"/>
            </a:ext>
          </a:extLst>
        </xdr:cNvPr>
        <xdr:cNvSpPr txBox="1"/>
      </xdr:nvSpPr>
      <xdr:spPr>
        <a:xfrm>
          <a:off x="15091130"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22" name="TextBox 21">
          <a:hlinkClick xmlns:r="http://schemas.openxmlformats.org/officeDocument/2006/relationships" r:id="rId16"/>
          <a:extLst>
            <a:ext uri="{FF2B5EF4-FFF2-40B4-BE49-F238E27FC236}">
              <a16:creationId xmlns:a16="http://schemas.microsoft.com/office/drawing/2014/main" id="{0CEB22EF-0EBB-481B-9D00-1EF320C24076}"/>
            </a:ext>
          </a:extLst>
        </xdr:cNvPr>
        <xdr:cNvSpPr txBox="1"/>
      </xdr:nvSpPr>
      <xdr:spPr>
        <a:xfrm>
          <a:off x="15947990" y="210379"/>
          <a:ext cx="9605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23" name="TextBox 22">
          <a:hlinkClick xmlns:r="http://schemas.openxmlformats.org/officeDocument/2006/relationships" r:id="rId17"/>
          <a:extLst>
            <a:ext uri="{FF2B5EF4-FFF2-40B4-BE49-F238E27FC236}">
              <a16:creationId xmlns:a16="http://schemas.microsoft.com/office/drawing/2014/main" id="{2B5BD64D-DDEA-45E0-9926-D1EA0C39ABF3}"/>
            </a:ext>
          </a:extLst>
        </xdr:cNvPr>
        <xdr:cNvSpPr txBox="1"/>
      </xdr:nvSpPr>
      <xdr:spPr>
        <a:xfrm>
          <a:off x="16812641" y="210379"/>
          <a:ext cx="9540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24" name="Straight Connector 23">
          <a:extLst>
            <a:ext uri="{FF2B5EF4-FFF2-40B4-BE49-F238E27FC236}">
              <a16:creationId xmlns:a16="http://schemas.microsoft.com/office/drawing/2014/main" id="{4ACFCEF0-DE1C-425D-8CB7-98C5D7B27D23}"/>
            </a:ext>
          </a:extLst>
        </xdr:cNvPr>
        <xdr:cNvCxnSpPr/>
      </xdr:nvCxnSpPr>
      <xdr:spPr>
        <a:xfrm>
          <a:off x="655864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25" name="Straight Connector 24">
          <a:extLst>
            <a:ext uri="{FF2B5EF4-FFF2-40B4-BE49-F238E27FC236}">
              <a16:creationId xmlns:a16="http://schemas.microsoft.com/office/drawing/2014/main" id="{616BDFB5-7168-42FC-86D6-AA900B5521BB}"/>
            </a:ext>
          </a:extLst>
        </xdr:cNvPr>
        <xdr:cNvCxnSpPr/>
      </xdr:nvCxnSpPr>
      <xdr:spPr>
        <a:xfrm>
          <a:off x="570627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26" name="Straight Connector 25">
          <a:extLst>
            <a:ext uri="{FF2B5EF4-FFF2-40B4-BE49-F238E27FC236}">
              <a16:creationId xmlns:a16="http://schemas.microsoft.com/office/drawing/2014/main" id="{A5461195-F67F-43F2-8AAF-E4E4B2E5FE48}"/>
            </a:ext>
          </a:extLst>
        </xdr:cNvPr>
        <xdr:cNvCxnSpPr/>
      </xdr:nvCxnSpPr>
      <xdr:spPr>
        <a:xfrm>
          <a:off x="484648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27" name="Straight Connector 26">
          <a:extLst>
            <a:ext uri="{FF2B5EF4-FFF2-40B4-BE49-F238E27FC236}">
              <a16:creationId xmlns:a16="http://schemas.microsoft.com/office/drawing/2014/main" id="{151899DD-F89D-4A68-84FF-4044EC68CC8E}"/>
            </a:ext>
          </a:extLst>
        </xdr:cNvPr>
        <xdr:cNvCxnSpPr/>
      </xdr:nvCxnSpPr>
      <xdr:spPr>
        <a:xfrm>
          <a:off x="741840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28" name="Straight Connector 27">
          <a:extLst>
            <a:ext uri="{FF2B5EF4-FFF2-40B4-BE49-F238E27FC236}">
              <a16:creationId xmlns:a16="http://schemas.microsoft.com/office/drawing/2014/main" id="{2A42B634-91AB-44CB-A730-625C2047ACF5}"/>
            </a:ext>
          </a:extLst>
        </xdr:cNvPr>
        <xdr:cNvCxnSpPr/>
      </xdr:nvCxnSpPr>
      <xdr:spPr>
        <a:xfrm>
          <a:off x="828632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29" name="Straight Connector 28">
          <a:extLst>
            <a:ext uri="{FF2B5EF4-FFF2-40B4-BE49-F238E27FC236}">
              <a16:creationId xmlns:a16="http://schemas.microsoft.com/office/drawing/2014/main" id="{96D36EA8-1AB2-4066-B3AB-8FF1CBEFD18A}"/>
            </a:ext>
          </a:extLst>
        </xdr:cNvPr>
        <xdr:cNvCxnSpPr/>
      </xdr:nvCxnSpPr>
      <xdr:spPr>
        <a:xfrm>
          <a:off x="9143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30" name="Straight Connector 29">
          <a:extLst>
            <a:ext uri="{FF2B5EF4-FFF2-40B4-BE49-F238E27FC236}">
              <a16:creationId xmlns:a16="http://schemas.microsoft.com/office/drawing/2014/main" id="{ADD061E9-54C0-4694-95C9-BF30EBA619AC}"/>
            </a:ext>
          </a:extLst>
        </xdr:cNvPr>
        <xdr:cNvCxnSpPr/>
      </xdr:nvCxnSpPr>
      <xdr:spPr>
        <a:xfrm>
          <a:off x="100015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31" name="Straight Connector 30">
          <a:extLst>
            <a:ext uri="{FF2B5EF4-FFF2-40B4-BE49-F238E27FC236}">
              <a16:creationId xmlns:a16="http://schemas.microsoft.com/office/drawing/2014/main" id="{C622C427-B9C0-4208-A44F-56E8FBF7DF7A}"/>
            </a:ext>
          </a:extLst>
        </xdr:cNvPr>
        <xdr:cNvCxnSpPr/>
      </xdr:nvCxnSpPr>
      <xdr:spPr>
        <a:xfrm>
          <a:off x="10859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32" name="Straight Connector 31">
          <a:extLst>
            <a:ext uri="{FF2B5EF4-FFF2-40B4-BE49-F238E27FC236}">
              <a16:creationId xmlns:a16="http://schemas.microsoft.com/office/drawing/2014/main" id="{0EA77647-C03D-4A5C-A116-238882D421F5}"/>
            </a:ext>
          </a:extLst>
        </xdr:cNvPr>
        <xdr:cNvCxnSpPr/>
      </xdr:nvCxnSpPr>
      <xdr:spPr>
        <a:xfrm>
          <a:off x="1171699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33" name="Straight Connector 32">
          <a:extLst>
            <a:ext uri="{FF2B5EF4-FFF2-40B4-BE49-F238E27FC236}">
              <a16:creationId xmlns:a16="http://schemas.microsoft.com/office/drawing/2014/main" id="{A3FE95B8-D313-47CA-899C-B7F7FCC76FDE}"/>
            </a:ext>
          </a:extLst>
        </xdr:cNvPr>
        <xdr:cNvCxnSpPr/>
      </xdr:nvCxnSpPr>
      <xdr:spPr>
        <a:xfrm>
          <a:off x="1342574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34" name="Straight Connector 33">
          <a:extLst>
            <a:ext uri="{FF2B5EF4-FFF2-40B4-BE49-F238E27FC236}">
              <a16:creationId xmlns:a16="http://schemas.microsoft.com/office/drawing/2014/main" id="{A8656239-BC2A-402A-BC1D-61F65EEAFD99}"/>
            </a:ext>
          </a:extLst>
        </xdr:cNvPr>
        <xdr:cNvCxnSpPr/>
      </xdr:nvCxnSpPr>
      <xdr:spPr>
        <a:xfrm>
          <a:off x="1428124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35" name="Straight Connector 34">
          <a:extLst>
            <a:ext uri="{FF2B5EF4-FFF2-40B4-BE49-F238E27FC236}">
              <a16:creationId xmlns:a16="http://schemas.microsoft.com/office/drawing/2014/main" id="{9354E17B-E73F-4E49-816B-5565B61E5612}"/>
            </a:ext>
          </a:extLst>
        </xdr:cNvPr>
        <xdr:cNvCxnSpPr/>
      </xdr:nvCxnSpPr>
      <xdr:spPr>
        <a:xfrm>
          <a:off x="151384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36" name="Straight Connector 35">
          <a:extLst>
            <a:ext uri="{FF2B5EF4-FFF2-40B4-BE49-F238E27FC236}">
              <a16:creationId xmlns:a16="http://schemas.microsoft.com/office/drawing/2014/main" id="{959BBE8B-3E6C-4EE2-9699-969790FFB999}"/>
            </a:ext>
          </a:extLst>
        </xdr:cNvPr>
        <xdr:cNvCxnSpPr/>
      </xdr:nvCxnSpPr>
      <xdr:spPr>
        <a:xfrm>
          <a:off x="1599798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37" name="Straight Connector 36">
          <a:extLst>
            <a:ext uri="{FF2B5EF4-FFF2-40B4-BE49-F238E27FC236}">
              <a16:creationId xmlns:a16="http://schemas.microsoft.com/office/drawing/2014/main" id="{63A00124-C9BE-4EBE-9002-6BEB2D0F41DB}"/>
            </a:ext>
          </a:extLst>
        </xdr:cNvPr>
        <xdr:cNvCxnSpPr/>
      </xdr:nvCxnSpPr>
      <xdr:spPr>
        <a:xfrm>
          <a:off x="168599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38" name="Straight Connector 37">
          <a:extLst>
            <a:ext uri="{FF2B5EF4-FFF2-40B4-BE49-F238E27FC236}">
              <a16:creationId xmlns:a16="http://schemas.microsoft.com/office/drawing/2014/main" id="{D1052D1E-3907-4993-A6A2-02DF6E74C5ED}"/>
            </a:ext>
          </a:extLst>
        </xdr:cNvPr>
        <xdr:cNvCxnSpPr/>
      </xdr:nvCxnSpPr>
      <xdr:spPr>
        <a:xfrm>
          <a:off x="1257340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62</xdr:col>
      <xdr:colOff>124197</xdr:colOff>
      <xdr:row>4</xdr:row>
      <xdr:rowOff>0</xdr:rowOff>
    </xdr:to>
    <xdr:sp macro="" textlink="">
      <xdr:nvSpPr>
        <xdr:cNvPr id="2" name="Rectangle 1">
          <a:extLst>
            <a:ext uri="{FF2B5EF4-FFF2-40B4-BE49-F238E27FC236}">
              <a16:creationId xmlns:a16="http://schemas.microsoft.com/office/drawing/2014/main" id="{7393DBEB-7869-4490-AC12-10286A641CC5}"/>
            </a:ext>
          </a:extLst>
        </xdr:cNvPr>
        <xdr:cNvSpPr/>
      </xdr:nvSpPr>
      <xdr:spPr>
        <a:xfrm>
          <a:off x="0" y="0"/>
          <a:ext cx="42138972"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A134CC75-868B-4708-A500-4C683E8EF5AE}"/>
            </a:ext>
          </a:extLst>
        </xdr:cNvPr>
        <xdr:cNvSpPr txBox="1"/>
      </xdr:nvSpPr>
      <xdr:spPr>
        <a:xfrm>
          <a:off x="11010297" y="210379"/>
          <a:ext cx="10067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 name="Picture 6">
          <a:extLst>
            <a:ext uri="{FF2B5EF4-FFF2-40B4-BE49-F238E27FC236}">
              <a16:creationId xmlns:a16="http://schemas.microsoft.com/office/drawing/2014/main" id="{A6E741E9-9A28-4A76-B684-008F2F76999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8" name="Straight Connector 7">
          <a:extLst>
            <a:ext uri="{FF2B5EF4-FFF2-40B4-BE49-F238E27FC236}">
              <a16:creationId xmlns:a16="http://schemas.microsoft.com/office/drawing/2014/main" id="{8A779BDD-3A74-460B-BA2D-6D0FA186E2F2}"/>
            </a:ext>
          </a:extLst>
        </xdr:cNvPr>
        <xdr:cNvCxnSpPr/>
      </xdr:nvCxnSpPr>
      <xdr:spPr>
        <a:xfrm>
          <a:off x="1444759"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64F1A39D-852F-4359-9680-D542CFC9EF86}"/>
            </a:ext>
          </a:extLst>
        </xdr:cNvPr>
        <xdr:cNvSpPr txBox="1"/>
      </xdr:nvSpPr>
      <xdr:spPr>
        <a:xfrm>
          <a:off x="2234257" y="210379"/>
          <a:ext cx="87968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10" name="TextBox 9">
          <a:hlinkClick xmlns:r="http://schemas.openxmlformats.org/officeDocument/2006/relationships" r:id="rId4"/>
          <a:extLst>
            <a:ext uri="{FF2B5EF4-FFF2-40B4-BE49-F238E27FC236}">
              <a16:creationId xmlns:a16="http://schemas.microsoft.com/office/drawing/2014/main" id="{7F868A11-C760-4E9B-99B9-46F0EDBF18B5}"/>
            </a:ext>
          </a:extLst>
        </xdr:cNvPr>
        <xdr:cNvSpPr txBox="1"/>
      </xdr:nvSpPr>
      <xdr:spPr>
        <a:xfrm>
          <a:off x="3016671" y="210379"/>
          <a:ext cx="10700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D2CB9E06-3F79-4DB6-946B-3439FA3CBFB0}"/>
            </a:ext>
          </a:extLst>
        </xdr:cNvPr>
        <xdr:cNvSpPr txBox="1"/>
      </xdr:nvSpPr>
      <xdr:spPr>
        <a:xfrm>
          <a:off x="3933609" y="210379"/>
          <a:ext cx="10639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12" name="TextBox 11">
          <a:hlinkClick xmlns:r="http://schemas.openxmlformats.org/officeDocument/2006/relationships" r:id="rId6"/>
          <a:extLst>
            <a:ext uri="{FF2B5EF4-FFF2-40B4-BE49-F238E27FC236}">
              <a16:creationId xmlns:a16="http://schemas.microsoft.com/office/drawing/2014/main" id="{AB31A1FA-F020-4F9F-9D2F-742594DF79DD}"/>
            </a:ext>
          </a:extLst>
        </xdr:cNvPr>
        <xdr:cNvSpPr txBox="1"/>
      </xdr:nvSpPr>
      <xdr:spPr>
        <a:xfrm>
          <a:off x="4900278" y="210379"/>
          <a:ext cx="101418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13" name="TextBox 12">
          <a:hlinkClick xmlns:r="http://schemas.openxmlformats.org/officeDocument/2006/relationships" r:id="rId7"/>
          <a:extLst>
            <a:ext uri="{FF2B5EF4-FFF2-40B4-BE49-F238E27FC236}">
              <a16:creationId xmlns:a16="http://schemas.microsoft.com/office/drawing/2014/main" id="{F89D4D90-61A7-430D-BB54-894FFCAFD37B}"/>
            </a:ext>
          </a:extLst>
        </xdr:cNvPr>
        <xdr:cNvSpPr txBox="1"/>
      </xdr:nvSpPr>
      <xdr:spPr>
        <a:xfrm>
          <a:off x="5817188" y="210379"/>
          <a:ext cx="8699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DF892DB0-E20A-4B02-9430-0BDD7F5EB3A2}"/>
            </a:ext>
          </a:extLst>
        </xdr:cNvPr>
        <xdr:cNvSpPr txBox="1"/>
      </xdr:nvSpPr>
      <xdr:spPr>
        <a:xfrm>
          <a:off x="6589861" y="210379"/>
          <a:ext cx="10111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48B22526-1213-40DB-8DA0-A723A763BB0D}"/>
            </a:ext>
          </a:extLst>
        </xdr:cNvPr>
        <xdr:cNvSpPr txBox="1"/>
      </xdr:nvSpPr>
      <xdr:spPr>
        <a:xfrm>
          <a:off x="7505463" y="210379"/>
          <a:ext cx="100951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16" name="TextBox 15">
          <a:hlinkClick xmlns:r="http://schemas.openxmlformats.org/officeDocument/2006/relationships" r:id="rId10"/>
          <a:extLst>
            <a:ext uri="{FF2B5EF4-FFF2-40B4-BE49-F238E27FC236}">
              <a16:creationId xmlns:a16="http://schemas.microsoft.com/office/drawing/2014/main" id="{FDF739A5-FC1A-4651-8214-2F5E96C43CBB}"/>
            </a:ext>
          </a:extLst>
        </xdr:cNvPr>
        <xdr:cNvSpPr txBox="1"/>
      </xdr:nvSpPr>
      <xdr:spPr>
        <a:xfrm>
          <a:off x="8419384" y="210379"/>
          <a:ext cx="101197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17" name="TextBox 16">
          <a:hlinkClick xmlns:r="http://schemas.openxmlformats.org/officeDocument/2006/relationships" r:id="rId11"/>
          <a:extLst>
            <a:ext uri="{FF2B5EF4-FFF2-40B4-BE49-F238E27FC236}">
              <a16:creationId xmlns:a16="http://schemas.microsoft.com/office/drawing/2014/main" id="{407F53A0-8E44-4368-9377-68EEC834DE50}"/>
            </a:ext>
          </a:extLst>
        </xdr:cNvPr>
        <xdr:cNvSpPr txBox="1"/>
      </xdr:nvSpPr>
      <xdr:spPr>
        <a:xfrm>
          <a:off x="9334082" y="210379"/>
          <a:ext cx="10123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18" name="TextBox 17">
          <a:hlinkClick xmlns:r="http://schemas.openxmlformats.org/officeDocument/2006/relationships" r:id="rId12"/>
          <a:extLst>
            <a:ext uri="{FF2B5EF4-FFF2-40B4-BE49-F238E27FC236}">
              <a16:creationId xmlns:a16="http://schemas.microsoft.com/office/drawing/2014/main" id="{ACE1430D-0648-4338-B8BA-B003C618FF62}"/>
            </a:ext>
          </a:extLst>
        </xdr:cNvPr>
        <xdr:cNvSpPr txBox="1"/>
      </xdr:nvSpPr>
      <xdr:spPr>
        <a:xfrm>
          <a:off x="10249134" y="210379"/>
          <a:ext cx="85843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19" name="TextBox 18">
          <a:hlinkClick xmlns:r="http://schemas.openxmlformats.org/officeDocument/2006/relationships" r:id="rId13"/>
          <a:extLst>
            <a:ext uri="{FF2B5EF4-FFF2-40B4-BE49-F238E27FC236}">
              <a16:creationId xmlns:a16="http://schemas.microsoft.com/office/drawing/2014/main" id="{49C7017B-154E-4192-9629-22556BB23C96}"/>
            </a:ext>
          </a:extLst>
        </xdr:cNvPr>
        <xdr:cNvSpPr txBox="1"/>
      </xdr:nvSpPr>
      <xdr:spPr>
        <a:xfrm>
          <a:off x="11919780" y="210379"/>
          <a:ext cx="10099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20" name="TextBox 19">
          <a:hlinkClick xmlns:r="http://schemas.openxmlformats.org/officeDocument/2006/relationships" r:id="rId14"/>
          <a:extLst>
            <a:ext uri="{FF2B5EF4-FFF2-40B4-BE49-F238E27FC236}">
              <a16:creationId xmlns:a16="http://schemas.microsoft.com/office/drawing/2014/main" id="{A27070AC-23DD-4FFA-80D6-40FC5D7D895B}"/>
            </a:ext>
          </a:extLst>
        </xdr:cNvPr>
        <xdr:cNvSpPr txBox="1"/>
      </xdr:nvSpPr>
      <xdr:spPr>
        <a:xfrm>
          <a:off x="12832437" y="210379"/>
          <a:ext cx="10687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21" name="TextBox 20">
          <a:hlinkClick xmlns:r="http://schemas.openxmlformats.org/officeDocument/2006/relationships" r:id="rId15"/>
          <a:extLst>
            <a:ext uri="{FF2B5EF4-FFF2-40B4-BE49-F238E27FC236}">
              <a16:creationId xmlns:a16="http://schemas.microsoft.com/office/drawing/2014/main" id="{C53D202A-61DF-4E8B-8350-5AB45B085C3A}"/>
            </a:ext>
          </a:extLst>
        </xdr:cNvPr>
        <xdr:cNvSpPr txBox="1"/>
      </xdr:nvSpPr>
      <xdr:spPr>
        <a:xfrm>
          <a:off x="13748105" y="210379"/>
          <a:ext cx="917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22" name="TextBox 21">
          <a:hlinkClick xmlns:r="http://schemas.openxmlformats.org/officeDocument/2006/relationships" r:id="rId16"/>
          <a:extLst>
            <a:ext uri="{FF2B5EF4-FFF2-40B4-BE49-F238E27FC236}">
              <a16:creationId xmlns:a16="http://schemas.microsoft.com/office/drawing/2014/main" id="{63A857DD-D95F-4941-8DE3-0A1BE9329427}"/>
            </a:ext>
          </a:extLst>
        </xdr:cNvPr>
        <xdr:cNvSpPr txBox="1"/>
      </xdr:nvSpPr>
      <xdr:spPr>
        <a:xfrm>
          <a:off x="14604965" y="210379"/>
          <a:ext cx="97960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23" name="TextBox 22">
          <a:hlinkClick xmlns:r="http://schemas.openxmlformats.org/officeDocument/2006/relationships" r:id="rId17"/>
          <a:extLst>
            <a:ext uri="{FF2B5EF4-FFF2-40B4-BE49-F238E27FC236}">
              <a16:creationId xmlns:a16="http://schemas.microsoft.com/office/drawing/2014/main" id="{E8305CA8-64D3-4164-95A5-530DB53D09A1}"/>
            </a:ext>
          </a:extLst>
        </xdr:cNvPr>
        <xdr:cNvSpPr txBox="1"/>
      </xdr:nvSpPr>
      <xdr:spPr>
        <a:xfrm>
          <a:off x="15431516" y="210379"/>
          <a:ext cx="10683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24" name="Straight Connector 23">
          <a:extLst>
            <a:ext uri="{FF2B5EF4-FFF2-40B4-BE49-F238E27FC236}">
              <a16:creationId xmlns:a16="http://schemas.microsoft.com/office/drawing/2014/main" id="{AAC1D387-8229-4FDD-A584-CC224F136161}"/>
            </a:ext>
          </a:extLst>
        </xdr:cNvPr>
        <xdr:cNvCxnSpPr/>
      </xdr:nvCxnSpPr>
      <xdr:spPr>
        <a:xfrm>
          <a:off x="49489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25" name="Straight Connector 24">
          <a:extLst>
            <a:ext uri="{FF2B5EF4-FFF2-40B4-BE49-F238E27FC236}">
              <a16:creationId xmlns:a16="http://schemas.microsoft.com/office/drawing/2014/main" id="{C7DBD172-86DD-45D9-BA6C-9281055528BB}"/>
            </a:ext>
          </a:extLst>
        </xdr:cNvPr>
        <xdr:cNvCxnSpPr/>
      </xdr:nvCxnSpPr>
      <xdr:spPr>
        <a:xfrm>
          <a:off x="3982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26" name="Straight Connector 25">
          <a:extLst>
            <a:ext uri="{FF2B5EF4-FFF2-40B4-BE49-F238E27FC236}">
              <a16:creationId xmlns:a16="http://schemas.microsoft.com/office/drawing/2014/main" id="{6E62DFD4-C769-4319-B789-F19BF57B10ED}"/>
            </a:ext>
          </a:extLst>
        </xdr:cNvPr>
        <xdr:cNvCxnSpPr/>
      </xdr:nvCxnSpPr>
      <xdr:spPr>
        <a:xfrm>
          <a:off x="3065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27" name="Straight Connector 26">
          <a:extLst>
            <a:ext uri="{FF2B5EF4-FFF2-40B4-BE49-F238E27FC236}">
              <a16:creationId xmlns:a16="http://schemas.microsoft.com/office/drawing/2014/main" id="{5D0BD835-1855-4AF0-9226-2AD52157B758}"/>
            </a:ext>
          </a:extLst>
        </xdr:cNvPr>
        <xdr:cNvCxnSpPr/>
      </xdr:nvCxnSpPr>
      <xdr:spPr>
        <a:xfrm>
          <a:off x="586582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28" name="Straight Connector 27">
          <a:extLst>
            <a:ext uri="{FF2B5EF4-FFF2-40B4-BE49-F238E27FC236}">
              <a16:creationId xmlns:a16="http://schemas.microsoft.com/office/drawing/2014/main" id="{8FA9DB6D-7031-4299-AB3B-46781D62A51F}"/>
            </a:ext>
          </a:extLst>
        </xdr:cNvPr>
        <xdr:cNvCxnSpPr/>
      </xdr:nvCxnSpPr>
      <xdr:spPr>
        <a:xfrm>
          <a:off x="663849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29" name="Straight Connector 28">
          <a:extLst>
            <a:ext uri="{FF2B5EF4-FFF2-40B4-BE49-F238E27FC236}">
              <a16:creationId xmlns:a16="http://schemas.microsoft.com/office/drawing/2014/main" id="{4581F466-7319-4A59-BE20-1BA2F3A7F6A3}"/>
            </a:ext>
          </a:extLst>
        </xdr:cNvPr>
        <xdr:cNvCxnSpPr/>
      </xdr:nvCxnSpPr>
      <xdr:spPr>
        <a:xfrm>
          <a:off x="75524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30" name="Straight Connector 29">
          <a:extLst>
            <a:ext uri="{FF2B5EF4-FFF2-40B4-BE49-F238E27FC236}">
              <a16:creationId xmlns:a16="http://schemas.microsoft.com/office/drawing/2014/main" id="{CC6B8708-7934-4F3F-AF3B-0EC27B1B8D76}"/>
            </a:ext>
          </a:extLst>
        </xdr:cNvPr>
        <xdr:cNvCxnSpPr/>
      </xdr:nvCxnSpPr>
      <xdr:spPr>
        <a:xfrm>
          <a:off x="84680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31" name="Straight Connector 30">
          <a:extLst>
            <a:ext uri="{FF2B5EF4-FFF2-40B4-BE49-F238E27FC236}">
              <a16:creationId xmlns:a16="http://schemas.microsoft.com/office/drawing/2014/main" id="{7B5AC87C-A7C7-41E2-AAF4-3E8B72F923DA}"/>
            </a:ext>
          </a:extLst>
        </xdr:cNvPr>
        <xdr:cNvCxnSpPr/>
      </xdr:nvCxnSpPr>
      <xdr:spPr>
        <a:xfrm>
          <a:off x="93827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32" name="Straight Connector 31">
          <a:extLst>
            <a:ext uri="{FF2B5EF4-FFF2-40B4-BE49-F238E27FC236}">
              <a16:creationId xmlns:a16="http://schemas.microsoft.com/office/drawing/2014/main" id="{3AD4F08A-3FC3-4BB6-B419-4C5F1E1CEEC0}"/>
            </a:ext>
          </a:extLst>
        </xdr:cNvPr>
        <xdr:cNvCxnSpPr/>
      </xdr:nvCxnSpPr>
      <xdr:spPr>
        <a:xfrm>
          <a:off x="1029777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33" name="Straight Connector 32">
          <a:extLst>
            <a:ext uri="{FF2B5EF4-FFF2-40B4-BE49-F238E27FC236}">
              <a16:creationId xmlns:a16="http://schemas.microsoft.com/office/drawing/2014/main" id="{C5E332E6-13A7-49AE-8EB2-2E1C819DE80A}"/>
            </a:ext>
          </a:extLst>
        </xdr:cNvPr>
        <xdr:cNvCxnSpPr/>
      </xdr:nvCxnSpPr>
      <xdr:spPr>
        <a:xfrm>
          <a:off x="119684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34" name="Straight Connector 33">
          <a:extLst>
            <a:ext uri="{FF2B5EF4-FFF2-40B4-BE49-F238E27FC236}">
              <a16:creationId xmlns:a16="http://schemas.microsoft.com/office/drawing/2014/main" id="{9F1B10A5-7D04-4E3B-BCDE-9D403F257CD2}"/>
            </a:ext>
          </a:extLst>
        </xdr:cNvPr>
        <xdr:cNvCxnSpPr/>
      </xdr:nvCxnSpPr>
      <xdr:spPr>
        <a:xfrm>
          <a:off x="1288107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35" name="Straight Connector 34">
          <a:extLst>
            <a:ext uri="{FF2B5EF4-FFF2-40B4-BE49-F238E27FC236}">
              <a16:creationId xmlns:a16="http://schemas.microsoft.com/office/drawing/2014/main" id="{793DB0AB-4804-4A0F-883B-4A13E9B0BD86}"/>
            </a:ext>
          </a:extLst>
        </xdr:cNvPr>
        <xdr:cNvCxnSpPr/>
      </xdr:nvCxnSpPr>
      <xdr:spPr>
        <a:xfrm>
          <a:off x="1385253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36" name="Straight Connector 35">
          <a:extLst>
            <a:ext uri="{FF2B5EF4-FFF2-40B4-BE49-F238E27FC236}">
              <a16:creationId xmlns:a16="http://schemas.microsoft.com/office/drawing/2014/main" id="{D795B58F-85E3-4E3C-8230-5C9D49D11AD0}"/>
            </a:ext>
          </a:extLst>
        </xdr:cNvPr>
        <xdr:cNvCxnSpPr/>
      </xdr:nvCxnSpPr>
      <xdr:spPr>
        <a:xfrm>
          <a:off x="146168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37" name="Straight Connector 36">
          <a:extLst>
            <a:ext uri="{FF2B5EF4-FFF2-40B4-BE49-F238E27FC236}">
              <a16:creationId xmlns:a16="http://schemas.microsoft.com/office/drawing/2014/main" id="{F518248A-392F-486B-BE07-8A8909ADC614}"/>
            </a:ext>
          </a:extLst>
        </xdr:cNvPr>
        <xdr:cNvCxnSpPr/>
      </xdr:nvCxnSpPr>
      <xdr:spPr>
        <a:xfrm>
          <a:off x="1553593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38" name="Straight Connector 37">
          <a:extLst>
            <a:ext uri="{FF2B5EF4-FFF2-40B4-BE49-F238E27FC236}">
              <a16:creationId xmlns:a16="http://schemas.microsoft.com/office/drawing/2014/main" id="{52F76C37-1599-4F5B-9B9B-70B063820E5D}"/>
            </a:ext>
          </a:extLst>
        </xdr:cNvPr>
        <xdr:cNvCxnSpPr/>
      </xdr:nvCxnSpPr>
      <xdr:spPr>
        <a:xfrm>
          <a:off x="1105893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62</xdr:col>
      <xdr:colOff>124197</xdr:colOff>
      <xdr:row>4</xdr:row>
      <xdr:rowOff>0</xdr:rowOff>
    </xdr:to>
    <xdr:sp macro="" textlink="">
      <xdr:nvSpPr>
        <xdr:cNvPr id="138" name="Rectangle 137">
          <a:extLst>
            <a:ext uri="{FF2B5EF4-FFF2-40B4-BE49-F238E27FC236}">
              <a16:creationId xmlns:a16="http://schemas.microsoft.com/office/drawing/2014/main" id="{A9664389-6DAA-43F3-8450-4834AFF72450}"/>
            </a:ext>
          </a:extLst>
        </xdr:cNvPr>
        <xdr:cNvSpPr/>
      </xdr:nvSpPr>
      <xdr:spPr>
        <a:xfrm>
          <a:off x="0" y="0"/>
          <a:ext cx="42138972"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139" name="TextBox 138">
          <a:hlinkClick xmlns:r="http://schemas.openxmlformats.org/officeDocument/2006/relationships" r:id="rId1"/>
          <a:extLst>
            <a:ext uri="{FF2B5EF4-FFF2-40B4-BE49-F238E27FC236}">
              <a16:creationId xmlns:a16="http://schemas.microsoft.com/office/drawing/2014/main" id="{9C31B1B4-C2AB-49C0-8DBC-83AB0EF5E6DF}"/>
            </a:ext>
          </a:extLst>
        </xdr:cNvPr>
        <xdr:cNvSpPr txBox="1"/>
      </xdr:nvSpPr>
      <xdr:spPr>
        <a:xfrm>
          <a:off x="11010297" y="210379"/>
          <a:ext cx="10067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40" name="Picture 139">
          <a:extLst>
            <a:ext uri="{FF2B5EF4-FFF2-40B4-BE49-F238E27FC236}">
              <a16:creationId xmlns:a16="http://schemas.microsoft.com/office/drawing/2014/main" id="{F2378925-A158-440C-96C5-88BD044FDAE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141" name="Straight Connector 140">
          <a:extLst>
            <a:ext uri="{FF2B5EF4-FFF2-40B4-BE49-F238E27FC236}">
              <a16:creationId xmlns:a16="http://schemas.microsoft.com/office/drawing/2014/main" id="{B371068B-97B1-4E58-A106-79AB0025F1BA}"/>
            </a:ext>
          </a:extLst>
        </xdr:cNvPr>
        <xdr:cNvCxnSpPr/>
      </xdr:nvCxnSpPr>
      <xdr:spPr>
        <a:xfrm>
          <a:off x="1444759"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142" name="TextBox 141">
          <a:hlinkClick xmlns:r="http://schemas.openxmlformats.org/officeDocument/2006/relationships" r:id="rId3"/>
          <a:extLst>
            <a:ext uri="{FF2B5EF4-FFF2-40B4-BE49-F238E27FC236}">
              <a16:creationId xmlns:a16="http://schemas.microsoft.com/office/drawing/2014/main" id="{E56DB823-4603-402D-BE39-2FCA780941BD}"/>
            </a:ext>
          </a:extLst>
        </xdr:cNvPr>
        <xdr:cNvSpPr txBox="1"/>
      </xdr:nvSpPr>
      <xdr:spPr>
        <a:xfrm>
          <a:off x="2234257" y="210379"/>
          <a:ext cx="87968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143" name="TextBox 142">
          <a:hlinkClick xmlns:r="http://schemas.openxmlformats.org/officeDocument/2006/relationships" r:id="rId4"/>
          <a:extLst>
            <a:ext uri="{FF2B5EF4-FFF2-40B4-BE49-F238E27FC236}">
              <a16:creationId xmlns:a16="http://schemas.microsoft.com/office/drawing/2014/main" id="{00D0EB03-188C-497C-A937-1DB39AAB7994}"/>
            </a:ext>
          </a:extLst>
        </xdr:cNvPr>
        <xdr:cNvSpPr txBox="1"/>
      </xdr:nvSpPr>
      <xdr:spPr>
        <a:xfrm>
          <a:off x="3016671" y="210379"/>
          <a:ext cx="10700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144" name="TextBox 143">
          <a:hlinkClick xmlns:r="http://schemas.openxmlformats.org/officeDocument/2006/relationships" r:id="rId5"/>
          <a:extLst>
            <a:ext uri="{FF2B5EF4-FFF2-40B4-BE49-F238E27FC236}">
              <a16:creationId xmlns:a16="http://schemas.microsoft.com/office/drawing/2014/main" id="{26E4493A-1316-4FE1-ABDD-A4332D184478}"/>
            </a:ext>
          </a:extLst>
        </xdr:cNvPr>
        <xdr:cNvSpPr txBox="1"/>
      </xdr:nvSpPr>
      <xdr:spPr>
        <a:xfrm>
          <a:off x="3933609" y="210379"/>
          <a:ext cx="10639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145" name="TextBox 144">
          <a:hlinkClick xmlns:r="http://schemas.openxmlformats.org/officeDocument/2006/relationships" r:id="rId6"/>
          <a:extLst>
            <a:ext uri="{FF2B5EF4-FFF2-40B4-BE49-F238E27FC236}">
              <a16:creationId xmlns:a16="http://schemas.microsoft.com/office/drawing/2014/main" id="{428C8793-B9FA-4D54-B614-3C28CBD437FA}"/>
            </a:ext>
          </a:extLst>
        </xdr:cNvPr>
        <xdr:cNvSpPr txBox="1"/>
      </xdr:nvSpPr>
      <xdr:spPr>
        <a:xfrm>
          <a:off x="4900278" y="210379"/>
          <a:ext cx="101418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146" name="TextBox 145">
          <a:hlinkClick xmlns:r="http://schemas.openxmlformats.org/officeDocument/2006/relationships" r:id="rId7"/>
          <a:extLst>
            <a:ext uri="{FF2B5EF4-FFF2-40B4-BE49-F238E27FC236}">
              <a16:creationId xmlns:a16="http://schemas.microsoft.com/office/drawing/2014/main" id="{F331503D-CB0B-4576-B77F-2DF12AC29CD0}"/>
            </a:ext>
          </a:extLst>
        </xdr:cNvPr>
        <xdr:cNvSpPr txBox="1"/>
      </xdr:nvSpPr>
      <xdr:spPr>
        <a:xfrm>
          <a:off x="5817188" y="210379"/>
          <a:ext cx="8699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147" name="TextBox 146">
          <a:hlinkClick xmlns:r="http://schemas.openxmlformats.org/officeDocument/2006/relationships" r:id="rId8"/>
          <a:extLst>
            <a:ext uri="{FF2B5EF4-FFF2-40B4-BE49-F238E27FC236}">
              <a16:creationId xmlns:a16="http://schemas.microsoft.com/office/drawing/2014/main" id="{FE5BA076-CAAC-4197-821C-678D1552DD86}"/>
            </a:ext>
          </a:extLst>
        </xdr:cNvPr>
        <xdr:cNvSpPr txBox="1"/>
      </xdr:nvSpPr>
      <xdr:spPr>
        <a:xfrm>
          <a:off x="6589861" y="210379"/>
          <a:ext cx="10111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148" name="TextBox 147">
          <a:hlinkClick xmlns:r="http://schemas.openxmlformats.org/officeDocument/2006/relationships" r:id="rId9"/>
          <a:extLst>
            <a:ext uri="{FF2B5EF4-FFF2-40B4-BE49-F238E27FC236}">
              <a16:creationId xmlns:a16="http://schemas.microsoft.com/office/drawing/2014/main" id="{968488A1-5903-4A63-94A8-53F070F4701A}"/>
            </a:ext>
          </a:extLst>
        </xdr:cNvPr>
        <xdr:cNvSpPr txBox="1"/>
      </xdr:nvSpPr>
      <xdr:spPr>
        <a:xfrm>
          <a:off x="7505463" y="210379"/>
          <a:ext cx="100951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149" name="TextBox 148">
          <a:hlinkClick xmlns:r="http://schemas.openxmlformats.org/officeDocument/2006/relationships" r:id="rId10"/>
          <a:extLst>
            <a:ext uri="{FF2B5EF4-FFF2-40B4-BE49-F238E27FC236}">
              <a16:creationId xmlns:a16="http://schemas.microsoft.com/office/drawing/2014/main" id="{44931701-FA0E-4047-A73F-C42B55573C67}"/>
            </a:ext>
          </a:extLst>
        </xdr:cNvPr>
        <xdr:cNvSpPr txBox="1"/>
      </xdr:nvSpPr>
      <xdr:spPr>
        <a:xfrm>
          <a:off x="8419384" y="210379"/>
          <a:ext cx="101197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150" name="TextBox 149">
          <a:hlinkClick xmlns:r="http://schemas.openxmlformats.org/officeDocument/2006/relationships" r:id="rId11"/>
          <a:extLst>
            <a:ext uri="{FF2B5EF4-FFF2-40B4-BE49-F238E27FC236}">
              <a16:creationId xmlns:a16="http://schemas.microsoft.com/office/drawing/2014/main" id="{9B9C18C5-4ECB-46B5-835A-137F0D1E9A4F}"/>
            </a:ext>
          </a:extLst>
        </xdr:cNvPr>
        <xdr:cNvSpPr txBox="1"/>
      </xdr:nvSpPr>
      <xdr:spPr>
        <a:xfrm>
          <a:off x="9334082" y="210379"/>
          <a:ext cx="101232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151" name="TextBox 150">
          <a:hlinkClick xmlns:r="http://schemas.openxmlformats.org/officeDocument/2006/relationships" r:id="rId12"/>
          <a:extLst>
            <a:ext uri="{FF2B5EF4-FFF2-40B4-BE49-F238E27FC236}">
              <a16:creationId xmlns:a16="http://schemas.microsoft.com/office/drawing/2014/main" id="{940884C9-AD14-45F5-B8D0-AA9652F60A7D}"/>
            </a:ext>
          </a:extLst>
        </xdr:cNvPr>
        <xdr:cNvSpPr txBox="1"/>
      </xdr:nvSpPr>
      <xdr:spPr>
        <a:xfrm>
          <a:off x="10249134" y="210379"/>
          <a:ext cx="85843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152" name="TextBox 151">
          <a:hlinkClick xmlns:r="http://schemas.openxmlformats.org/officeDocument/2006/relationships" r:id="rId13"/>
          <a:extLst>
            <a:ext uri="{FF2B5EF4-FFF2-40B4-BE49-F238E27FC236}">
              <a16:creationId xmlns:a16="http://schemas.microsoft.com/office/drawing/2014/main" id="{AB105F93-5DF9-48CB-87DB-26578D506AE7}"/>
            </a:ext>
          </a:extLst>
        </xdr:cNvPr>
        <xdr:cNvSpPr txBox="1"/>
      </xdr:nvSpPr>
      <xdr:spPr>
        <a:xfrm>
          <a:off x="11919780" y="210379"/>
          <a:ext cx="10099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153" name="TextBox 152">
          <a:hlinkClick xmlns:r="http://schemas.openxmlformats.org/officeDocument/2006/relationships" r:id="rId14"/>
          <a:extLst>
            <a:ext uri="{FF2B5EF4-FFF2-40B4-BE49-F238E27FC236}">
              <a16:creationId xmlns:a16="http://schemas.microsoft.com/office/drawing/2014/main" id="{3B9959BC-4726-4154-8F92-AC4B7DF53CA4}"/>
            </a:ext>
          </a:extLst>
        </xdr:cNvPr>
        <xdr:cNvSpPr txBox="1"/>
      </xdr:nvSpPr>
      <xdr:spPr>
        <a:xfrm>
          <a:off x="12832437" y="210379"/>
          <a:ext cx="10687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154" name="TextBox 153">
          <a:hlinkClick xmlns:r="http://schemas.openxmlformats.org/officeDocument/2006/relationships" r:id="rId15"/>
          <a:extLst>
            <a:ext uri="{FF2B5EF4-FFF2-40B4-BE49-F238E27FC236}">
              <a16:creationId xmlns:a16="http://schemas.microsoft.com/office/drawing/2014/main" id="{AE8FBB90-F547-4190-9327-4811770008B4}"/>
            </a:ext>
          </a:extLst>
        </xdr:cNvPr>
        <xdr:cNvSpPr txBox="1"/>
      </xdr:nvSpPr>
      <xdr:spPr>
        <a:xfrm>
          <a:off x="13748105" y="210379"/>
          <a:ext cx="917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155" name="TextBox 154">
          <a:hlinkClick xmlns:r="http://schemas.openxmlformats.org/officeDocument/2006/relationships" r:id="rId16"/>
          <a:extLst>
            <a:ext uri="{FF2B5EF4-FFF2-40B4-BE49-F238E27FC236}">
              <a16:creationId xmlns:a16="http://schemas.microsoft.com/office/drawing/2014/main" id="{77329C33-32F4-488B-98A7-A48F25780FFF}"/>
            </a:ext>
          </a:extLst>
        </xdr:cNvPr>
        <xdr:cNvSpPr txBox="1"/>
      </xdr:nvSpPr>
      <xdr:spPr>
        <a:xfrm>
          <a:off x="14604965" y="210379"/>
          <a:ext cx="97960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156" name="TextBox 155">
          <a:hlinkClick xmlns:r="http://schemas.openxmlformats.org/officeDocument/2006/relationships" r:id="rId17"/>
          <a:extLst>
            <a:ext uri="{FF2B5EF4-FFF2-40B4-BE49-F238E27FC236}">
              <a16:creationId xmlns:a16="http://schemas.microsoft.com/office/drawing/2014/main" id="{FECCFFB8-AD3E-4BF7-AD47-22158AF90ECB}"/>
            </a:ext>
          </a:extLst>
        </xdr:cNvPr>
        <xdr:cNvSpPr txBox="1"/>
      </xdr:nvSpPr>
      <xdr:spPr>
        <a:xfrm>
          <a:off x="15431516" y="210379"/>
          <a:ext cx="10683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157" name="Straight Connector 156">
          <a:extLst>
            <a:ext uri="{FF2B5EF4-FFF2-40B4-BE49-F238E27FC236}">
              <a16:creationId xmlns:a16="http://schemas.microsoft.com/office/drawing/2014/main" id="{A0ABA39D-E517-4411-9D86-7E12C5A6D5A0}"/>
            </a:ext>
          </a:extLst>
        </xdr:cNvPr>
        <xdr:cNvCxnSpPr/>
      </xdr:nvCxnSpPr>
      <xdr:spPr>
        <a:xfrm>
          <a:off x="49489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158" name="Straight Connector 157">
          <a:extLst>
            <a:ext uri="{FF2B5EF4-FFF2-40B4-BE49-F238E27FC236}">
              <a16:creationId xmlns:a16="http://schemas.microsoft.com/office/drawing/2014/main" id="{79D15A60-CFD8-4A79-B98B-BEA5657DCA12}"/>
            </a:ext>
          </a:extLst>
        </xdr:cNvPr>
        <xdr:cNvCxnSpPr/>
      </xdr:nvCxnSpPr>
      <xdr:spPr>
        <a:xfrm>
          <a:off x="3982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159" name="Straight Connector 158">
          <a:extLst>
            <a:ext uri="{FF2B5EF4-FFF2-40B4-BE49-F238E27FC236}">
              <a16:creationId xmlns:a16="http://schemas.microsoft.com/office/drawing/2014/main" id="{8217C43A-A2E6-46F5-AC98-27255D04C716}"/>
            </a:ext>
          </a:extLst>
        </xdr:cNvPr>
        <xdr:cNvCxnSpPr/>
      </xdr:nvCxnSpPr>
      <xdr:spPr>
        <a:xfrm>
          <a:off x="3065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160" name="Straight Connector 159">
          <a:extLst>
            <a:ext uri="{FF2B5EF4-FFF2-40B4-BE49-F238E27FC236}">
              <a16:creationId xmlns:a16="http://schemas.microsoft.com/office/drawing/2014/main" id="{B4E70C14-92CB-41C9-8614-07814B21754C}"/>
            </a:ext>
          </a:extLst>
        </xdr:cNvPr>
        <xdr:cNvCxnSpPr/>
      </xdr:nvCxnSpPr>
      <xdr:spPr>
        <a:xfrm>
          <a:off x="586582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161" name="Straight Connector 160">
          <a:extLst>
            <a:ext uri="{FF2B5EF4-FFF2-40B4-BE49-F238E27FC236}">
              <a16:creationId xmlns:a16="http://schemas.microsoft.com/office/drawing/2014/main" id="{CC7A75DC-F3EE-4CA1-95FC-E2BC1C8CC1C2}"/>
            </a:ext>
          </a:extLst>
        </xdr:cNvPr>
        <xdr:cNvCxnSpPr/>
      </xdr:nvCxnSpPr>
      <xdr:spPr>
        <a:xfrm>
          <a:off x="663849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162" name="Straight Connector 161">
          <a:extLst>
            <a:ext uri="{FF2B5EF4-FFF2-40B4-BE49-F238E27FC236}">
              <a16:creationId xmlns:a16="http://schemas.microsoft.com/office/drawing/2014/main" id="{22C06FEA-1D7C-43CD-B5A5-8993C406169D}"/>
            </a:ext>
          </a:extLst>
        </xdr:cNvPr>
        <xdr:cNvCxnSpPr/>
      </xdr:nvCxnSpPr>
      <xdr:spPr>
        <a:xfrm>
          <a:off x="75524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163" name="Straight Connector 162">
          <a:extLst>
            <a:ext uri="{FF2B5EF4-FFF2-40B4-BE49-F238E27FC236}">
              <a16:creationId xmlns:a16="http://schemas.microsoft.com/office/drawing/2014/main" id="{A240CA2B-A962-485A-9418-C08C1B619D87}"/>
            </a:ext>
          </a:extLst>
        </xdr:cNvPr>
        <xdr:cNvCxnSpPr/>
      </xdr:nvCxnSpPr>
      <xdr:spPr>
        <a:xfrm>
          <a:off x="84680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164" name="Straight Connector 163">
          <a:extLst>
            <a:ext uri="{FF2B5EF4-FFF2-40B4-BE49-F238E27FC236}">
              <a16:creationId xmlns:a16="http://schemas.microsoft.com/office/drawing/2014/main" id="{BB5E04CF-F603-44B7-88CA-5614CEABD340}"/>
            </a:ext>
          </a:extLst>
        </xdr:cNvPr>
        <xdr:cNvCxnSpPr/>
      </xdr:nvCxnSpPr>
      <xdr:spPr>
        <a:xfrm>
          <a:off x="93827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165" name="Straight Connector 164">
          <a:extLst>
            <a:ext uri="{FF2B5EF4-FFF2-40B4-BE49-F238E27FC236}">
              <a16:creationId xmlns:a16="http://schemas.microsoft.com/office/drawing/2014/main" id="{A752DC03-AEBC-4742-B5EC-9B1F21BCE3C1}"/>
            </a:ext>
          </a:extLst>
        </xdr:cNvPr>
        <xdr:cNvCxnSpPr/>
      </xdr:nvCxnSpPr>
      <xdr:spPr>
        <a:xfrm>
          <a:off x="1029777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166" name="Straight Connector 165">
          <a:extLst>
            <a:ext uri="{FF2B5EF4-FFF2-40B4-BE49-F238E27FC236}">
              <a16:creationId xmlns:a16="http://schemas.microsoft.com/office/drawing/2014/main" id="{09A692D5-E311-45F7-82AC-CDCA80809D3A}"/>
            </a:ext>
          </a:extLst>
        </xdr:cNvPr>
        <xdr:cNvCxnSpPr/>
      </xdr:nvCxnSpPr>
      <xdr:spPr>
        <a:xfrm>
          <a:off x="119684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167" name="Straight Connector 166">
          <a:extLst>
            <a:ext uri="{FF2B5EF4-FFF2-40B4-BE49-F238E27FC236}">
              <a16:creationId xmlns:a16="http://schemas.microsoft.com/office/drawing/2014/main" id="{A6EF3BF1-A9DF-4A3E-9157-685968350D75}"/>
            </a:ext>
          </a:extLst>
        </xdr:cNvPr>
        <xdr:cNvCxnSpPr/>
      </xdr:nvCxnSpPr>
      <xdr:spPr>
        <a:xfrm>
          <a:off x="1288107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168" name="Straight Connector 167">
          <a:extLst>
            <a:ext uri="{FF2B5EF4-FFF2-40B4-BE49-F238E27FC236}">
              <a16:creationId xmlns:a16="http://schemas.microsoft.com/office/drawing/2014/main" id="{2A926BC8-47B0-4A09-9994-03E42532669C}"/>
            </a:ext>
          </a:extLst>
        </xdr:cNvPr>
        <xdr:cNvCxnSpPr/>
      </xdr:nvCxnSpPr>
      <xdr:spPr>
        <a:xfrm>
          <a:off x="1385253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169" name="Straight Connector 168">
          <a:extLst>
            <a:ext uri="{FF2B5EF4-FFF2-40B4-BE49-F238E27FC236}">
              <a16:creationId xmlns:a16="http://schemas.microsoft.com/office/drawing/2014/main" id="{C8483448-9F04-4714-A85A-305F48D43004}"/>
            </a:ext>
          </a:extLst>
        </xdr:cNvPr>
        <xdr:cNvCxnSpPr/>
      </xdr:nvCxnSpPr>
      <xdr:spPr>
        <a:xfrm>
          <a:off x="146168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170" name="Straight Connector 169">
          <a:extLst>
            <a:ext uri="{FF2B5EF4-FFF2-40B4-BE49-F238E27FC236}">
              <a16:creationId xmlns:a16="http://schemas.microsoft.com/office/drawing/2014/main" id="{FA5BADC5-9876-4A74-AD47-C9C998FD9C5E}"/>
            </a:ext>
          </a:extLst>
        </xdr:cNvPr>
        <xdr:cNvCxnSpPr/>
      </xdr:nvCxnSpPr>
      <xdr:spPr>
        <a:xfrm>
          <a:off x="1553593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171" name="Straight Connector 170">
          <a:extLst>
            <a:ext uri="{FF2B5EF4-FFF2-40B4-BE49-F238E27FC236}">
              <a16:creationId xmlns:a16="http://schemas.microsoft.com/office/drawing/2014/main" id="{0271038B-CB52-4DE1-919B-B526B62D0E39}"/>
            </a:ext>
          </a:extLst>
        </xdr:cNvPr>
        <xdr:cNvCxnSpPr/>
      </xdr:nvCxnSpPr>
      <xdr:spPr>
        <a:xfrm>
          <a:off x="1105893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63</xdr:col>
      <xdr:colOff>1732</xdr:colOff>
      <xdr:row>4</xdr:row>
      <xdr:rowOff>0</xdr:rowOff>
    </xdr:to>
    <xdr:sp macro="" textlink="">
      <xdr:nvSpPr>
        <xdr:cNvPr id="5" name="Rectangle 4">
          <a:extLst>
            <a:ext uri="{FF2B5EF4-FFF2-40B4-BE49-F238E27FC236}">
              <a16:creationId xmlns:a16="http://schemas.microsoft.com/office/drawing/2014/main" id="{94F1C073-CCC7-4C6B-9798-8346208321F2}"/>
            </a:ext>
          </a:extLst>
        </xdr:cNvPr>
        <xdr:cNvSpPr/>
      </xdr:nvSpPr>
      <xdr:spPr>
        <a:xfrm>
          <a:off x="0" y="0"/>
          <a:ext cx="43140457"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6" name="TextBox 5">
          <a:hlinkClick xmlns:r="http://schemas.openxmlformats.org/officeDocument/2006/relationships" r:id="rId1"/>
          <a:extLst>
            <a:ext uri="{FF2B5EF4-FFF2-40B4-BE49-F238E27FC236}">
              <a16:creationId xmlns:a16="http://schemas.microsoft.com/office/drawing/2014/main" id="{C30E5872-14BC-49FE-AA32-50C77AB59108}"/>
            </a:ext>
          </a:extLst>
        </xdr:cNvPr>
        <xdr:cNvSpPr txBox="1"/>
      </xdr:nvSpPr>
      <xdr:spPr>
        <a:xfrm>
          <a:off x="12524772" y="210379"/>
          <a:ext cx="9496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 name="Picture 6">
          <a:extLst>
            <a:ext uri="{FF2B5EF4-FFF2-40B4-BE49-F238E27FC236}">
              <a16:creationId xmlns:a16="http://schemas.microsoft.com/office/drawing/2014/main" id="{B03754D6-4BC9-4E82-90AF-5C7EDFE4326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8" name="Straight Connector 7">
          <a:extLst>
            <a:ext uri="{FF2B5EF4-FFF2-40B4-BE49-F238E27FC236}">
              <a16:creationId xmlns:a16="http://schemas.microsoft.com/office/drawing/2014/main" id="{E02D32B7-18F9-4306-8955-9F6A689E9EF5}"/>
            </a:ext>
          </a:extLst>
        </xdr:cNvPr>
        <xdr:cNvCxnSpPr/>
      </xdr:nvCxnSpPr>
      <xdr:spPr>
        <a:xfrm>
          <a:off x="1444759"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44E7A781-D912-48DA-8D79-AF2143774D01}"/>
            </a:ext>
          </a:extLst>
        </xdr:cNvPr>
        <xdr:cNvSpPr txBox="1"/>
      </xdr:nvSpPr>
      <xdr:spPr>
        <a:xfrm>
          <a:off x="3948757" y="210379"/>
          <a:ext cx="94636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10" name="TextBox 9">
          <a:hlinkClick xmlns:r="http://schemas.openxmlformats.org/officeDocument/2006/relationships" r:id="rId4"/>
          <a:extLst>
            <a:ext uri="{FF2B5EF4-FFF2-40B4-BE49-F238E27FC236}">
              <a16:creationId xmlns:a16="http://schemas.microsoft.com/office/drawing/2014/main" id="{F25AC224-E00E-4159-9C5D-AF605FEB2161}"/>
            </a:ext>
          </a:extLst>
        </xdr:cNvPr>
        <xdr:cNvSpPr txBox="1"/>
      </xdr:nvSpPr>
      <xdr:spPr>
        <a:xfrm>
          <a:off x="4797846" y="210379"/>
          <a:ext cx="9557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88167126-C963-472D-B4F2-599260C39A7D}"/>
            </a:ext>
          </a:extLst>
        </xdr:cNvPr>
        <xdr:cNvSpPr txBox="1"/>
      </xdr:nvSpPr>
      <xdr:spPr>
        <a:xfrm>
          <a:off x="5657634" y="210379"/>
          <a:ext cx="9496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12" name="TextBox 11">
          <a:hlinkClick xmlns:r="http://schemas.openxmlformats.org/officeDocument/2006/relationships" r:id="rId6"/>
          <a:extLst>
            <a:ext uri="{FF2B5EF4-FFF2-40B4-BE49-F238E27FC236}">
              <a16:creationId xmlns:a16="http://schemas.microsoft.com/office/drawing/2014/main" id="{904C2DC1-D283-43CF-8955-CBFA2F3BCC11}"/>
            </a:ext>
          </a:extLst>
        </xdr:cNvPr>
        <xdr:cNvSpPr txBox="1"/>
      </xdr:nvSpPr>
      <xdr:spPr>
        <a:xfrm>
          <a:off x="6510003" y="210379"/>
          <a:ext cx="9570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13" name="TextBox 12">
          <a:hlinkClick xmlns:r="http://schemas.openxmlformats.org/officeDocument/2006/relationships" r:id="rId7"/>
          <a:extLst>
            <a:ext uri="{FF2B5EF4-FFF2-40B4-BE49-F238E27FC236}">
              <a16:creationId xmlns:a16="http://schemas.microsoft.com/office/drawing/2014/main" id="{6D44BCCD-CA35-42A7-840B-97AE177091B1}"/>
            </a:ext>
          </a:extLst>
        </xdr:cNvPr>
        <xdr:cNvSpPr txBox="1"/>
      </xdr:nvSpPr>
      <xdr:spPr>
        <a:xfrm>
          <a:off x="7369763" y="210379"/>
          <a:ext cx="96519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14" name="TextBox 13">
          <a:hlinkClick xmlns:r="http://schemas.openxmlformats.org/officeDocument/2006/relationships" r:id="rId8"/>
          <a:extLst>
            <a:ext uri="{FF2B5EF4-FFF2-40B4-BE49-F238E27FC236}">
              <a16:creationId xmlns:a16="http://schemas.microsoft.com/office/drawing/2014/main" id="{D6902414-AB55-4E1F-93D8-36648656B599}"/>
            </a:ext>
          </a:extLst>
        </xdr:cNvPr>
        <xdr:cNvSpPr txBox="1"/>
      </xdr:nvSpPr>
      <xdr:spPr>
        <a:xfrm>
          <a:off x="8237686"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4323E8EA-B1E7-47E1-BB9D-0367F5DCDE98}"/>
            </a:ext>
          </a:extLst>
        </xdr:cNvPr>
        <xdr:cNvSpPr txBox="1"/>
      </xdr:nvSpPr>
      <xdr:spPr>
        <a:xfrm>
          <a:off x="9096138"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16" name="TextBox 15">
          <a:hlinkClick xmlns:r="http://schemas.openxmlformats.org/officeDocument/2006/relationships" r:id="rId10"/>
          <a:extLst>
            <a:ext uri="{FF2B5EF4-FFF2-40B4-BE49-F238E27FC236}">
              <a16:creationId xmlns:a16="http://schemas.microsoft.com/office/drawing/2014/main" id="{EE8F874B-D9FD-4D86-A550-5B07F5F9C351}"/>
            </a:ext>
          </a:extLst>
        </xdr:cNvPr>
        <xdr:cNvSpPr txBox="1"/>
      </xdr:nvSpPr>
      <xdr:spPr>
        <a:xfrm>
          <a:off x="9952909" y="210379"/>
          <a:ext cx="954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17" name="TextBox 16">
          <a:hlinkClick xmlns:r="http://schemas.openxmlformats.org/officeDocument/2006/relationships" r:id="rId11"/>
          <a:extLst>
            <a:ext uri="{FF2B5EF4-FFF2-40B4-BE49-F238E27FC236}">
              <a16:creationId xmlns:a16="http://schemas.microsoft.com/office/drawing/2014/main" id="{2647CC8D-D7AD-4435-86D0-EAF01DE2C6FA}"/>
            </a:ext>
          </a:extLst>
        </xdr:cNvPr>
        <xdr:cNvSpPr txBox="1"/>
      </xdr:nvSpPr>
      <xdr:spPr>
        <a:xfrm>
          <a:off x="10810457" y="210379"/>
          <a:ext cx="955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18" name="TextBox 17">
          <a:hlinkClick xmlns:r="http://schemas.openxmlformats.org/officeDocument/2006/relationships" r:id="rId12"/>
          <a:extLst>
            <a:ext uri="{FF2B5EF4-FFF2-40B4-BE49-F238E27FC236}">
              <a16:creationId xmlns:a16="http://schemas.microsoft.com/office/drawing/2014/main" id="{E4391521-BEF9-4D5C-985E-A5F6C8D0B111}"/>
            </a:ext>
          </a:extLst>
        </xdr:cNvPr>
        <xdr:cNvSpPr txBox="1"/>
      </xdr:nvSpPr>
      <xdr:spPr>
        <a:xfrm>
          <a:off x="11668359" y="210379"/>
          <a:ext cx="9536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19" name="TextBox 18">
          <a:hlinkClick xmlns:r="http://schemas.openxmlformats.org/officeDocument/2006/relationships" r:id="rId13"/>
          <a:extLst>
            <a:ext uri="{FF2B5EF4-FFF2-40B4-BE49-F238E27FC236}">
              <a16:creationId xmlns:a16="http://schemas.microsoft.com/office/drawing/2014/main" id="{46CD1145-BC7E-4527-A389-4856AA527EE5}"/>
            </a:ext>
          </a:extLst>
        </xdr:cNvPr>
        <xdr:cNvSpPr txBox="1"/>
      </xdr:nvSpPr>
      <xdr:spPr>
        <a:xfrm>
          <a:off x="13377105" y="210379"/>
          <a:ext cx="95278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20" name="TextBox 19">
          <a:hlinkClick xmlns:r="http://schemas.openxmlformats.org/officeDocument/2006/relationships" r:id="rId14"/>
          <a:extLst>
            <a:ext uri="{FF2B5EF4-FFF2-40B4-BE49-F238E27FC236}">
              <a16:creationId xmlns:a16="http://schemas.microsoft.com/office/drawing/2014/main" id="{CD34E164-0B95-4B40-BCC7-F3292624029B}"/>
            </a:ext>
          </a:extLst>
        </xdr:cNvPr>
        <xdr:cNvSpPr txBox="1"/>
      </xdr:nvSpPr>
      <xdr:spPr>
        <a:xfrm>
          <a:off x="14232612" y="210379"/>
          <a:ext cx="9544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21" name="TextBox 20">
          <a:hlinkClick xmlns:r="http://schemas.openxmlformats.org/officeDocument/2006/relationships" r:id="rId15"/>
          <a:extLst>
            <a:ext uri="{FF2B5EF4-FFF2-40B4-BE49-F238E27FC236}">
              <a16:creationId xmlns:a16="http://schemas.microsoft.com/office/drawing/2014/main" id="{A7BF2CAD-D92A-4951-923C-8CDC48875369}"/>
            </a:ext>
          </a:extLst>
        </xdr:cNvPr>
        <xdr:cNvSpPr txBox="1"/>
      </xdr:nvSpPr>
      <xdr:spPr>
        <a:xfrm>
          <a:off x="15091130"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22" name="TextBox 21">
          <a:hlinkClick xmlns:r="http://schemas.openxmlformats.org/officeDocument/2006/relationships" r:id="rId16"/>
          <a:extLst>
            <a:ext uri="{FF2B5EF4-FFF2-40B4-BE49-F238E27FC236}">
              <a16:creationId xmlns:a16="http://schemas.microsoft.com/office/drawing/2014/main" id="{021215DE-0F75-4CB5-AF05-53CA04C193AD}"/>
            </a:ext>
          </a:extLst>
        </xdr:cNvPr>
        <xdr:cNvSpPr txBox="1"/>
      </xdr:nvSpPr>
      <xdr:spPr>
        <a:xfrm>
          <a:off x="15947990" y="210379"/>
          <a:ext cx="9605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23" name="TextBox 22">
          <a:hlinkClick xmlns:r="http://schemas.openxmlformats.org/officeDocument/2006/relationships" r:id="rId17"/>
          <a:extLst>
            <a:ext uri="{FF2B5EF4-FFF2-40B4-BE49-F238E27FC236}">
              <a16:creationId xmlns:a16="http://schemas.microsoft.com/office/drawing/2014/main" id="{520BB94F-D027-4E0E-A3C1-1CDC23564898}"/>
            </a:ext>
          </a:extLst>
        </xdr:cNvPr>
        <xdr:cNvSpPr txBox="1"/>
      </xdr:nvSpPr>
      <xdr:spPr>
        <a:xfrm>
          <a:off x="16812641" y="210379"/>
          <a:ext cx="9540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24" name="Straight Connector 23">
          <a:extLst>
            <a:ext uri="{FF2B5EF4-FFF2-40B4-BE49-F238E27FC236}">
              <a16:creationId xmlns:a16="http://schemas.microsoft.com/office/drawing/2014/main" id="{9731AEEE-8A18-4D83-8CEF-7A853122BA2D}"/>
            </a:ext>
          </a:extLst>
        </xdr:cNvPr>
        <xdr:cNvCxnSpPr/>
      </xdr:nvCxnSpPr>
      <xdr:spPr>
        <a:xfrm>
          <a:off x="655864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25" name="Straight Connector 24">
          <a:extLst>
            <a:ext uri="{FF2B5EF4-FFF2-40B4-BE49-F238E27FC236}">
              <a16:creationId xmlns:a16="http://schemas.microsoft.com/office/drawing/2014/main" id="{9971DB45-4C75-4422-8878-CA0F9519F824}"/>
            </a:ext>
          </a:extLst>
        </xdr:cNvPr>
        <xdr:cNvCxnSpPr/>
      </xdr:nvCxnSpPr>
      <xdr:spPr>
        <a:xfrm>
          <a:off x="570627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26" name="Straight Connector 25">
          <a:extLst>
            <a:ext uri="{FF2B5EF4-FFF2-40B4-BE49-F238E27FC236}">
              <a16:creationId xmlns:a16="http://schemas.microsoft.com/office/drawing/2014/main" id="{7B9710C3-1CC4-4457-B730-32EDB7EC0490}"/>
            </a:ext>
          </a:extLst>
        </xdr:cNvPr>
        <xdr:cNvCxnSpPr/>
      </xdr:nvCxnSpPr>
      <xdr:spPr>
        <a:xfrm>
          <a:off x="484648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27" name="Straight Connector 26">
          <a:extLst>
            <a:ext uri="{FF2B5EF4-FFF2-40B4-BE49-F238E27FC236}">
              <a16:creationId xmlns:a16="http://schemas.microsoft.com/office/drawing/2014/main" id="{48FC2BC9-776E-4DF9-ABF2-5BAFD0F4BEF3}"/>
            </a:ext>
          </a:extLst>
        </xdr:cNvPr>
        <xdr:cNvCxnSpPr/>
      </xdr:nvCxnSpPr>
      <xdr:spPr>
        <a:xfrm>
          <a:off x="741840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28" name="Straight Connector 27">
          <a:extLst>
            <a:ext uri="{FF2B5EF4-FFF2-40B4-BE49-F238E27FC236}">
              <a16:creationId xmlns:a16="http://schemas.microsoft.com/office/drawing/2014/main" id="{91252160-9A27-4C46-9ABD-0C9E7AE7F37F}"/>
            </a:ext>
          </a:extLst>
        </xdr:cNvPr>
        <xdr:cNvCxnSpPr/>
      </xdr:nvCxnSpPr>
      <xdr:spPr>
        <a:xfrm>
          <a:off x="828632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29" name="Straight Connector 28">
          <a:extLst>
            <a:ext uri="{FF2B5EF4-FFF2-40B4-BE49-F238E27FC236}">
              <a16:creationId xmlns:a16="http://schemas.microsoft.com/office/drawing/2014/main" id="{EEEA3214-EF43-4122-A596-08F0B31B8894}"/>
            </a:ext>
          </a:extLst>
        </xdr:cNvPr>
        <xdr:cNvCxnSpPr/>
      </xdr:nvCxnSpPr>
      <xdr:spPr>
        <a:xfrm>
          <a:off x="9143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30" name="Straight Connector 29">
          <a:extLst>
            <a:ext uri="{FF2B5EF4-FFF2-40B4-BE49-F238E27FC236}">
              <a16:creationId xmlns:a16="http://schemas.microsoft.com/office/drawing/2014/main" id="{432F1C86-B566-481A-8512-B07C937309A8}"/>
            </a:ext>
          </a:extLst>
        </xdr:cNvPr>
        <xdr:cNvCxnSpPr/>
      </xdr:nvCxnSpPr>
      <xdr:spPr>
        <a:xfrm>
          <a:off x="100015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31" name="Straight Connector 30">
          <a:extLst>
            <a:ext uri="{FF2B5EF4-FFF2-40B4-BE49-F238E27FC236}">
              <a16:creationId xmlns:a16="http://schemas.microsoft.com/office/drawing/2014/main" id="{45715098-1746-4474-BDCC-1F0F1A4517F9}"/>
            </a:ext>
          </a:extLst>
        </xdr:cNvPr>
        <xdr:cNvCxnSpPr/>
      </xdr:nvCxnSpPr>
      <xdr:spPr>
        <a:xfrm>
          <a:off x="10859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32" name="Straight Connector 31">
          <a:extLst>
            <a:ext uri="{FF2B5EF4-FFF2-40B4-BE49-F238E27FC236}">
              <a16:creationId xmlns:a16="http://schemas.microsoft.com/office/drawing/2014/main" id="{6E21F85E-682B-4D17-8967-3A37BD9EB348}"/>
            </a:ext>
          </a:extLst>
        </xdr:cNvPr>
        <xdr:cNvCxnSpPr/>
      </xdr:nvCxnSpPr>
      <xdr:spPr>
        <a:xfrm>
          <a:off x="1171699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33" name="Straight Connector 32">
          <a:extLst>
            <a:ext uri="{FF2B5EF4-FFF2-40B4-BE49-F238E27FC236}">
              <a16:creationId xmlns:a16="http://schemas.microsoft.com/office/drawing/2014/main" id="{4622DB7B-28FE-42F8-9160-62C67C1489CC}"/>
            </a:ext>
          </a:extLst>
        </xdr:cNvPr>
        <xdr:cNvCxnSpPr/>
      </xdr:nvCxnSpPr>
      <xdr:spPr>
        <a:xfrm>
          <a:off x="1342574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34" name="Straight Connector 33">
          <a:extLst>
            <a:ext uri="{FF2B5EF4-FFF2-40B4-BE49-F238E27FC236}">
              <a16:creationId xmlns:a16="http://schemas.microsoft.com/office/drawing/2014/main" id="{9FD08460-D676-4FEF-A9AB-C04B98624B9A}"/>
            </a:ext>
          </a:extLst>
        </xdr:cNvPr>
        <xdr:cNvCxnSpPr/>
      </xdr:nvCxnSpPr>
      <xdr:spPr>
        <a:xfrm>
          <a:off x="1428124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35" name="Straight Connector 34">
          <a:extLst>
            <a:ext uri="{FF2B5EF4-FFF2-40B4-BE49-F238E27FC236}">
              <a16:creationId xmlns:a16="http://schemas.microsoft.com/office/drawing/2014/main" id="{6B0052C1-015A-493A-BAD5-8B38CA158972}"/>
            </a:ext>
          </a:extLst>
        </xdr:cNvPr>
        <xdr:cNvCxnSpPr/>
      </xdr:nvCxnSpPr>
      <xdr:spPr>
        <a:xfrm>
          <a:off x="151384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36" name="Straight Connector 35">
          <a:extLst>
            <a:ext uri="{FF2B5EF4-FFF2-40B4-BE49-F238E27FC236}">
              <a16:creationId xmlns:a16="http://schemas.microsoft.com/office/drawing/2014/main" id="{7C198C56-1EAD-411A-8D08-FE94029C8D8E}"/>
            </a:ext>
          </a:extLst>
        </xdr:cNvPr>
        <xdr:cNvCxnSpPr/>
      </xdr:nvCxnSpPr>
      <xdr:spPr>
        <a:xfrm>
          <a:off x="1599798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37" name="Straight Connector 36">
          <a:extLst>
            <a:ext uri="{FF2B5EF4-FFF2-40B4-BE49-F238E27FC236}">
              <a16:creationId xmlns:a16="http://schemas.microsoft.com/office/drawing/2014/main" id="{11EA4403-3D91-479E-A06B-2C9AEFF994F6}"/>
            </a:ext>
          </a:extLst>
        </xdr:cNvPr>
        <xdr:cNvCxnSpPr/>
      </xdr:nvCxnSpPr>
      <xdr:spPr>
        <a:xfrm>
          <a:off x="168599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38" name="Straight Connector 37">
          <a:extLst>
            <a:ext uri="{FF2B5EF4-FFF2-40B4-BE49-F238E27FC236}">
              <a16:creationId xmlns:a16="http://schemas.microsoft.com/office/drawing/2014/main" id="{7096A238-BE2F-4224-B841-1785A45F7827}"/>
            </a:ext>
          </a:extLst>
        </xdr:cNvPr>
        <xdr:cNvCxnSpPr/>
      </xdr:nvCxnSpPr>
      <xdr:spPr>
        <a:xfrm>
          <a:off x="1257340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63</xdr:col>
      <xdr:colOff>1732</xdr:colOff>
      <xdr:row>4</xdr:row>
      <xdr:rowOff>0</xdr:rowOff>
    </xdr:to>
    <xdr:sp macro="" textlink="">
      <xdr:nvSpPr>
        <xdr:cNvPr id="70" name="Rectangle 69">
          <a:extLst>
            <a:ext uri="{FF2B5EF4-FFF2-40B4-BE49-F238E27FC236}">
              <a16:creationId xmlns:a16="http://schemas.microsoft.com/office/drawing/2014/main" id="{35CD4DD6-5EFB-4EE1-AD8A-E94D4F26F49B}"/>
            </a:ext>
          </a:extLst>
        </xdr:cNvPr>
        <xdr:cNvSpPr/>
      </xdr:nvSpPr>
      <xdr:spPr>
        <a:xfrm>
          <a:off x="0" y="0"/>
          <a:ext cx="43140457"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71" name="TextBox 70">
          <a:hlinkClick xmlns:r="http://schemas.openxmlformats.org/officeDocument/2006/relationships" r:id="rId1"/>
          <a:extLst>
            <a:ext uri="{FF2B5EF4-FFF2-40B4-BE49-F238E27FC236}">
              <a16:creationId xmlns:a16="http://schemas.microsoft.com/office/drawing/2014/main" id="{95D37B00-9A99-4261-BE8F-C1DEC23C1B8F}"/>
            </a:ext>
          </a:extLst>
        </xdr:cNvPr>
        <xdr:cNvSpPr txBox="1"/>
      </xdr:nvSpPr>
      <xdr:spPr>
        <a:xfrm>
          <a:off x="12524772" y="210379"/>
          <a:ext cx="9496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2" name="Picture 71">
          <a:extLst>
            <a:ext uri="{FF2B5EF4-FFF2-40B4-BE49-F238E27FC236}">
              <a16:creationId xmlns:a16="http://schemas.microsoft.com/office/drawing/2014/main" id="{3386E088-3243-4C2F-91A8-89E5F015F73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73" name="Straight Connector 72">
          <a:extLst>
            <a:ext uri="{FF2B5EF4-FFF2-40B4-BE49-F238E27FC236}">
              <a16:creationId xmlns:a16="http://schemas.microsoft.com/office/drawing/2014/main" id="{5A964FA7-B3D9-4E19-BF5D-5F4623E5FD84}"/>
            </a:ext>
          </a:extLst>
        </xdr:cNvPr>
        <xdr:cNvCxnSpPr/>
      </xdr:nvCxnSpPr>
      <xdr:spPr>
        <a:xfrm>
          <a:off x="1444759"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74" name="TextBox 73">
          <a:hlinkClick xmlns:r="http://schemas.openxmlformats.org/officeDocument/2006/relationships" r:id="rId3"/>
          <a:extLst>
            <a:ext uri="{FF2B5EF4-FFF2-40B4-BE49-F238E27FC236}">
              <a16:creationId xmlns:a16="http://schemas.microsoft.com/office/drawing/2014/main" id="{26E4D444-6DA1-4E41-906E-1C37B2AF0EEA}"/>
            </a:ext>
          </a:extLst>
        </xdr:cNvPr>
        <xdr:cNvSpPr txBox="1"/>
      </xdr:nvSpPr>
      <xdr:spPr>
        <a:xfrm>
          <a:off x="3948757" y="210379"/>
          <a:ext cx="94636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75" name="TextBox 74">
          <a:hlinkClick xmlns:r="http://schemas.openxmlformats.org/officeDocument/2006/relationships" r:id="rId4"/>
          <a:extLst>
            <a:ext uri="{FF2B5EF4-FFF2-40B4-BE49-F238E27FC236}">
              <a16:creationId xmlns:a16="http://schemas.microsoft.com/office/drawing/2014/main" id="{C2A46DC5-895F-4882-9823-C6832278A525}"/>
            </a:ext>
          </a:extLst>
        </xdr:cNvPr>
        <xdr:cNvSpPr txBox="1"/>
      </xdr:nvSpPr>
      <xdr:spPr>
        <a:xfrm>
          <a:off x="4797846" y="210379"/>
          <a:ext cx="95570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87189D5F-8971-494D-ABD3-76237B099CCC}"/>
            </a:ext>
          </a:extLst>
        </xdr:cNvPr>
        <xdr:cNvSpPr txBox="1"/>
      </xdr:nvSpPr>
      <xdr:spPr>
        <a:xfrm>
          <a:off x="5657634" y="210379"/>
          <a:ext cx="9496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A5EA1171-670D-486A-B5AF-67EC71FECDFD}"/>
            </a:ext>
          </a:extLst>
        </xdr:cNvPr>
        <xdr:cNvSpPr txBox="1"/>
      </xdr:nvSpPr>
      <xdr:spPr>
        <a:xfrm>
          <a:off x="6510003" y="210379"/>
          <a:ext cx="9570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7CB60C3-AD56-48AB-A6A0-E11B32597386}"/>
            </a:ext>
          </a:extLst>
        </xdr:cNvPr>
        <xdr:cNvSpPr txBox="1"/>
      </xdr:nvSpPr>
      <xdr:spPr>
        <a:xfrm>
          <a:off x="7369763" y="210379"/>
          <a:ext cx="96519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65D37E32-8F97-44D1-8CA5-08F420F2F038}"/>
            </a:ext>
          </a:extLst>
        </xdr:cNvPr>
        <xdr:cNvSpPr txBox="1"/>
      </xdr:nvSpPr>
      <xdr:spPr>
        <a:xfrm>
          <a:off x="8237686"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A0982F54-DD53-47B1-93F4-49F00F951F98}"/>
            </a:ext>
          </a:extLst>
        </xdr:cNvPr>
        <xdr:cNvSpPr txBox="1"/>
      </xdr:nvSpPr>
      <xdr:spPr>
        <a:xfrm>
          <a:off x="9096138"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D04CFF36-9304-4D25-B2C1-4C22E0AD4DFD}"/>
            </a:ext>
          </a:extLst>
        </xdr:cNvPr>
        <xdr:cNvSpPr txBox="1"/>
      </xdr:nvSpPr>
      <xdr:spPr>
        <a:xfrm>
          <a:off x="9952909" y="210379"/>
          <a:ext cx="954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E52279A8-87D8-4840-8A32-C82CEC2C9A3A}"/>
            </a:ext>
          </a:extLst>
        </xdr:cNvPr>
        <xdr:cNvSpPr txBox="1"/>
      </xdr:nvSpPr>
      <xdr:spPr>
        <a:xfrm>
          <a:off x="10810457" y="210379"/>
          <a:ext cx="955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5797179F-DA0A-4973-8F62-DDC5A6B01405}"/>
            </a:ext>
          </a:extLst>
        </xdr:cNvPr>
        <xdr:cNvSpPr txBox="1"/>
      </xdr:nvSpPr>
      <xdr:spPr>
        <a:xfrm>
          <a:off x="11668359" y="210379"/>
          <a:ext cx="9536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6DAB30F1-D00F-44B2-B9C8-A35FA27DA191}"/>
            </a:ext>
          </a:extLst>
        </xdr:cNvPr>
        <xdr:cNvSpPr txBox="1"/>
      </xdr:nvSpPr>
      <xdr:spPr>
        <a:xfrm>
          <a:off x="13377105" y="210379"/>
          <a:ext cx="95278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E3EB11FC-B890-45BF-A66C-62B024C3A1C6}"/>
            </a:ext>
          </a:extLst>
        </xdr:cNvPr>
        <xdr:cNvSpPr txBox="1"/>
      </xdr:nvSpPr>
      <xdr:spPr>
        <a:xfrm>
          <a:off x="14232612" y="210379"/>
          <a:ext cx="95443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12BD7970-70FD-4C28-B89B-90CBB5F1B076}"/>
            </a:ext>
          </a:extLst>
        </xdr:cNvPr>
        <xdr:cNvSpPr txBox="1"/>
      </xdr:nvSpPr>
      <xdr:spPr>
        <a:xfrm>
          <a:off x="15091130"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AF660493-F45D-439F-AD2E-609726114D09}"/>
            </a:ext>
          </a:extLst>
        </xdr:cNvPr>
        <xdr:cNvSpPr txBox="1"/>
      </xdr:nvSpPr>
      <xdr:spPr>
        <a:xfrm>
          <a:off x="15947990" y="210379"/>
          <a:ext cx="9605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7BDEF001-A644-4270-AED4-901811B8029B}"/>
            </a:ext>
          </a:extLst>
        </xdr:cNvPr>
        <xdr:cNvSpPr txBox="1"/>
      </xdr:nvSpPr>
      <xdr:spPr>
        <a:xfrm>
          <a:off x="16812641" y="210379"/>
          <a:ext cx="95404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89" name="Straight Connector 88">
          <a:extLst>
            <a:ext uri="{FF2B5EF4-FFF2-40B4-BE49-F238E27FC236}">
              <a16:creationId xmlns:a16="http://schemas.microsoft.com/office/drawing/2014/main" id="{679700E9-EACF-467D-AD75-109BD6D7F74C}"/>
            </a:ext>
          </a:extLst>
        </xdr:cNvPr>
        <xdr:cNvCxnSpPr/>
      </xdr:nvCxnSpPr>
      <xdr:spPr>
        <a:xfrm>
          <a:off x="655864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90" name="Straight Connector 89">
          <a:extLst>
            <a:ext uri="{FF2B5EF4-FFF2-40B4-BE49-F238E27FC236}">
              <a16:creationId xmlns:a16="http://schemas.microsoft.com/office/drawing/2014/main" id="{33B6EA91-C977-4563-8F4E-81A34824EFD6}"/>
            </a:ext>
          </a:extLst>
        </xdr:cNvPr>
        <xdr:cNvCxnSpPr/>
      </xdr:nvCxnSpPr>
      <xdr:spPr>
        <a:xfrm>
          <a:off x="570627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91" name="Straight Connector 90">
          <a:extLst>
            <a:ext uri="{FF2B5EF4-FFF2-40B4-BE49-F238E27FC236}">
              <a16:creationId xmlns:a16="http://schemas.microsoft.com/office/drawing/2014/main" id="{E7086B54-F689-44B2-8A90-B615B211718C}"/>
            </a:ext>
          </a:extLst>
        </xdr:cNvPr>
        <xdr:cNvCxnSpPr/>
      </xdr:nvCxnSpPr>
      <xdr:spPr>
        <a:xfrm>
          <a:off x="484648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92" name="Straight Connector 91">
          <a:extLst>
            <a:ext uri="{FF2B5EF4-FFF2-40B4-BE49-F238E27FC236}">
              <a16:creationId xmlns:a16="http://schemas.microsoft.com/office/drawing/2014/main" id="{AA9E7220-30D1-4544-AD29-DBB7A1E56CD4}"/>
            </a:ext>
          </a:extLst>
        </xdr:cNvPr>
        <xdr:cNvCxnSpPr/>
      </xdr:nvCxnSpPr>
      <xdr:spPr>
        <a:xfrm>
          <a:off x="741840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93" name="Straight Connector 92">
          <a:extLst>
            <a:ext uri="{FF2B5EF4-FFF2-40B4-BE49-F238E27FC236}">
              <a16:creationId xmlns:a16="http://schemas.microsoft.com/office/drawing/2014/main" id="{DBDD5DBF-5F2B-4E53-9DFF-8C3AFD8D876B}"/>
            </a:ext>
          </a:extLst>
        </xdr:cNvPr>
        <xdr:cNvCxnSpPr/>
      </xdr:nvCxnSpPr>
      <xdr:spPr>
        <a:xfrm>
          <a:off x="828632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94" name="Straight Connector 93">
          <a:extLst>
            <a:ext uri="{FF2B5EF4-FFF2-40B4-BE49-F238E27FC236}">
              <a16:creationId xmlns:a16="http://schemas.microsoft.com/office/drawing/2014/main" id="{B1F716DC-B2E2-49C9-B3FD-5DCD209C1CAE}"/>
            </a:ext>
          </a:extLst>
        </xdr:cNvPr>
        <xdr:cNvCxnSpPr/>
      </xdr:nvCxnSpPr>
      <xdr:spPr>
        <a:xfrm>
          <a:off x="9143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95" name="Straight Connector 94">
          <a:extLst>
            <a:ext uri="{FF2B5EF4-FFF2-40B4-BE49-F238E27FC236}">
              <a16:creationId xmlns:a16="http://schemas.microsoft.com/office/drawing/2014/main" id="{526BA436-C32D-4DE7-9D6D-665A944C7453}"/>
            </a:ext>
          </a:extLst>
        </xdr:cNvPr>
        <xdr:cNvCxnSpPr/>
      </xdr:nvCxnSpPr>
      <xdr:spPr>
        <a:xfrm>
          <a:off x="100015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96" name="Straight Connector 95">
          <a:extLst>
            <a:ext uri="{FF2B5EF4-FFF2-40B4-BE49-F238E27FC236}">
              <a16:creationId xmlns:a16="http://schemas.microsoft.com/office/drawing/2014/main" id="{C7EBB18A-6042-4A80-8DD4-58671963C184}"/>
            </a:ext>
          </a:extLst>
        </xdr:cNvPr>
        <xdr:cNvCxnSpPr/>
      </xdr:nvCxnSpPr>
      <xdr:spPr>
        <a:xfrm>
          <a:off x="1085909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97" name="Straight Connector 96">
          <a:extLst>
            <a:ext uri="{FF2B5EF4-FFF2-40B4-BE49-F238E27FC236}">
              <a16:creationId xmlns:a16="http://schemas.microsoft.com/office/drawing/2014/main" id="{E006D113-3376-4E70-A850-E0BC97639453}"/>
            </a:ext>
          </a:extLst>
        </xdr:cNvPr>
        <xdr:cNvCxnSpPr/>
      </xdr:nvCxnSpPr>
      <xdr:spPr>
        <a:xfrm>
          <a:off x="1171699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98" name="Straight Connector 97">
          <a:extLst>
            <a:ext uri="{FF2B5EF4-FFF2-40B4-BE49-F238E27FC236}">
              <a16:creationId xmlns:a16="http://schemas.microsoft.com/office/drawing/2014/main" id="{91107412-E40A-4A61-A2BD-DD046FB5F3EA}"/>
            </a:ext>
          </a:extLst>
        </xdr:cNvPr>
        <xdr:cNvCxnSpPr/>
      </xdr:nvCxnSpPr>
      <xdr:spPr>
        <a:xfrm>
          <a:off x="1342574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99" name="Straight Connector 98">
          <a:extLst>
            <a:ext uri="{FF2B5EF4-FFF2-40B4-BE49-F238E27FC236}">
              <a16:creationId xmlns:a16="http://schemas.microsoft.com/office/drawing/2014/main" id="{780F1D84-248E-4748-AE35-F17418476A90}"/>
            </a:ext>
          </a:extLst>
        </xdr:cNvPr>
        <xdr:cNvCxnSpPr/>
      </xdr:nvCxnSpPr>
      <xdr:spPr>
        <a:xfrm>
          <a:off x="1428124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100" name="Straight Connector 99">
          <a:extLst>
            <a:ext uri="{FF2B5EF4-FFF2-40B4-BE49-F238E27FC236}">
              <a16:creationId xmlns:a16="http://schemas.microsoft.com/office/drawing/2014/main" id="{9BC00098-A0C5-4E1E-BA0B-5E44E7BB6FAB}"/>
            </a:ext>
          </a:extLst>
        </xdr:cNvPr>
        <xdr:cNvCxnSpPr/>
      </xdr:nvCxnSpPr>
      <xdr:spPr>
        <a:xfrm>
          <a:off x="151384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101" name="Straight Connector 100">
          <a:extLst>
            <a:ext uri="{FF2B5EF4-FFF2-40B4-BE49-F238E27FC236}">
              <a16:creationId xmlns:a16="http://schemas.microsoft.com/office/drawing/2014/main" id="{42709045-E1B6-4E1F-8CC4-AEA51DDF9AD9}"/>
            </a:ext>
          </a:extLst>
        </xdr:cNvPr>
        <xdr:cNvCxnSpPr/>
      </xdr:nvCxnSpPr>
      <xdr:spPr>
        <a:xfrm>
          <a:off x="1599798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102" name="Straight Connector 101">
          <a:extLst>
            <a:ext uri="{FF2B5EF4-FFF2-40B4-BE49-F238E27FC236}">
              <a16:creationId xmlns:a16="http://schemas.microsoft.com/office/drawing/2014/main" id="{A3BDD72D-4DA5-4144-8D7D-63FE95FA16CE}"/>
            </a:ext>
          </a:extLst>
        </xdr:cNvPr>
        <xdr:cNvCxnSpPr/>
      </xdr:nvCxnSpPr>
      <xdr:spPr>
        <a:xfrm>
          <a:off x="1685990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103" name="Straight Connector 102">
          <a:extLst>
            <a:ext uri="{FF2B5EF4-FFF2-40B4-BE49-F238E27FC236}">
              <a16:creationId xmlns:a16="http://schemas.microsoft.com/office/drawing/2014/main" id="{2616EA24-65E9-47D7-9A56-B13AF915B9C6}"/>
            </a:ext>
          </a:extLst>
        </xdr:cNvPr>
        <xdr:cNvCxnSpPr/>
      </xdr:nvCxnSpPr>
      <xdr:spPr>
        <a:xfrm>
          <a:off x="1257340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1"/>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3"/>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4"/>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5"/>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6"/>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7"/>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8"/>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9"/>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0"/>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1"/>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2"/>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3"/>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4"/>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5"/>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6"/>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7"/>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246530</xdr:colOff>
      <xdr:row>31</xdr:row>
      <xdr:rowOff>0</xdr:rowOff>
    </xdr:from>
    <xdr:to>
      <xdr:col>20</xdr:col>
      <xdr:colOff>369794</xdr:colOff>
      <xdr:row>53</xdr:row>
      <xdr:rowOff>17720</xdr:rowOff>
    </xdr:to>
    <xdr:pic>
      <xdr:nvPicPr>
        <xdr:cNvPr id="2" name="Picture 1">
          <a:extLst>
            <a:ext uri="{FF2B5EF4-FFF2-40B4-BE49-F238E27FC236}">
              <a16:creationId xmlns:a16="http://schemas.microsoft.com/office/drawing/2014/main" id="{CC8B4829-BB2D-87AC-C8AC-BAEDCE8FA279}"/>
            </a:ext>
          </a:extLst>
        </xdr:cNvPr>
        <xdr:cNvPicPr>
          <a:picLocks noChangeAspect="1"/>
        </xdr:cNvPicPr>
      </xdr:nvPicPr>
      <xdr:blipFill>
        <a:blip xmlns:r="http://schemas.openxmlformats.org/officeDocument/2006/relationships" r:embed="rId18"/>
        <a:stretch>
          <a:fillRect/>
        </a:stretch>
      </xdr:blipFill>
      <xdr:spPr>
        <a:xfrm>
          <a:off x="9379324" y="5322794"/>
          <a:ext cx="7238999" cy="4208720"/>
        </a:xfrm>
        <a:prstGeom prst="rect">
          <a:avLst/>
        </a:prstGeom>
      </xdr:spPr>
    </xdr:pic>
    <xdr:clientData/>
  </xdr:twoCellAnchor>
  <xdr:twoCellAnchor editAs="oneCell">
    <xdr:from>
      <xdr:col>1</xdr:col>
      <xdr:colOff>549088</xdr:colOff>
      <xdr:row>31</xdr:row>
      <xdr:rowOff>22412</xdr:rowOff>
    </xdr:from>
    <xdr:to>
      <xdr:col>9</xdr:col>
      <xdr:colOff>394434</xdr:colOff>
      <xdr:row>53</xdr:row>
      <xdr:rowOff>22412</xdr:rowOff>
    </xdr:to>
    <xdr:pic>
      <xdr:nvPicPr>
        <xdr:cNvPr id="3" name="Picture 2">
          <a:extLst>
            <a:ext uri="{FF2B5EF4-FFF2-40B4-BE49-F238E27FC236}">
              <a16:creationId xmlns:a16="http://schemas.microsoft.com/office/drawing/2014/main" id="{AEF0E2B0-DC50-AFCD-9A2E-AC4158AD3F28}"/>
            </a:ext>
          </a:extLst>
        </xdr:cNvPr>
        <xdr:cNvPicPr>
          <a:picLocks noChangeAspect="1"/>
        </xdr:cNvPicPr>
      </xdr:nvPicPr>
      <xdr:blipFill>
        <a:blip xmlns:r="http://schemas.openxmlformats.org/officeDocument/2006/relationships" r:embed="rId19"/>
        <a:stretch>
          <a:fillRect/>
        </a:stretch>
      </xdr:blipFill>
      <xdr:spPr>
        <a:xfrm>
          <a:off x="705970" y="5345206"/>
          <a:ext cx="7230023" cy="4191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raul.vasconcelos@aln.iseg.ulisboa.pt" TargetMode="External"/><Relationship Id="rId3" Type="http://schemas.openxmlformats.org/officeDocument/2006/relationships/hyperlink" Target="mailto:raul.vasconcelos@aln.iseg.ulisboa.pt" TargetMode="External"/><Relationship Id="rId7" Type="http://schemas.openxmlformats.org/officeDocument/2006/relationships/hyperlink" Target="mailto:l61773@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l64272@aln.iseg.ulisboa.pt" TargetMode="External"/><Relationship Id="rId11" Type="http://schemas.openxmlformats.org/officeDocument/2006/relationships/drawing" Target="../drawings/drawing2.xml"/><Relationship Id="rId5" Type="http://schemas.openxmlformats.org/officeDocument/2006/relationships/hyperlink" Target="mailto:raul.vasconcelos@aln.iseg.ulisboa.pt" TargetMode="External"/><Relationship Id="rId10" Type="http://schemas.openxmlformats.org/officeDocument/2006/relationships/printerSettings" Target="../printerSettings/printerSettings1.bin"/><Relationship Id="rId4" Type="http://schemas.openxmlformats.org/officeDocument/2006/relationships/hyperlink" Target="mailto:joao@aln.iseg.ulisboa.pt" TargetMode="External"/><Relationship Id="rId9" Type="http://schemas.openxmlformats.org/officeDocument/2006/relationships/hyperlink" Target="mailto:l63835@aln.iseg.ulisboa.p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rowthmarketreports.com/report/commercial-real-estate-market-brazil-industry-analysis" TargetMode="External"/><Relationship Id="rId2" Type="http://schemas.openxmlformats.org/officeDocument/2006/relationships/hyperlink" Target="https://www.mordorintelligence.com/industry-reports/commercial-real-estate-market-in-brazil" TargetMode="External"/><Relationship Id="rId1" Type="http://schemas.openxmlformats.org/officeDocument/2006/relationships/hyperlink" Target="https://www.imarcgroup.com/brazil-commercial-real-estate-market"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topLeftCell="A3" zoomScale="70" zoomScaleNormal="70" workbookViewId="0">
      <selection activeCell="R49" sqref="R49"/>
    </sheetView>
  </sheetViews>
  <sheetFormatPr defaultColWidth="9" defaultRowHeight="15" customHeight="1"/>
  <cols>
    <col min="1" max="2" width="9" style="573"/>
    <col min="3" max="5" width="10.125" style="573" bestFit="1" customWidth="1"/>
    <col min="6" max="16384" width="9" style="573"/>
  </cols>
  <sheetData>
    <row r="1" s="568" customFormat="1" ht="15" customHeight="1"/>
    <row r="2" s="568" customFormat="1" ht="15" customHeight="1"/>
    <row r="3" s="568" customFormat="1" ht="15" customHeight="1"/>
    <row r="4" s="568" customFormat="1" ht="15" customHeight="1"/>
    <row r="5" ht="3.95" customHeight="1"/>
    <row r="101" spans="3:3" ht="15" customHeight="1">
      <c r="C101" s="600"/>
    </row>
    <row r="102" spans="3:3" ht="15" customHeight="1">
      <c r="C102" s="600"/>
    </row>
    <row r="103" spans="3:3" ht="15" customHeight="1">
      <c r="C103" s="600"/>
    </row>
    <row r="104" spans="3:3" ht="15" customHeight="1">
      <c r="C104" s="600"/>
    </row>
    <row r="105" spans="3:3" ht="15" customHeight="1">
      <c r="C105" s="600"/>
    </row>
    <row r="106" spans="3:3" ht="15" customHeight="1">
      <c r="C106" s="600"/>
    </row>
    <row r="107" spans="3:3" ht="15" customHeight="1">
      <c r="C107" s="600"/>
    </row>
    <row r="108" spans="3:3" ht="15" customHeight="1">
      <c r="C108" s="600"/>
    </row>
    <row r="109" spans="3:3" ht="15" customHeight="1">
      <c r="C109" s="600"/>
    </row>
    <row r="110" spans="3:3" ht="15" customHeight="1">
      <c r="C110" s="600"/>
    </row>
    <row r="111" spans="3:3" ht="15" customHeight="1">
      <c r="C111" s="600"/>
    </row>
    <row r="112" spans="3:3" ht="15" customHeight="1">
      <c r="C112" s="600"/>
    </row>
    <row r="113" spans="3:3" ht="15" customHeight="1">
      <c r="C113" s="600"/>
    </row>
    <row r="114" spans="3:3" ht="15" customHeight="1">
      <c r="C114" s="600"/>
    </row>
    <row r="115" spans="3:3" ht="15" customHeight="1">
      <c r="C115" s="600"/>
    </row>
    <row r="116" spans="3:3" ht="15" customHeight="1">
      <c r="C116" s="600"/>
    </row>
    <row r="117" spans="3:3" ht="15" customHeight="1">
      <c r="C117" s="600"/>
    </row>
    <row r="118" spans="3:3" ht="15" customHeight="1">
      <c r="C118" s="600"/>
    </row>
    <row r="119" spans="3:3" ht="15" customHeight="1">
      <c r="C119" s="600"/>
    </row>
    <row r="120" spans="3:3" ht="15" customHeight="1">
      <c r="C120" s="600"/>
    </row>
    <row r="121" spans="3:3" ht="15" customHeight="1">
      <c r="C121" s="600"/>
    </row>
    <row r="122" spans="3:3" ht="15" customHeight="1">
      <c r="C122" s="600"/>
    </row>
    <row r="123" spans="3:3" ht="15" customHeight="1">
      <c r="C123" s="600"/>
    </row>
    <row r="124" spans="3:3" ht="15" customHeight="1">
      <c r="C124" s="600"/>
    </row>
    <row r="125" spans="3:3" ht="15" customHeight="1">
      <c r="C125" s="600"/>
    </row>
    <row r="126" spans="3:3" ht="15" customHeight="1">
      <c r="C126" s="600"/>
    </row>
    <row r="127" spans="3:3" ht="15" customHeight="1">
      <c r="C127" s="600"/>
    </row>
    <row r="128" spans="3:3" ht="15" customHeight="1">
      <c r="C128" s="600"/>
    </row>
    <row r="129" spans="3:3" ht="15" customHeight="1">
      <c r="C129" s="600"/>
    </row>
    <row r="130" spans="3:3" ht="15" customHeight="1">
      <c r="C130" s="600"/>
    </row>
    <row r="131" spans="3:3" ht="15" customHeight="1">
      <c r="C131" s="600"/>
    </row>
    <row r="132" spans="3:3" ht="15" customHeight="1">
      <c r="C132" s="600"/>
    </row>
    <row r="133" spans="3:3" ht="15" customHeight="1">
      <c r="C133" s="600"/>
    </row>
    <row r="134" spans="3:3" ht="15" customHeight="1">
      <c r="C134" s="600"/>
    </row>
    <row r="135" spans="3:3" ht="15" customHeight="1">
      <c r="C135" s="600"/>
    </row>
    <row r="136" spans="3:3" ht="15" customHeight="1">
      <c r="C136" s="600"/>
    </row>
    <row r="137" spans="3:3" ht="15" customHeight="1">
      <c r="C137" s="600"/>
    </row>
    <row r="138" spans="3:3" ht="15" customHeight="1">
      <c r="C138" s="600"/>
    </row>
    <row r="139" spans="3:3" ht="15" customHeight="1">
      <c r="C139" s="600"/>
    </row>
    <row r="140" spans="3:3" ht="15" customHeight="1">
      <c r="C140" s="600"/>
    </row>
    <row r="141" spans="3:3" ht="15" customHeight="1">
      <c r="C141" s="600"/>
    </row>
    <row r="142" spans="3:3" ht="15" customHeight="1">
      <c r="C142" s="600"/>
    </row>
    <row r="143" spans="3:3" ht="15" customHeight="1">
      <c r="C143" s="600"/>
    </row>
    <row r="144" spans="3:3" ht="15" customHeight="1">
      <c r="C144" s="600"/>
    </row>
    <row r="145" spans="3:12" ht="15" customHeight="1">
      <c r="C145" s="600"/>
    </row>
    <row r="146" spans="3:12" ht="15" customHeight="1">
      <c r="C146" s="600"/>
    </row>
    <row r="147" spans="3:12" ht="15" customHeight="1">
      <c r="C147" s="600"/>
    </row>
    <row r="148" spans="3:12" ht="15" customHeight="1">
      <c r="C148" s="600"/>
    </row>
    <row r="149" spans="3:12" ht="15" customHeight="1">
      <c r="C149" s="600"/>
    </row>
    <row r="150" spans="3:12" ht="15" customHeight="1">
      <c r="C150" s="600"/>
    </row>
    <row r="151" spans="3:12" ht="15" customHeight="1">
      <c r="C151" s="600"/>
    </row>
    <row r="152" spans="3:12" ht="15" customHeight="1">
      <c r="C152" s="600"/>
    </row>
    <row r="153" spans="3:12" ht="15" customHeight="1">
      <c r="C153" s="600"/>
    </row>
    <row r="154" spans="3:12" ht="15" customHeight="1">
      <c r="C154" s="600">
        <f t="shared" ref="C154:C164" si="0">+C155+1</f>
        <v>45972</v>
      </c>
    </row>
    <row r="155" spans="3:12" ht="15" customHeight="1">
      <c r="C155" s="600">
        <f t="shared" si="0"/>
        <v>45971</v>
      </c>
    </row>
    <row r="156" spans="3:12" ht="15" customHeight="1">
      <c r="C156" s="600">
        <f t="shared" si="0"/>
        <v>45970</v>
      </c>
    </row>
    <row r="157" spans="3:12" ht="15" customHeight="1">
      <c r="C157" s="600">
        <f t="shared" si="0"/>
        <v>45969</v>
      </c>
    </row>
    <row r="158" spans="3:12" ht="15" customHeight="1">
      <c r="C158" s="600">
        <f t="shared" si="0"/>
        <v>45968</v>
      </c>
    </row>
    <row r="159" spans="3:12" ht="15" customHeight="1">
      <c r="C159" s="600">
        <f t="shared" si="0"/>
        <v>45967</v>
      </c>
    </row>
    <row r="160" spans="3:12" ht="15" customHeight="1">
      <c r="C160" s="600">
        <f t="shared" si="0"/>
        <v>45966</v>
      </c>
      <c r="L160" s="573">
        <f ca="1">IF(FCFF!$R$157="Revenue Exit",FCFF!$AF$169,IF(FCFF!$R$157="EBITDA Exit",FCFF!Z169,FCFF!AL169))</f>
        <v>2.994343920317426</v>
      </c>
    </row>
    <row r="161" spans="3:5" ht="15" customHeight="1">
      <c r="C161" s="600">
        <f t="shared" si="0"/>
        <v>45965</v>
      </c>
    </row>
    <row r="162" spans="3:5" ht="15" customHeight="1">
      <c r="C162" s="600">
        <f t="shared" si="0"/>
        <v>45964</v>
      </c>
      <c r="E162" s="573">
        <f ca="1">IF(FCFF!$R$157="Revenue Exit",FCFF!$AF$169,IF(FCFF!$R$157="EBITDA Exit",FCFF!Z169,FCFF!AL169))</f>
        <v>2.994343920317426</v>
      </c>
    </row>
    <row r="163" spans="3:5" ht="15" customHeight="1">
      <c r="C163" s="600">
        <f t="shared" si="0"/>
        <v>45963</v>
      </c>
      <c r="E163" s="573">
        <f t="shared" ref="E163:E192" ca="1" si="1">E164+($E$162-$E$193)/COUNTA($C$162:$C$192)</f>
        <v>3.0367844390168668</v>
      </c>
    </row>
    <row r="164" spans="3:5" ht="15" customHeight="1">
      <c r="C164" s="600">
        <f t="shared" si="0"/>
        <v>45962</v>
      </c>
      <c r="E164" s="573">
        <f t="shared" ca="1" si="1"/>
        <v>3.0792249577163044</v>
      </c>
    </row>
    <row r="165" spans="3:5" ht="15" customHeight="1">
      <c r="C165" s="600">
        <f t="shared" ref="C165:C191" si="2">+C166+1</f>
        <v>45961</v>
      </c>
      <c r="E165" s="573">
        <f t="shared" ca="1" si="1"/>
        <v>3.1216654764157421</v>
      </c>
    </row>
    <row r="166" spans="3:5" ht="15" customHeight="1">
      <c r="C166" s="600">
        <f t="shared" si="2"/>
        <v>45960</v>
      </c>
      <c r="E166" s="573">
        <f t="shared" ca="1" si="1"/>
        <v>3.1641059951151798</v>
      </c>
    </row>
    <row r="167" spans="3:5" ht="15" customHeight="1">
      <c r="C167" s="600">
        <f t="shared" si="2"/>
        <v>45959</v>
      </c>
      <c r="E167" s="573">
        <f t="shared" ca="1" si="1"/>
        <v>3.2065465138146174</v>
      </c>
    </row>
    <row r="168" spans="3:5" ht="15" customHeight="1">
      <c r="C168" s="600">
        <f t="shared" si="2"/>
        <v>45958</v>
      </c>
      <c r="E168" s="573">
        <f t="shared" ca="1" si="1"/>
        <v>3.2489870325140551</v>
      </c>
    </row>
    <row r="169" spans="3:5" ht="15" customHeight="1">
      <c r="C169" s="600">
        <f t="shared" si="2"/>
        <v>45957</v>
      </c>
      <c r="E169" s="573">
        <f t="shared" ca="1" si="1"/>
        <v>3.2914275512134927</v>
      </c>
    </row>
    <row r="170" spans="3:5" ht="15" customHeight="1">
      <c r="C170" s="600">
        <f t="shared" si="2"/>
        <v>45956</v>
      </c>
      <c r="E170" s="573">
        <f t="shared" ca="1" si="1"/>
        <v>3.3338680699129304</v>
      </c>
    </row>
    <row r="171" spans="3:5" ht="15" customHeight="1">
      <c r="C171" s="600">
        <f t="shared" si="2"/>
        <v>45955</v>
      </c>
      <c r="E171" s="573">
        <f t="shared" ca="1" si="1"/>
        <v>3.376308588612368</v>
      </c>
    </row>
    <row r="172" spans="3:5" ht="15" customHeight="1">
      <c r="C172" s="600">
        <f t="shared" si="2"/>
        <v>45954</v>
      </c>
      <c r="E172" s="573">
        <f t="shared" ca="1" si="1"/>
        <v>3.4187491073118057</v>
      </c>
    </row>
    <row r="173" spans="3:5" ht="15" customHeight="1">
      <c r="C173" s="600">
        <f t="shared" si="2"/>
        <v>45953</v>
      </c>
      <c r="E173" s="573">
        <f t="shared" ca="1" si="1"/>
        <v>3.4611896260112434</v>
      </c>
    </row>
    <row r="174" spans="3:5" ht="15" customHeight="1">
      <c r="C174" s="600">
        <f t="shared" si="2"/>
        <v>45952</v>
      </c>
      <c r="E174" s="573">
        <f t="shared" ca="1" si="1"/>
        <v>3.503630144710681</v>
      </c>
    </row>
    <row r="175" spans="3:5" ht="15" customHeight="1">
      <c r="C175" s="600">
        <f t="shared" si="2"/>
        <v>45951</v>
      </c>
      <c r="E175" s="573">
        <f t="shared" ca="1" si="1"/>
        <v>3.5460706634101187</v>
      </c>
    </row>
    <row r="176" spans="3:5" ht="15" customHeight="1">
      <c r="C176" s="600">
        <f t="shared" si="2"/>
        <v>45950</v>
      </c>
      <c r="E176" s="573">
        <f t="shared" ca="1" si="1"/>
        <v>3.5885111821095563</v>
      </c>
    </row>
    <row r="177" spans="3:5" ht="15" customHeight="1">
      <c r="C177" s="600">
        <f t="shared" si="2"/>
        <v>45949</v>
      </c>
      <c r="E177" s="573">
        <f t="shared" ca="1" si="1"/>
        <v>3.630951700808994</v>
      </c>
    </row>
    <row r="178" spans="3:5" ht="15" customHeight="1">
      <c r="C178" s="600">
        <f t="shared" si="2"/>
        <v>45948</v>
      </c>
      <c r="E178" s="573">
        <f t="shared" ca="1" si="1"/>
        <v>3.6733922195084316</v>
      </c>
    </row>
    <row r="179" spans="3:5" ht="15" customHeight="1">
      <c r="C179" s="600">
        <f t="shared" si="2"/>
        <v>45947</v>
      </c>
      <c r="E179" s="573">
        <f t="shared" ca="1" si="1"/>
        <v>3.7158327382078693</v>
      </c>
    </row>
    <row r="180" spans="3:5" ht="15" customHeight="1">
      <c r="C180" s="600">
        <f t="shared" si="2"/>
        <v>45946</v>
      </c>
      <c r="E180" s="573">
        <f t="shared" ca="1" si="1"/>
        <v>3.758273256907307</v>
      </c>
    </row>
    <row r="181" spans="3:5" ht="15" customHeight="1">
      <c r="C181" s="600">
        <f t="shared" si="2"/>
        <v>45945</v>
      </c>
      <c r="E181" s="573">
        <f t="shared" ca="1" si="1"/>
        <v>3.8007137756067446</v>
      </c>
    </row>
    <row r="182" spans="3:5" ht="15" customHeight="1">
      <c r="C182" s="600">
        <f t="shared" si="2"/>
        <v>45944</v>
      </c>
      <c r="E182" s="573">
        <f t="shared" ca="1" si="1"/>
        <v>3.8431542943061823</v>
      </c>
    </row>
    <row r="183" spans="3:5" ht="15" customHeight="1">
      <c r="C183" s="600">
        <f t="shared" si="2"/>
        <v>45943</v>
      </c>
      <c r="E183" s="573">
        <f t="shared" ca="1" si="1"/>
        <v>3.8855948130056199</v>
      </c>
    </row>
    <row r="184" spans="3:5" ht="15" customHeight="1">
      <c r="C184" s="600">
        <f t="shared" si="2"/>
        <v>45942</v>
      </c>
      <c r="E184" s="573">
        <f t="shared" ca="1" si="1"/>
        <v>3.9280353317050576</v>
      </c>
    </row>
    <row r="185" spans="3:5" ht="15" customHeight="1">
      <c r="C185" s="600">
        <f t="shared" si="2"/>
        <v>45941</v>
      </c>
      <c r="E185" s="573">
        <f t="shared" ca="1" si="1"/>
        <v>3.9704758504044952</v>
      </c>
    </row>
    <row r="186" spans="3:5" ht="15" customHeight="1">
      <c r="C186" s="600">
        <f t="shared" si="2"/>
        <v>45940</v>
      </c>
      <c r="E186" s="573">
        <f t="shared" ca="1" si="1"/>
        <v>4.0129163691039329</v>
      </c>
    </row>
    <row r="187" spans="3:5" ht="15" customHeight="1">
      <c r="C187" s="600">
        <f t="shared" si="2"/>
        <v>45939</v>
      </c>
      <c r="E187" s="573">
        <f t="shared" ca="1" si="1"/>
        <v>4.055356887803371</v>
      </c>
    </row>
    <row r="188" spans="3:5" ht="15" customHeight="1">
      <c r="C188" s="600">
        <f t="shared" si="2"/>
        <v>45938</v>
      </c>
      <c r="E188" s="573">
        <f t="shared" ca="1" si="1"/>
        <v>4.0977974065028091</v>
      </c>
    </row>
    <row r="189" spans="3:5" ht="15" customHeight="1">
      <c r="C189" s="600">
        <f t="shared" si="2"/>
        <v>45937</v>
      </c>
      <c r="E189" s="573">
        <f t="shared" ca="1" si="1"/>
        <v>4.1402379252022472</v>
      </c>
    </row>
    <row r="190" spans="3:5" ht="15" customHeight="1">
      <c r="C190" s="600">
        <f t="shared" si="2"/>
        <v>45936</v>
      </c>
      <c r="E190" s="573">
        <f t="shared" ca="1" si="1"/>
        <v>4.1826784439016853</v>
      </c>
    </row>
    <row r="191" spans="3:5" ht="15" customHeight="1">
      <c r="C191" s="600">
        <f t="shared" si="2"/>
        <v>45935</v>
      </c>
      <c r="E191" s="573">
        <f t="shared" ca="1" si="1"/>
        <v>4.2251189626011234</v>
      </c>
    </row>
    <row r="192" spans="3:5" ht="15" customHeight="1">
      <c r="C192" s="600">
        <f>+C193+1</f>
        <v>45934</v>
      </c>
      <c r="E192" s="573">
        <f t="shared" ca="1" si="1"/>
        <v>4.2675594813005615</v>
      </c>
    </row>
    <row r="193" spans="2:5" ht="15" customHeight="1">
      <c r="B193" s="573" t="s">
        <v>0</v>
      </c>
      <c r="C193" s="599">
        <f>+'Stock Data'!AM4</f>
        <v>45933</v>
      </c>
      <c r="D193" s="573">
        <f>_xlfn.XLOOKUP(C193,'Stock Data'!$AM$4:$AM$1051,'Stock Data'!$AN$4:$AN$1051)</f>
        <v>4.3099999999999996</v>
      </c>
      <c r="E193" s="573">
        <f>D193</f>
        <v>4.3099999999999996</v>
      </c>
    </row>
    <row r="194" spans="2:5" ht="15" customHeight="1">
      <c r="C194" s="599">
        <f>+'Stock Data'!AM5</f>
        <v>45932</v>
      </c>
      <c r="D194" s="573">
        <f>_xlfn.XLOOKUP(C194,'Stock Data'!$AM$4:$AM$1051,'Stock Data'!$AN$4:$AN$1051)</f>
        <v>4.3099999999999996</v>
      </c>
    </row>
    <row r="195" spans="2:5" ht="15" customHeight="1">
      <c r="C195" s="599">
        <f>+'Stock Data'!AM6</f>
        <v>45931</v>
      </c>
      <c r="D195" s="573">
        <f>_xlfn.XLOOKUP(C195,'Stock Data'!$AM$4:$AM$1051,'Stock Data'!$AN$4:$AN$1051)</f>
        <v>4.4000000000000004</v>
      </c>
    </row>
    <row r="196" spans="2:5" ht="15" customHeight="1">
      <c r="C196" s="599">
        <f>+'Stock Data'!AM7</f>
        <v>45930</v>
      </c>
      <c r="D196" s="573">
        <f>_xlfn.XLOOKUP(C196,'Stock Data'!$AM$4:$AM$1051,'Stock Data'!$AN$4:$AN$1051)</f>
        <v>4.4000000000000004</v>
      </c>
    </row>
    <row r="197" spans="2:5" ht="15" customHeight="1">
      <c r="C197" s="599">
        <f>+'Stock Data'!AM8</f>
        <v>45929</v>
      </c>
      <c r="D197" s="573">
        <f>_xlfn.XLOOKUP(C197,'Stock Data'!$AM$4:$AM$1051,'Stock Data'!$AN$4:$AN$1051)</f>
        <v>4.4000000000000004</v>
      </c>
    </row>
    <row r="198" spans="2:5" ht="15" customHeight="1">
      <c r="C198" s="599">
        <f>+'Stock Data'!AM9</f>
        <v>45928</v>
      </c>
      <c r="D198" s="573">
        <f>_xlfn.XLOOKUP(C198,'Stock Data'!$AM$4:$AM$1051,'Stock Data'!$AN$4:$AN$1051)</f>
        <v>4.45</v>
      </c>
    </row>
    <row r="199" spans="2:5" ht="15" customHeight="1">
      <c r="C199" s="599">
        <f>+'Stock Data'!AM10</f>
        <v>45927</v>
      </c>
      <c r="D199" s="573">
        <f>_xlfn.XLOOKUP(C199,'Stock Data'!$AM$4:$AM$1051,'Stock Data'!$AN$4:$AN$1051)</f>
        <v>4.38</v>
      </c>
    </row>
    <row r="200" spans="2:5" ht="15" customHeight="1">
      <c r="C200" s="599">
        <f>+'Stock Data'!AM11</f>
        <v>45926</v>
      </c>
      <c r="D200" s="573">
        <f>_xlfn.XLOOKUP(C200,'Stock Data'!$AM$4:$AM$1051,'Stock Data'!$AN$4:$AN$1051)</f>
        <v>4.375</v>
      </c>
    </row>
    <row r="201" spans="2:5" ht="15" customHeight="1">
      <c r="C201" s="599">
        <f>+'Stock Data'!AM12</f>
        <v>45925</v>
      </c>
      <c r="D201" s="573">
        <f>_xlfn.XLOOKUP(C201,'Stock Data'!$AM$4:$AM$1051,'Stock Data'!$AN$4:$AN$1051)</f>
        <v>4.4050000000000002</v>
      </c>
    </row>
    <row r="202" spans="2:5" ht="15" customHeight="1">
      <c r="C202" s="599">
        <f>+'Stock Data'!AM13</f>
        <v>45924</v>
      </c>
      <c r="D202" s="573">
        <f>_xlfn.XLOOKUP(C202,'Stock Data'!$AM$4:$AM$1051,'Stock Data'!$AN$4:$AN$1051)</f>
        <v>4.51</v>
      </c>
    </row>
    <row r="203" spans="2:5" ht="15" customHeight="1">
      <c r="C203" s="599">
        <f>+'Stock Data'!AM14</f>
        <v>45923</v>
      </c>
      <c r="D203" s="573">
        <f>_xlfn.XLOOKUP(C203,'Stock Data'!$AM$4:$AM$1051,'Stock Data'!$AN$4:$AN$1051)</f>
        <v>4.51</v>
      </c>
    </row>
    <row r="204" spans="2:5" ht="15" customHeight="1">
      <c r="C204" s="599">
        <f>+'Stock Data'!AM15</f>
        <v>45922</v>
      </c>
      <c r="D204" s="573">
        <f>_xlfn.XLOOKUP(C204,'Stock Data'!$AM$4:$AM$1051,'Stock Data'!$AN$4:$AN$1051)</f>
        <v>4.51</v>
      </c>
    </row>
    <row r="205" spans="2:5" ht="15" customHeight="1">
      <c r="C205" s="599">
        <f>+'Stock Data'!AM16</f>
        <v>45921</v>
      </c>
      <c r="D205" s="573">
        <f>_xlfn.XLOOKUP(C205,'Stock Data'!$AM$4:$AM$1051,'Stock Data'!$AN$4:$AN$1051)</f>
        <v>4.585</v>
      </c>
    </row>
    <row r="206" spans="2:5" ht="15" customHeight="1">
      <c r="C206" s="599">
        <f>+'Stock Data'!AM17</f>
        <v>45920</v>
      </c>
      <c r="D206" s="573">
        <f>_xlfn.XLOOKUP(C206,'Stock Data'!$AM$4:$AM$1051,'Stock Data'!$AN$4:$AN$1051)</f>
        <v>4.4749999999999996</v>
      </c>
    </row>
    <row r="207" spans="2:5" ht="15" customHeight="1">
      <c r="C207" s="599">
        <f>+'Stock Data'!AM18</f>
        <v>45919</v>
      </c>
      <c r="D207" s="573">
        <f>_xlfn.XLOOKUP(C207,'Stock Data'!$AM$4:$AM$1051,'Stock Data'!$AN$4:$AN$1051)</f>
        <v>4.3049999999999997</v>
      </c>
    </row>
    <row r="208" spans="2:5" ht="15" customHeight="1">
      <c r="C208" s="599">
        <f>+'Stock Data'!AM19</f>
        <v>45918</v>
      </c>
      <c r="D208" s="573">
        <f>_xlfn.XLOOKUP(C208,'Stock Data'!$AM$4:$AM$1051,'Stock Data'!$AN$4:$AN$1051)</f>
        <v>4.2549999999999999</v>
      </c>
    </row>
    <row r="209" spans="3:4" ht="15" customHeight="1">
      <c r="C209" s="599">
        <f>+'Stock Data'!AM20</f>
        <v>45917</v>
      </c>
      <c r="D209" s="573">
        <f>_xlfn.XLOOKUP(C209,'Stock Data'!$AM$4:$AM$1051,'Stock Data'!$AN$4:$AN$1051)</f>
        <v>4.1950000000000003</v>
      </c>
    </row>
    <row r="210" spans="3:4" ht="15" customHeight="1">
      <c r="C210" s="599">
        <f>+'Stock Data'!AM21</f>
        <v>45916</v>
      </c>
      <c r="D210" s="573">
        <f>_xlfn.XLOOKUP(C210,'Stock Data'!$AM$4:$AM$1051,'Stock Data'!$AN$4:$AN$1051)</f>
        <v>4.1950000000000003</v>
      </c>
    </row>
    <row r="211" spans="3:4" ht="15" customHeight="1">
      <c r="C211" s="599">
        <f>+'Stock Data'!AM22</f>
        <v>45915</v>
      </c>
      <c r="D211" s="573">
        <f>_xlfn.XLOOKUP(C211,'Stock Data'!$AM$4:$AM$1051,'Stock Data'!$AN$4:$AN$1051)</f>
        <v>4.1950000000000003</v>
      </c>
    </row>
    <row r="212" spans="3:4" ht="15" customHeight="1">
      <c r="C212" s="599">
        <f>+'Stock Data'!AM23</f>
        <v>45914</v>
      </c>
      <c r="D212" s="573">
        <f>_xlfn.XLOOKUP(C212,'Stock Data'!$AM$4:$AM$1051,'Stock Data'!$AN$4:$AN$1051)</f>
        <v>3.6850000000000001</v>
      </c>
    </row>
    <row r="213" spans="3:4" ht="15" customHeight="1">
      <c r="C213" s="599">
        <f>+'Stock Data'!AM24</f>
        <v>45913</v>
      </c>
      <c r="D213" s="573">
        <f>_xlfn.XLOOKUP(C213,'Stock Data'!$AM$4:$AM$1051,'Stock Data'!$AN$4:$AN$1051)</f>
        <v>3.63</v>
      </c>
    </row>
    <row r="214" spans="3:4" ht="15" customHeight="1">
      <c r="C214" s="599">
        <f>+'Stock Data'!AM25</f>
        <v>45912</v>
      </c>
      <c r="D214" s="573">
        <f>_xlfn.XLOOKUP(C214,'Stock Data'!$AM$4:$AM$1051,'Stock Data'!$AN$4:$AN$1051)</f>
        <v>3.5550000000000002</v>
      </c>
    </row>
    <row r="215" spans="3:4" ht="15" customHeight="1">
      <c r="C215" s="599">
        <f>+'Stock Data'!AM26</f>
        <v>45911</v>
      </c>
      <c r="D215" s="573">
        <f>_xlfn.XLOOKUP(C215,'Stock Data'!$AM$4:$AM$1051,'Stock Data'!$AN$4:$AN$1051)</f>
        <v>3.79</v>
      </c>
    </row>
    <row r="216" spans="3:4" ht="15" customHeight="1">
      <c r="C216" s="599">
        <f>+'Stock Data'!AM27</f>
        <v>45910</v>
      </c>
      <c r="D216" s="573">
        <f>_xlfn.XLOOKUP(C216,'Stock Data'!$AM$4:$AM$1051,'Stock Data'!$AN$4:$AN$1051)</f>
        <v>3.6749999999999998</v>
      </c>
    </row>
    <row r="217" spans="3:4" ht="15" customHeight="1">
      <c r="C217" s="599">
        <f>+'Stock Data'!AM28</f>
        <v>45909</v>
      </c>
      <c r="D217" s="573">
        <f>_xlfn.XLOOKUP(C217,'Stock Data'!$AM$4:$AM$1051,'Stock Data'!$AN$4:$AN$1051)</f>
        <v>3.6749999999999998</v>
      </c>
    </row>
    <row r="218" spans="3:4" ht="15" customHeight="1">
      <c r="C218" s="599">
        <f>+'Stock Data'!AM29</f>
        <v>45908</v>
      </c>
      <c r="D218" s="573">
        <f>_xlfn.XLOOKUP(C218,'Stock Data'!$AM$4:$AM$1051,'Stock Data'!$AN$4:$AN$1051)</f>
        <v>3.6749999999999998</v>
      </c>
    </row>
    <row r="219" spans="3:4" ht="15" customHeight="1">
      <c r="C219" s="599">
        <f>+'Stock Data'!AM30</f>
        <v>45907</v>
      </c>
      <c r="D219" s="573">
        <f>_xlfn.XLOOKUP(C219,'Stock Data'!$AM$4:$AM$1051,'Stock Data'!$AN$4:$AN$1051)</f>
        <v>3.6549999999999998</v>
      </c>
    </row>
    <row r="220" spans="3:4" ht="15" customHeight="1">
      <c r="C220" s="599">
        <f>+'Stock Data'!AM31</f>
        <v>45906</v>
      </c>
      <c r="D220" s="573">
        <f>_xlfn.XLOOKUP(C220,'Stock Data'!$AM$4:$AM$1051,'Stock Data'!$AN$4:$AN$1051)</f>
        <v>3.645</v>
      </c>
    </row>
    <row r="221" spans="3:4" ht="15" customHeight="1">
      <c r="C221" s="599">
        <f>+'Stock Data'!AM32</f>
        <v>45905</v>
      </c>
      <c r="D221" s="573">
        <f>_xlfn.XLOOKUP(C221,'Stock Data'!$AM$4:$AM$1051,'Stock Data'!$AN$4:$AN$1051)</f>
        <v>3.7149999999999999</v>
      </c>
    </row>
    <row r="222" spans="3:4" ht="15" customHeight="1">
      <c r="C222" s="599">
        <f>+'Stock Data'!AM33</f>
        <v>45904</v>
      </c>
      <c r="D222" s="573">
        <f>_xlfn.XLOOKUP(C222,'Stock Data'!$AM$4:$AM$1051,'Stock Data'!$AN$4:$AN$1051)</f>
        <v>3.65</v>
      </c>
    </row>
    <row r="223" spans="3:4" ht="15" customHeight="1">
      <c r="C223" s="599">
        <f>+'Stock Data'!AM34</f>
        <v>45903</v>
      </c>
      <c r="D223" s="573">
        <f>_xlfn.XLOOKUP(C223,'Stock Data'!$AM$4:$AM$1051,'Stock Data'!$AN$4:$AN$1051)</f>
        <v>3.5950000000000002</v>
      </c>
    </row>
    <row r="224" spans="3:4" ht="15" customHeight="1">
      <c r="C224" s="599">
        <f>+'Stock Data'!AM35</f>
        <v>45902</v>
      </c>
      <c r="D224" s="573">
        <f>_xlfn.XLOOKUP(C224,'Stock Data'!$AM$4:$AM$1051,'Stock Data'!$AN$4:$AN$1051)</f>
        <v>3.5950000000000002</v>
      </c>
    </row>
    <row r="225" spans="3:4" ht="15" customHeight="1">
      <c r="C225" s="599">
        <f>+'Stock Data'!AM36</f>
        <v>45901</v>
      </c>
      <c r="D225" s="573">
        <f>_xlfn.XLOOKUP(C225,'Stock Data'!$AM$4:$AM$1051,'Stock Data'!$AN$4:$AN$1051)</f>
        <v>3.5950000000000002</v>
      </c>
    </row>
    <row r="226" spans="3:4" ht="15" customHeight="1">
      <c r="C226" s="599">
        <f>+'Stock Data'!AM37</f>
        <v>45900</v>
      </c>
      <c r="D226" s="573">
        <f>_xlfn.XLOOKUP(C226,'Stock Data'!$AM$4:$AM$1051,'Stock Data'!$AN$4:$AN$1051)</f>
        <v>3.65</v>
      </c>
    </row>
    <row r="227" spans="3:4" ht="15" customHeight="1">
      <c r="C227" s="599">
        <f>+'Stock Data'!AM38</f>
        <v>45899</v>
      </c>
      <c r="D227" s="573">
        <f>_xlfn.XLOOKUP(C227,'Stock Data'!$AM$4:$AM$1051,'Stock Data'!$AN$4:$AN$1051)</f>
        <v>3.4950000000000001</v>
      </c>
    </row>
    <row r="228" spans="3:4" ht="15" customHeight="1">
      <c r="C228" s="599">
        <f>+'Stock Data'!AM39</f>
        <v>45898</v>
      </c>
      <c r="D228" s="573">
        <f>_xlfn.XLOOKUP(C228,'Stock Data'!$AM$4:$AM$1051,'Stock Data'!$AN$4:$AN$1051)</f>
        <v>3.4350000000000001</v>
      </c>
    </row>
    <row r="229" spans="3:4" ht="15" customHeight="1">
      <c r="C229" s="599">
        <f>+'Stock Data'!AM40</f>
        <v>45897</v>
      </c>
      <c r="D229" s="573">
        <f>_xlfn.XLOOKUP(C229,'Stock Data'!$AM$4:$AM$1051,'Stock Data'!$AN$4:$AN$1051)</f>
        <v>3.4049999999999998</v>
      </c>
    </row>
    <row r="230" spans="3:4" ht="15" customHeight="1">
      <c r="C230" s="599">
        <f>+'Stock Data'!AM41</f>
        <v>45896</v>
      </c>
      <c r="D230" s="573">
        <f>_xlfn.XLOOKUP(C230,'Stock Data'!$AM$4:$AM$1051,'Stock Data'!$AN$4:$AN$1051)</f>
        <v>3.3450000000000002</v>
      </c>
    </row>
    <row r="231" spans="3:4" ht="15" customHeight="1">
      <c r="C231" s="599">
        <f>+'Stock Data'!AM42</f>
        <v>45895</v>
      </c>
      <c r="D231" s="573">
        <f>_xlfn.XLOOKUP(C231,'Stock Data'!$AM$4:$AM$1051,'Stock Data'!$AN$4:$AN$1051)</f>
        <v>3.3450000000000002</v>
      </c>
    </row>
    <row r="232" spans="3:4" ht="15" customHeight="1">
      <c r="C232" s="599">
        <f>+'Stock Data'!AM43</f>
        <v>45894</v>
      </c>
      <c r="D232" s="573">
        <f>_xlfn.XLOOKUP(C232,'Stock Data'!$AM$4:$AM$1051,'Stock Data'!$AN$4:$AN$1051)</f>
        <v>3.3450000000000002</v>
      </c>
    </row>
    <row r="233" spans="3:4" ht="15" customHeight="1">
      <c r="C233" s="599">
        <f>+'Stock Data'!AM44</f>
        <v>45893</v>
      </c>
      <c r="D233" s="573">
        <f>_xlfn.XLOOKUP(C233,'Stock Data'!$AM$4:$AM$1051,'Stock Data'!$AN$4:$AN$1051)</f>
        <v>3.3849999999999998</v>
      </c>
    </row>
    <row r="234" spans="3:4" ht="15" customHeight="1">
      <c r="C234" s="599">
        <f>+'Stock Data'!AM45</f>
        <v>45892</v>
      </c>
      <c r="D234" s="573">
        <f>_xlfn.XLOOKUP(C234,'Stock Data'!$AM$4:$AM$1051,'Stock Data'!$AN$4:$AN$1051)</f>
        <v>3.375</v>
      </c>
    </row>
    <row r="235" spans="3:4" ht="15" customHeight="1">
      <c r="C235" s="599">
        <f>+'Stock Data'!AM46</f>
        <v>45891</v>
      </c>
      <c r="D235" s="573">
        <f>_xlfn.XLOOKUP(C235,'Stock Data'!$AM$4:$AM$1051,'Stock Data'!$AN$4:$AN$1051)</f>
        <v>3.3450000000000002</v>
      </c>
    </row>
    <row r="236" spans="3:4" ht="15" customHeight="1">
      <c r="C236" s="599">
        <f>+'Stock Data'!AM47</f>
        <v>45890</v>
      </c>
      <c r="D236" s="573">
        <f>_xlfn.XLOOKUP(C236,'Stock Data'!$AM$4:$AM$1051,'Stock Data'!$AN$4:$AN$1051)</f>
        <v>3.2749999999999999</v>
      </c>
    </row>
    <row r="237" spans="3:4" ht="15" customHeight="1">
      <c r="C237" s="599">
        <f>+'Stock Data'!AM48</f>
        <v>45889</v>
      </c>
      <c r="D237" s="573">
        <f>_xlfn.XLOOKUP(C237,'Stock Data'!$AM$4:$AM$1051,'Stock Data'!$AN$4:$AN$1051)</f>
        <v>3.3</v>
      </c>
    </row>
    <row r="238" spans="3:4" ht="15" customHeight="1">
      <c r="C238" s="599">
        <f>+'Stock Data'!AM49</f>
        <v>45888</v>
      </c>
      <c r="D238" s="573">
        <f>_xlfn.XLOOKUP(C238,'Stock Data'!$AM$4:$AM$1051,'Stock Data'!$AN$4:$AN$1051)</f>
        <v>3.3</v>
      </c>
    </row>
    <row r="239" spans="3:4" ht="15" customHeight="1">
      <c r="C239" s="599">
        <f>+'Stock Data'!AM50</f>
        <v>45887</v>
      </c>
      <c r="D239" s="573">
        <f>_xlfn.XLOOKUP(C239,'Stock Data'!$AM$4:$AM$1051,'Stock Data'!$AN$4:$AN$1051)</f>
        <v>3.3</v>
      </c>
    </row>
    <row r="240" spans="3:4" ht="15" customHeight="1">
      <c r="C240" s="599">
        <f>+'Stock Data'!AM51</f>
        <v>45886</v>
      </c>
      <c r="D240" s="573">
        <f>_xlfn.XLOOKUP(C240,'Stock Data'!$AM$4:$AM$1051,'Stock Data'!$AN$4:$AN$1051)</f>
        <v>3.0550000000000002</v>
      </c>
    </row>
    <row r="241" spans="3:4" ht="15" customHeight="1">
      <c r="C241" s="599">
        <f>+'Stock Data'!AM52</f>
        <v>45885</v>
      </c>
      <c r="D241" s="573">
        <f>_xlfn.XLOOKUP(C241,'Stock Data'!$AM$4:$AM$1051,'Stock Data'!$AN$4:$AN$1051)</f>
        <v>3.0550000000000002</v>
      </c>
    </row>
    <row r="242" spans="3:4" ht="15" customHeight="1">
      <c r="C242" s="599">
        <f>+'Stock Data'!AM53</f>
        <v>45884</v>
      </c>
      <c r="D242" s="573">
        <f>_xlfn.XLOOKUP(C242,'Stock Data'!$AM$4:$AM$1051,'Stock Data'!$AN$4:$AN$1051)</f>
        <v>2.9350000000000001</v>
      </c>
    </row>
    <row r="243" spans="3:4" ht="15" customHeight="1">
      <c r="C243" s="599">
        <f>+'Stock Data'!AM54</f>
        <v>45883</v>
      </c>
      <c r="D243" s="573">
        <f>_xlfn.XLOOKUP(C243,'Stock Data'!$AM$4:$AM$1051,'Stock Data'!$AN$4:$AN$1051)</f>
        <v>2.9350000000000001</v>
      </c>
    </row>
    <row r="244" spans="3:4" ht="15" customHeight="1">
      <c r="C244" s="599">
        <f>+'Stock Data'!AM55</f>
        <v>45882</v>
      </c>
      <c r="D244" s="573">
        <f>_xlfn.XLOOKUP(C244,'Stock Data'!$AM$4:$AM$1051,'Stock Data'!$AN$4:$AN$1051)</f>
        <v>3.0249999999999999</v>
      </c>
    </row>
    <row r="245" spans="3:4" ht="15" customHeight="1">
      <c r="C245" s="599">
        <f>+'Stock Data'!AM56</f>
        <v>45881</v>
      </c>
      <c r="D245" s="573">
        <f>_xlfn.XLOOKUP(C245,'Stock Data'!$AM$4:$AM$1051,'Stock Data'!$AN$4:$AN$1051)</f>
        <v>3.0249999999999999</v>
      </c>
    </row>
    <row r="246" spans="3:4" ht="15" customHeight="1">
      <c r="C246" s="599">
        <f>+'Stock Data'!AM57</f>
        <v>45880</v>
      </c>
      <c r="D246" s="573">
        <f>_xlfn.XLOOKUP(C246,'Stock Data'!$AM$4:$AM$1051,'Stock Data'!$AN$4:$AN$1051)</f>
        <v>3.0249999999999999</v>
      </c>
    </row>
    <row r="247" spans="3:4" ht="15" customHeight="1">
      <c r="C247" s="599">
        <f>+'Stock Data'!AM58</f>
        <v>45879</v>
      </c>
      <c r="D247" s="573">
        <f>_xlfn.XLOOKUP(C247,'Stock Data'!$AM$4:$AM$1051,'Stock Data'!$AN$4:$AN$1051)</f>
        <v>3.105</v>
      </c>
    </row>
    <row r="248" spans="3:4" ht="15" customHeight="1">
      <c r="C248" s="599">
        <f>+'Stock Data'!AM59</f>
        <v>45878</v>
      </c>
      <c r="D248" s="573">
        <f>_xlfn.XLOOKUP(C248,'Stock Data'!$AM$4:$AM$1051,'Stock Data'!$AN$4:$AN$1051)</f>
        <v>3.0649999999999999</v>
      </c>
    </row>
    <row r="249" spans="3:4" ht="15" customHeight="1">
      <c r="C249" s="599">
        <f>+'Stock Data'!AM60</f>
        <v>45877</v>
      </c>
      <c r="D249" s="573">
        <f>_xlfn.XLOOKUP(C249,'Stock Data'!$AM$4:$AM$1051,'Stock Data'!$AN$4:$AN$1051)</f>
        <v>3.07</v>
      </c>
    </row>
    <row r="250" spans="3:4" ht="15" customHeight="1">
      <c r="C250" s="599">
        <f>+'Stock Data'!AM61</f>
        <v>45876</v>
      </c>
      <c r="D250" s="573">
        <f>_xlfn.XLOOKUP(C250,'Stock Data'!$AM$4:$AM$1051,'Stock Data'!$AN$4:$AN$1051)</f>
        <v>3.1349999999999998</v>
      </c>
    </row>
    <row r="251" spans="3:4" ht="15" customHeight="1">
      <c r="C251" s="599">
        <f>+'Stock Data'!AM62</f>
        <v>45875</v>
      </c>
      <c r="D251" s="573">
        <f>_xlfn.XLOOKUP(C251,'Stock Data'!$AM$4:$AM$1051,'Stock Data'!$AN$4:$AN$1051)</f>
        <v>3.0750000000000002</v>
      </c>
    </row>
    <row r="252" spans="3:4" ht="15" customHeight="1">
      <c r="C252" s="599">
        <f>+'Stock Data'!AM63</f>
        <v>45874</v>
      </c>
      <c r="D252" s="573">
        <f>_xlfn.XLOOKUP(C252,'Stock Data'!$AM$4:$AM$1051,'Stock Data'!$AN$4:$AN$1051)</f>
        <v>3.0750000000000002</v>
      </c>
    </row>
    <row r="253" spans="3:4" ht="15" customHeight="1">
      <c r="C253" s="599">
        <f>+'Stock Data'!AM64</f>
        <v>45873</v>
      </c>
      <c r="D253" s="573">
        <f>_xlfn.XLOOKUP(C253,'Stock Data'!$AM$4:$AM$1051,'Stock Data'!$AN$4:$AN$1051)</f>
        <v>3.0750000000000002</v>
      </c>
    </row>
    <row r="254" spans="3:4" ht="15" customHeight="1">
      <c r="C254" s="599">
        <f>+'Stock Data'!AM65</f>
        <v>45872</v>
      </c>
      <c r="D254" s="573">
        <f>_xlfn.XLOOKUP(C254,'Stock Data'!$AM$4:$AM$1051,'Stock Data'!$AN$4:$AN$1051)</f>
        <v>3.06</v>
      </c>
    </row>
    <row r="255" spans="3:4" ht="15" customHeight="1">
      <c r="C255" s="599">
        <f>+'Stock Data'!AM66</f>
        <v>45871</v>
      </c>
      <c r="D255" s="573">
        <f>_xlfn.XLOOKUP(C255,'Stock Data'!$AM$4:$AM$1051,'Stock Data'!$AN$4:$AN$1051)</f>
        <v>3.15</v>
      </c>
    </row>
    <row r="256" spans="3:4" ht="15" customHeight="1">
      <c r="C256" s="599">
        <f>+'Stock Data'!AM67</f>
        <v>45870</v>
      </c>
      <c r="D256" s="573">
        <f>_xlfn.XLOOKUP(C256,'Stock Data'!$AM$4:$AM$1051,'Stock Data'!$AN$4:$AN$1051)</f>
        <v>3.125</v>
      </c>
    </row>
    <row r="257" spans="3:4" ht="15" customHeight="1">
      <c r="C257" s="599">
        <f>+'Stock Data'!AM68</f>
        <v>45869</v>
      </c>
      <c r="D257" s="573">
        <f>_xlfn.XLOOKUP(C257,'Stock Data'!$AM$4:$AM$1051,'Stock Data'!$AN$4:$AN$1051)</f>
        <v>3.36</v>
      </c>
    </row>
    <row r="258" spans="3:4" ht="15" customHeight="1">
      <c r="C258" s="599">
        <f>+'Stock Data'!AM69</f>
        <v>45868</v>
      </c>
      <c r="D258" s="573">
        <f>_xlfn.XLOOKUP(C258,'Stock Data'!$AM$4:$AM$1051,'Stock Data'!$AN$4:$AN$1051)</f>
        <v>3.38</v>
      </c>
    </row>
    <row r="259" spans="3:4" ht="15" customHeight="1">
      <c r="C259" s="599">
        <f>+'Stock Data'!AM70</f>
        <v>45867</v>
      </c>
      <c r="D259" s="573">
        <f>_xlfn.XLOOKUP(C259,'Stock Data'!$AM$4:$AM$1051,'Stock Data'!$AN$4:$AN$1051)</f>
        <v>3.38</v>
      </c>
    </row>
    <row r="260" spans="3:4" ht="15" customHeight="1">
      <c r="C260" s="599">
        <f>+'Stock Data'!AM71</f>
        <v>45866</v>
      </c>
      <c r="D260" s="573">
        <f>_xlfn.XLOOKUP(C260,'Stock Data'!$AM$4:$AM$1051,'Stock Data'!$AN$4:$AN$1051)</f>
        <v>3.38</v>
      </c>
    </row>
    <row r="261" spans="3:4" ht="15" customHeight="1">
      <c r="C261" s="599">
        <f>+'Stock Data'!AM72</f>
        <v>45865</v>
      </c>
      <c r="D261" s="573">
        <f>_xlfn.XLOOKUP(C261,'Stock Data'!$AM$4:$AM$1051,'Stock Data'!$AN$4:$AN$1051)</f>
        <v>3.4049999999999998</v>
      </c>
    </row>
    <row r="262" spans="3:4" ht="15" customHeight="1">
      <c r="C262" s="599">
        <f>+'Stock Data'!AM73</f>
        <v>45864</v>
      </c>
      <c r="D262" s="573">
        <f>_xlfn.XLOOKUP(C262,'Stock Data'!$AM$4:$AM$1051,'Stock Data'!$AN$4:$AN$1051)</f>
        <v>3.3250000000000002</v>
      </c>
    </row>
    <row r="263" spans="3:4" ht="15" customHeight="1">
      <c r="C263" s="599">
        <f>+'Stock Data'!AM74</f>
        <v>45863</v>
      </c>
      <c r="D263" s="573">
        <f>_xlfn.XLOOKUP(C263,'Stock Data'!$AM$4:$AM$1051,'Stock Data'!$AN$4:$AN$1051)</f>
        <v>3.47</v>
      </c>
    </row>
    <row r="264" spans="3:4" ht="15" customHeight="1">
      <c r="C264" s="599">
        <f>+'Stock Data'!AM75</f>
        <v>45862</v>
      </c>
      <c r="D264" s="573">
        <f>_xlfn.XLOOKUP(C264,'Stock Data'!$AM$4:$AM$1051,'Stock Data'!$AN$4:$AN$1051)</f>
        <v>3.4950000000000001</v>
      </c>
    </row>
    <row r="265" spans="3:4" ht="15" customHeight="1">
      <c r="C265" s="599">
        <f>+'Stock Data'!AM76</f>
        <v>45861</v>
      </c>
      <c r="D265" s="573">
        <f>_xlfn.XLOOKUP(C265,'Stock Data'!$AM$4:$AM$1051,'Stock Data'!$AN$4:$AN$1051)</f>
        <v>3.415</v>
      </c>
    </row>
    <row r="266" spans="3:4" ht="15" customHeight="1">
      <c r="C266" s="599">
        <f>+'Stock Data'!AM77</f>
        <v>45860</v>
      </c>
      <c r="D266" s="573">
        <f>_xlfn.XLOOKUP(C266,'Stock Data'!$AM$4:$AM$1051,'Stock Data'!$AN$4:$AN$1051)</f>
        <v>3.415</v>
      </c>
    </row>
    <row r="267" spans="3:4" ht="15" customHeight="1">
      <c r="C267" s="599">
        <f>+'Stock Data'!AM78</f>
        <v>45859</v>
      </c>
      <c r="D267" s="573">
        <f>_xlfn.XLOOKUP(C267,'Stock Data'!$AM$4:$AM$1051,'Stock Data'!$AN$4:$AN$1051)</f>
        <v>3.415</v>
      </c>
    </row>
    <row r="268" spans="3:4" ht="15" customHeight="1">
      <c r="C268" s="599">
        <f>+'Stock Data'!AM79</f>
        <v>45858</v>
      </c>
      <c r="D268" s="573">
        <f>_xlfn.XLOOKUP(C268,'Stock Data'!$AM$4:$AM$1051,'Stock Data'!$AN$4:$AN$1051)</f>
        <v>3.4449999999999998</v>
      </c>
    </row>
    <row r="269" spans="3:4" ht="15" customHeight="1">
      <c r="C269" s="599">
        <f>+'Stock Data'!AM80</f>
        <v>45857</v>
      </c>
      <c r="D269" s="573">
        <f>_xlfn.XLOOKUP(C269,'Stock Data'!$AM$4:$AM$1051,'Stock Data'!$AN$4:$AN$1051)</f>
        <v>3.3450000000000002</v>
      </c>
    </row>
    <row r="270" spans="3:4" ht="15" customHeight="1">
      <c r="C270" s="599">
        <f>+'Stock Data'!AM81</f>
        <v>45856</v>
      </c>
      <c r="D270" s="573">
        <f>_xlfn.XLOOKUP(C270,'Stock Data'!$AM$4:$AM$1051,'Stock Data'!$AN$4:$AN$1051)</f>
        <v>3.47</v>
      </c>
    </row>
    <row r="271" spans="3:4" ht="15" customHeight="1">
      <c r="C271" s="599">
        <f>+'Stock Data'!AM82</f>
        <v>45855</v>
      </c>
      <c r="D271" s="573">
        <f>_xlfn.XLOOKUP(C271,'Stock Data'!$AM$4:$AM$1051,'Stock Data'!$AN$4:$AN$1051)</f>
        <v>3.3650000000000002</v>
      </c>
    </row>
    <row r="272" spans="3:4" ht="15" customHeight="1">
      <c r="C272" s="599">
        <f>+'Stock Data'!AM83</f>
        <v>45854</v>
      </c>
      <c r="D272" s="573">
        <f>_xlfn.XLOOKUP(C272,'Stock Data'!$AM$4:$AM$1051,'Stock Data'!$AN$4:$AN$1051)</f>
        <v>3.43</v>
      </c>
    </row>
    <row r="273" spans="3:4" ht="15" customHeight="1">
      <c r="C273" s="599">
        <f>+'Stock Data'!AM84</f>
        <v>45853</v>
      </c>
      <c r="D273" s="573">
        <f>_xlfn.XLOOKUP(C273,'Stock Data'!$AM$4:$AM$1051,'Stock Data'!$AN$4:$AN$1051)</f>
        <v>3.43</v>
      </c>
    </row>
    <row r="274" spans="3:4" ht="15" customHeight="1">
      <c r="C274" s="599">
        <f>+'Stock Data'!AM85</f>
        <v>45852</v>
      </c>
      <c r="D274" s="573">
        <f>_xlfn.XLOOKUP(C274,'Stock Data'!$AM$4:$AM$1051,'Stock Data'!$AN$4:$AN$1051)</f>
        <v>3.43</v>
      </c>
    </row>
    <row r="275" spans="3:4" ht="15" customHeight="1">
      <c r="C275" s="599">
        <f>+'Stock Data'!AM86</f>
        <v>45851</v>
      </c>
      <c r="D275" s="573">
        <f>_xlfn.XLOOKUP(C275,'Stock Data'!$AM$4:$AM$1051,'Stock Data'!$AN$4:$AN$1051)</f>
        <v>3.54</v>
      </c>
    </row>
    <row r="276" spans="3:4" ht="15" customHeight="1">
      <c r="C276" s="599">
        <f>+'Stock Data'!AM87</f>
        <v>45850</v>
      </c>
      <c r="D276" s="573">
        <f>_xlfn.XLOOKUP(C276,'Stock Data'!$AM$4:$AM$1051,'Stock Data'!$AN$4:$AN$1051)</f>
        <v>3.54</v>
      </c>
    </row>
    <row r="277" spans="3:4" ht="15" customHeight="1">
      <c r="C277" s="599">
        <f>+'Stock Data'!AM88</f>
        <v>45849</v>
      </c>
      <c r="D277" s="573">
        <f>_xlfn.XLOOKUP(C277,'Stock Data'!$AM$4:$AM$1051,'Stock Data'!$AN$4:$AN$1051)</f>
        <v>3.5249999999999999</v>
      </c>
    </row>
    <row r="278" spans="3:4" ht="15" customHeight="1">
      <c r="C278" s="599">
        <f>+'Stock Data'!AM89</f>
        <v>45848</v>
      </c>
      <c r="D278" s="573">
        <f>_xlfn.XLOOKUP(C278,'Stock Data'!$AM$4:$AM$1051,'Stock Data'!$AN$4:$AN$1051)</f>
        <v>3.68</v>
      </c>
    </row>
    <row r="279" spans="3:4" ht="15" customHeight="1">
      <c r="C279" s="599">
        <f>+'Stock Data'!AM90</f>
        <v>45847</v>
      </c>
      <c r="D279" s="573">
        <f>_xlfn.XLOOKUP(C279,'Stock Data'!$AM$4:$AM$1051,'Stock Data'!$AN$4:$AN$1051)</f>
        <v>3.5249999999999999</v>
      </c>
    </row>
    <row r="280" spans="3:4" ht="15" customHeight="1">
      <c r="C280" s="599">
        <f>+'Stock Data'!AM91</f>
        <v>45846</v>
      </c>
      <c r="D280" s="573">
        <f>_xlfn.XLOOKUP(C280,'Stock Data'!$AM$4:$AM$1051,'Stock Data'!$AN$4:$AN$1051)</f>
        <v>3.5249999999999999</v>
      </c>
    </row>
    <row r="281" spans="3:4" ht="15" customHeight="1">
      <c r="C281" s="599">
        <f>+'Stock Data'!AM92</f>
        <v>45845</v>
      </c>
      <c r="D281" s="573">
        <f>_xlfn.XLOOKUP(C281,'Stock Data'!$AM$4:$AM$1051,'Stock Data'!$AN$4:$AN$1051)</f>
        <v>3.5249999999999999</v>
      </c>
    </row>
    <row r="282" spans="3:4" ht="15" customHeight="1">
      <c r="C282" s="599">
        <f>+'Stock Data'!AM93</f>
        <v>45844</v>
      </c>
      <c r="D282" s="573">
        <f>_xlfn.XLOOKUP(C282,'Stock Data'!$AM$4:$AM$1051,'Stock Data'!$AN$4:$AN$1051)</f>
        <v>3.56</v>
      </c>
    </row>
    <row r="283" spans="3:4" ht="15" customHeight="1">
      <c r="C283" s="599">
        <f>+'Stock Data'!AM94</f>
        <v>45843</v>
      </c>
      <c r="D283" s="573">
        <f>_xlfn.XLOOKUP(C283,'Stock Data'!$AM$4:$AM$1051,'Stock Data'!$AN$4:$AN$1051)</f>
        <v>3.4750000000000001</v>
      </c>
    </row>
    <row r="284" spans="3:4" ht="15" customHeight="1">
      <c r="C284" s="599">
        <f>+'Stock Data'!AM95</f>
        <v>45842</v>
      </c>
      <c r="D284" s="573">
        <f>_xlfn.XLOOKUP(C284,'Stock Data'!$AM$4:$AM$1051,'Stock Data'!$AN$4:$AN$1051)</f>
        <v>3.45</v>
      </c>
    </row>
    <row r="285" spans="3:4" ht="15" customHeight="1">
      <c r="C285" s="599">
        <f>+'Stock Data'!AM96</f>
        <v>45841</v>
      </c>
      <c r="D285" s="573">
        <f>_xlfn.XLOOKUP(C285,'Stock Data'!$AM$4:$AM$1051,'Stock Data'!$AN$4:$AN$1051)</f>
        <v>3.48</v>
      </c>
    </row>
    <row r="286" spans="3:4" ht="15" customHeight="1">
      <c r="C286" s="599">
        <f>+'Stock Data'!AM97</f>
        <v>45840</v>
      </c>
      <c r="D286" s="573">
        <f>_xlfn.XLOOKUP(C286,'Stock Data'!$AM$4:$AM$1051,'Stock Data'!$AN$4:$AN$1051)</f>
        <v>3.5150000000000001</v>
      </c>
    </row>
    <row r="287" spans="3:4" ht="15" customHeight="1">
      <c r="C287" s="599">
        <f>+'Stock Data'!AM98</f>
        <v>45839</v>
      </c>
      <c r="D287" s="573">
        <f>_xlfn.XLOOKUP(C287,'Stock Data'!$AM$4:$AM$1051,'Stock Data'!$AN$4:$AN$1051)</f>
        <v>3.5150000000000001</v>
      </c>
    </row>
    <row r="288" spans="3:4" ht="15" customHeight="1">
      <c r="C288" s="599">
        <f>+'Stock Data'!AM99</f>
        <v>45838</v>
      </c>
      <c r="D288" s="573">
        <f>_xlfn.XLOOKUP(C288,'Stock Data'!$AM$4:$AM$1051,'Stock Data'!$AN$4:$AN$1051)</f>
        <v>3.5150000000000001</v>
      </c>
    </row>
    <row r="289" spans="3:4" ht="15" customHeight="1">
      <c r="C289" s="599">
        <f>+'Stock Data'!AM100</f>
        <v>45837</v>
      </c>
      <c r="D289" s="573">
        <f>_xlfn.XLOOKUP(C289,'Stock Data'!$AM$4:$AM$1051,'Stock Data'!$AN$4:$AN$1051)</f>
        <v>3.625</v>
      </c>
    </row>
    <row r="290" spans="3:4" ht="15" customHeight="1">
      <c r="C290" s="599">
        <f>+'Stock Data'!AM101</f>
        <v>45836</v>
      </c>
      <c r="D290" s="573">
        <f>_xlfn.XLOOKUP(C290,'Stock Data'!$AM$4:$AM$1051,'Stock Data'!$AN$4:$AN$1051)</f>
        <v>3.7349999999999999</v>
      </c>
    </row>
    <row r="291" spans="3:4" ht="15" customHeight="1">
      <c r="C291" s="599">
        <f>+'Stock Data'!AM102</f>
        <v>45835</v>
      </c>
      <c r="D291" s="573">
        <f>_xlfn.XLOOKUP(C291,'Stock Data'!$AM$4:$AM$1051,'Stock Data'!$AN$4:$AN$1051)</f>
        <v>3.57</v>
      </c>
    </row>
    <row r="292" spans="3:4" ht="15" customHeight="1">
      <c r="C292" s="599">
        <f>+'Stock Data'!AM103</f>
        <v>45834</v>
      </c>
      <c r="D292" s="573">
        <f>_xlfn.XLOOKUP(C292,'Stock Data'!$AM$4:$AM$1051,'Stock Data'!$AN$4:$AN$1051)</f>
        <v>3.5049999999999999</v>
      </c>
    </row>
    <row r="293" spans="3:4" ht="15" customHeight="1">
      <c r="C293" s="599">
        <f>+'Stock Data'!AM104</f>
        <v>45833</v>
      </c>
      <c r="D293" s="573">
        <f>_xlfn.XLOOKUP(C293,'Stock Data'!$AM$4:$AM$1051,'Stock Data'!$AN$4:$AN$1051)</f>
        <v>3.51</v>
      </c>
    </row>
    <row r="294" spans="3:4" ht="15" customHeight="1">
      <c r="C294" s="599">
        <f>+'Stock Data'!AM105</f>
        <v>45832</v>
      </c>
      <c r="D294" s="573">
        <f>_xlfn.XLOOKUP(C294,'Stock Data'!$AM$4:$AM$1051,'Stock Data'!$AN$4:$AN$1051)</f>
        <v>3.51</v>
      </c>
    </row>
    <row r="295" spans="3:4" ht="15" customHeight="1">
      <c r="C295" s="599">
        <f>+'Stock Data'!AM106</f>
        <v>45831</v>
      </c>
      <c r="D295" s="573">
        <f>_xlfn.XLOOKUP(C295,'Stock Data'!$AM$4:$AM$1051,'Stock Data'!$AN$4:$AN$1051)</f>
        <v>3.51</v>
      </c>
    </row>
    <row r="296" spans="3:4" ht="15" customHeight="1">
      <c r="C296" s="599">
        <f>+'Stock Data'!AM107</f>
        <v>45830</v>
      </c>
      <c r="D296" s="573">
        <f>_xlfn.XLOOKUP(C296,'Stock Data'!$AM$4:$AM$1051,'Stock Data'!$AN$4:$AN$1051)</f>
        <v>3.5550000000000002</v>
      </c>
    </row>
    <row r="297" spans="3:4" ht="15" customHeight="1">
      <c r="C297" s="599">
        <f>+'Stock Data'!AM108</f>
        <v>45829</v>
      </c>
      <c r="D297" s="573">
        <f>_xlfn.XLOOKUP(C297,'Stock Data'!$AM$4:$AM$1051,'Stock Data'!$AN$4:$AN$1051)</f>
        <v>3.5350000000000001</v>
      </c>
    </row>
    <row r="298" spans="3:4" ht="15" customHeight="1">
      <c r="C298" s="599">
        <f>+'Stock Data'!AM109</f>
        <v>45828</v>
      </c>
      <c r="D298" s="573">
        <f>_xlfn.XLOOKUP(C298,'Stock Data'!$AM$4:$AM$1051,'Stock Data'!$AN$4:$AN$1051)</f>
        <v>3.585</v>
      </c>
    </row>
    <row r="299" spans="3:4" ht="15" customHeight="1">
      <c r="C299" s="599">
        <f>+'Stock Data'!AM110</f>
        <v>45827</v>
      </c>
      <c r="D299" s="573">
        <f>_xlfn.XLOOKUP(C299,'Stock Data'!$AM$4:$AM$1051,'Stock Data'!$AN$4:$AN$1051)</f>
        <v>3.4550000000000001</v>
      </c>
    </row>
    <row r="300" spans="3:4" ht="15" customHeight="1">
      <c r="C300" s="599">
        <f>+'Stock Data'!AM111</f>
        <v>45826</v>
      </c>
      <c r="D300" s="573">
        <f>_xlfn.XLOOKUP(C300,'Stock Data'!$AM$4:$AM$1051,'Stock Data'!$AN$4:$AN$1051)</f>
        <v>3.44</v>
      </c>
    </row>
    <row r="301" spans="3:4" ht="15" customHeight="1">
      <c r="C301" s="599">
        <f>+'Stock Data'!AM112</f>
        <v>45825</v>
      </c>
      <c r="D301" s="573">
        <f>_xlfn.XLOOKUP(C301,'Stock Data'!$AM$4:$AM$1051,'Stock Data'!$AN$4:$AN$1051)</f>
        <v>3.44</v>
      </c>
    </row>
    <row r="302" spans="3:4" ht="15" customHeight="1">
      <c r="C302" s="599">
        <f>+'Stock Data'!AM113</f>
        <v>45824</v>
      </c>
      <c r="D302" s="573">
        <f>_xlfn.XLOOKUP(C302,'Stock Data'!$AM$4:$AM$1051,'Stock Data'!$AN$4:$AN$1051)</f>
        <v>3.44</v>
      </c>
    </row>
    <row r="303" spans="3:4" ht="15" customHeight="1">
      <c r="C303" s="599">
        <f>+'Stock Data'!AM114</f>
        <v>45823</v>
      </c>
      <c r="D303" s="573">
        <f>_xlfn.XLOOKUP(C303,'Stock Data'!$AM$4:$AM$1051,'Stock Data'!$AN$4:$AN$1051)</f>
        <v>3.5649999999999999</v>
      </c>
    </row>
    <row r="304" spans="3:4" ht="15" customHeight="1">
      <c r="C304" s="599">
        <f>+'Stock Data'!AM115</f>
        <v>45822</v>
      </c>
      <c r="D304" s="573">
        <f>_xlfn.XLOOKUP(C304,'Stock Data'!$AM$4:$AM$1051,'Stock Data'!$AN$4:$AN$1051)</f>
        <v>3.6</v>
      </c>
    </row>
    <row r="305" spans="3:4" ht="15" customHeight="1">
      <c r="C305" s="599">
        <f>+'Stock Data'!AM116</f>
        <v>45821</v>
      </c>
      <c r="D305" s="573">
        <f>_xlfn.XLOOKUP(C305,'Stock Data'!$AM$4:$AM$1051,'Stock Data'!$AN$4:$AN$1051)</f>
        <v>3.7650000000000001</v>
      </c>
    </row>
    <row r="306" spans="3:4" ht="15" customHeight="1">
      <c r="C306" s="599">
        <f>+'Stock Data'!AM117</f>
        <v>45820</v>
      </c>
      <c r="D306" s="573">
        <f>_xlfn.XLOOKUP(C306,'Stock Data'!$AM$4:$AM$1051,'Stock Data'!$AN$4:$AN$1051)</f>
        <v>3.76</v>
      </c>
    </row>
    <row r="307" spans="3:4" ht="15" customHeight="1">
      <c r="C307" s="599">
        <f>+'Stock Data'!AM118</f>
        <v>45819</v>
      </c>
      <c r="D307" s="573">
        <f>_xlfn.XLOOKUP(C307,'Stock Data'!$AM$4:$AM$1051,'Stock Data'!$AN$4:$AN$1051)</f>
        <v>3.82</v>
      </c>
    </row>
    <row r="308" spans="3:4" ht="15" customHeight="1">
      <c r="C308" s="599">
        <f>+'Stock Data'!AM119</f>
        <v>45818</v>
      </c>
      <c r="D308" s="573">
        <f>_xlfn.XLOOKUP(C308,'Stock Data'!$AM$4:$AM$1051,'Stock Data'!$AN$4:$AN$1051)</f>
        <v>3.82</v>
      </c>
    </row>
    <row r="309" spans="3:4" ht="15" customHeight="1">
      <c r="C309" s="599">
        <f>+'Stock Data'!AM120</f>
        <v>45817</v>
      </c>
      <c r="D309" s="573">
        <f>_xlfn.XLOOKUP(C309,'Stock Data'!$AM$4:$AM$1051,'Stock Data'!$AN$4:$AN$1051)</f>
        <v>3.82</v>
      </c>
    </row>
    <row r="310" spans="3:4" ht="15" customHeight="1">
      <c r="C310" s="599">
        <f>+'Stock Data'!AM121</f>
        <v>45816</v>
      </c>
      <c r="D310" s="573">
        <f>_xlfn.XLOOKUP(C310,'Stock Data'!$AM$4:$AM$1051,'Stock Data'!$AN$4:$AN$1051)</f>
        <v>3.8149999999999999</v>
      </c>
    </row>
    <row r="311" spans="3:4" ht="15" customHeight="1">
      <c r="C311" s="599">
        <f>+'Stock Data'!AM122</f>
        <v>45815</v>
      </c>
      <c r="D311" s="573">
        <f>_xlfn.XLOOKUP(C311,'Stock Data'!$AM$4:$AM$1051,'Stock Data'!$AN$4:$AN$1051)</f>
        <v>3.7749999999999999</v>
      </c>
    </row>
    <row r="312" spans="3:4" ht="15" customHeight="1">
      <c r="C312" s="599">
        <f>+'Stock Data'!AM123</f>
        <v>45814</v>
      </c>
      <c r="D312" s="573">
        <f>_xlfn.XLOOKUP(C312,'Stock Data'!$AM$4:$AM$1051,'Stock Data'!$AN$4:$AN$1051)</f>
        <v>3.7</v>
      </c>
    </row>
    <row r="313" spans="3:4" ht="15" customHeight="1">
      <c r="C313" s="599">
        <f>+'Stock Data'!AM124</f>
        <v>45813</v>
      </c>
      <c r="D313" s="573">
        <f>_xlfn.XLOOKUP(C313,'Stock Data'!$AM$4:$AM$1051,'Stock Data'!$AN$4:$AN$1051)</f>
        <v>3.5350000000000001</v>
      </c>
    </row>
    <row r="314" spans="3:4" ht="15" customHeight="1">
      <c r="C314" s="599">
        <f>+'Stock Data'!AM125</f>
        <v>45812</v>
      </c>
      <c r="D314" s="573">
        <f>_xlfn.XLOOKUP(C314,'Stock Data'!$AM$4:$AM$1051,'Stock Data'!$AN$4:$AN$1051)</f>
        <v>3.52</v>
      </c>
    </row>
    <row r="315" spans="3:4" ht="15" customHeight="1">
      <c r="C315" s="599">
        <f>+'Stock Data'!AM126</f>
        <v>45811</v>
      </c>
      <c r="D315" s="573">
        <f>_xlfn.XLOOKUP(C315,'Stock Data'!$AM$4:$AM$1051,'Stock Data'!$AN$4:$AN$1051)</f>
        <v>3.52</v>
      </c>
    </row>
    <row r="316" spans="3:4" ht="15" customHeight="1">
      <c r="C316" s="599">
        <f>+'Stock Data'!AM127</f>
        <v>45810</v>
      </c>
      <c r="D316" s="573">
        <f>_xlfn.XLOOKUP(C316,'Stock Data'!$AM$4:$AM$1051,'Stock Data'!$AN$4:$AN$1051)</f>
        <v>3.52</v>
      </c>
    </row>
    <row r="317" spans="3:4" ht="15" customHeight="1">
      <c r="C317" s="599">
        <f>+'Stock Data'!AM128</f>
        <v>45809</v>
      </c>
      <c r="D317" s="573">
        <f>_xlfn.XLOOKUP(C317,'Stock Data'!$AM$4:$AM$1051,'Stock Data'!$AN$4:$AN$1051)</f>
        <v>3.7749999999999999</v>
      </c>
    </row>
    <row r="318" spans="3:4" ht="15" customHeight="1">
      <c r="C318" s="599">
        <f>+'Stock Data'!AM129</f>
        <v>45808</v>
      </c>
      <c r="D318" s="573">
        <f>_xlfn.XLOOKUP(C318,'Stock Data'!$AM$4:$AM$1051,'Stock Data'!$AN$4:$AN$1051)</f>
        <v>3.65</v>
      </c>
    </row>
    <row r="319" spans="3:4" ht="15" customHeight="1">
      <c r="C319" s="599">
        <f>+'Stock Data'!AM130</f>
        <v>45807</v>
      </c>
      <c r="D319" s="573">
        <f>_xlfn.XLOOKUP(C319,'Stock Data'!$AM$4:$AM$1051,'Stock Data'!$AN$4:$AN$1051)</f>
        <v>3.7250000000000001</v>
      </c>
    </row>
    <row r="320" spans="3:4" ht="15" customHeight="1">
      <c r="C320" s="599">
        <f>+'Stock Data'!AM131</f>
        <v>45806</v>
      </c>
      <c r="D320" s="573">
        <f>_xlfn.XLOOKUP(C320,'Stock Data'!$AM$4:$AM$1051,'Stock Data'!$AN$4:$AN$1051)</f>
        <v>3.72</v>
      </c>
    </row>
    <row r="321" spans="3:4" ht="15" customHeight="1">
      <c r="C321" s="599">
        <f>+'Stock Data'!AM132</f>
        <v>45805</v>
      </c>
      <c r="D321" s="573">
        <f>_xlfn.XLOOKUP(C321,'Stock Data'!$AM$4:$AM$1051,'Stock Data'!$AN$4:$AN$1051)</f>
        <v>3.77</v>
      </c>
    </row>
    <row r="322" spans="3:4" ht="15" customHeight="1">
      <c r="C322" s="599">
        <f>+'Stock Data'!AM133</f>
        <v>45804</v>
      </c>
      <c r="D322" s="573">
        <f>_xlfn.XLOOKUP(C322,'Stock Data'!$AM$4:$AM$1051,'Stock Data'!$AN$4:$AN$1051)</f>
        <v>3.77</v>
      </c>
    </row>
    <row r="323" spans="3:4" ht="15" customHeight="1">
      <c r="C323" s="599">
        <f>+'Stock Data'!AM134</f>
        <v>45803</v>
      </c>
      <c r="D323" s="573">
        <f>_xlfn.XLOOKUP(C323,'Stock Data'!$AM$4:$AM$1051,'Stock Data'!$AN$4:$AN$1051)</f>
        <v>3.77</v>
      </c>
    </row>
    <row r="324" spans="3:4" ht="15" customHeight="1">
      <c r="C324" s="599">
        <f>+'Stock Data'!AM135</f>
        <v>45802</v>
      </c>
      <c r="D324" s="573">
        <f>_xlfn.XLOOKUP(C324,'Stock Data'!$AM$4:$AM$1051,'Stock Data'!$AN$4:$AN$1051)</f>
        <v>3.6850000000000001</v>
      </c>
    </row>
    <row r="325" spans="3:4" ht="15" customHeight="1">
      <c r="C325" s="599">
        <f>+'Stock Data'!AM136</f>
        <v>45801</v>
      </c>
      <c r="D325" s="573">
        <f>_xlfn.XLOOKUP(C325,'Stock Data'!$AM$4:$AM$1051,'Stock Data'!$AN$4:$AN$1051)</f>
        <v>3.6850000000000001</v>
      </c>
    </row>
    <row r="326" spans="3:4" ht="15" customHeight="1">
      <c r="C326" s="599">
        <f>+'Stock Data'!AM137</f>
        <v>45800</v>
      </c>
      <c r="D326" s="573">
        <f>_xlfn.XLOOKUP(C326,'Stock Data'!$AM$4:$AM$1051,'Stock Data'!$AN$4:$AN$1051)</f>
        <v>3.7549999999999999</v>
      </c>
    </row>
    <row r="327" spans="3:4" ht="15" customHeight="1">
      <c r="C327" s="599">
        <f>+'Stock Data'!AM138</f>
        <v>45799</v>
      </c>
      <c r="D327" s="573">
        <f>_xlfn.XLOOKUP(C327,'Stock Data'!$AM$4:$AM$1051,'Stock Data'!$AN$4:$AN$1051)</f>
        <v>3.68</v>
      </c>
    </row>
    <row r="328" spans="3:4" ht="15" customHeight="1">
      <c r="C328" s="599">
        <f>+'Stock Data'!AM139</f>
        <v>45798</v>
      </c>
      <c r="D328" s="573">
        <f>_xlfn.XLOOKUP(C328,'Stock Data'!$AM$4:$AM$1051,'Stock Data'!$AN$4:$AN$1051)</f>
        <v>3.7549999999999999</v>
      </c>
    </row>
    <row r="329" spans="3:4" ht="15" customHeight="1">
      <c r="C329" s="599">
        <f>+'Stock Data'!AM140</f>
        <v>45797</v>
      </c>
      <c r="D329" s="573">
        <f>_xlfn.XLOOKUP(C329,'Stock Data'!$AM$4:$AM$1051,'Stock Data'!$AN$4:$AN$1051)</f>
        <v>3.7549999999999999</v>
      </c>
    </row>
    <row r="330" spans="3:4" ht="15" customHeight="1">
      <c r="C330" s="599">
        <f>+'Stock Data'!AM141</f>
        <v>45796</v>
      </c>
      <c r="D330" s="573">
        <f>_xlfn.XLOOKUP(C330,'Stock Data'!$AM$4:$AM$1051,'Stock Data'!$AN$4:$AN$1051)</f>
        <v>3.7549999999999999</v>
      </c>
    </row>
    <row r="331" spans="3:4" ht="15" customHeight="1">
      <c r="C331" s="599">
        <f>+'Stock Data'!AM142</f>
        <v>45795</v>
      </c>
      <c r="D331" s="573">
        <f>_xlfn.XLOOKUP(C331,'Stock Data'!$AM$4:$AM$1051,'Stock Data'!$AN$4:$AN$1051)</f>
        <v>3.7650000000000001</v>
      </c>
    </row>
    <row r="332" spans="3:4" ht="15" customHeight="1">
      <c r="C332" s="599">
        <f>+'Stock Data'!AM143</f>
        <v>45794</v>
      </c>
      <c r="D332" s="573">
        <f>_xlfn.XLOOKUP(C332,'Stock Data'!$AM$4:$AM$1051,'Stock Data'!$AN$4:$AN$1051)</f>
        <v>3.5449999999999999</v>
      </c>
    </row>
    <row r="333" spans="3:4" ht="15" customHeight="1">
      <c r="C333" s="599">
        <f>+'Stock Data'!AM144</f>
        <v>45793</v>
      </c>
      <c r="D333" s="573">
        <f>_xlfn.XLOOKUP(C333,'Stock Data'!$AM$4:$AM$1051,'Stock Data'!$AN$4:$AN$1051)</f>
        <v>3.5550000000000002</v>
      </c>
    </row>
    <row r="334" spans="3:4" ht="15" customHeight="1">
      <c r="C334" s="599">
        <f>+'Stock Data'!AM145</f>
        <v>45792</v>
      </c>
      <c r="D334" s="573">
        <f>_xlfn.XLOOKUP(C334,'Stock Data'!$AM$4:$AM$1051,'Stock Data'!$AN$4:$AN$1051)</f>
        <v>3.62</v>
      </c>
    </row>
    <row r="335" spans="3:4" ht="15" customHeight="1">
      <c r="C335" s="599">
        <f>+'Stock Data'!AM146</f>
        <v>45791</v>
      </c>
      <c r="D335" s="573">
        <f>_xlfn.XLOOKUP(C335,'Stock Data'!$AM$4:$AM$1051,'Stock Data'!$AN$4:$AN$1051)</f>
        <v>3.62</v>
      </c>
    </row>
    <row r="336" spans="3:4" ht="15" customHeight="1">
      <c r="C336" s="599">
        <f>+'Stock Data'!AM147</f>
        <v>45790</v>
      </c>
      <c r="D336" s="573">
        <f>_xlfn.XLOOKUP(C336,'Stock Data'!$AM$4:$AM$1051,'Stock Data'!$AN$4:$AN$1051)</f>
        <v>3.62</v>
      </c>
    </row>
    <row r="337" spans="3:4" ht="15" customHeight="1">
      <c r="C337" s="599">
        <f>+'Stock Data'!AM148</f>
        <v>45789</v>
      </c>
      <c r="D337" s="573">
        <f>_xlfn.XLOOKUP(C337,'Stock Data'!$AM$4:$AM$1051,'Stock Data'!$AN$4:$AN$1051)</f>
        <v>3.62</v>
      </c>
    </row>
    <row r="338" spans="3:4" ht="15" customHeight="1">
      <c r="C338" s="599">
        <f>+'Stock Data'!AM149</f>
        <v>45788</v>
      </c>
      <c r="D338" s="573">
        <f>_xlfn.XLOOKUP(C338,'Stock Data'!$AM$4:$AM$1051,'Stock Data'!$AN$4:$AN$1051)</f>
        <v>3.62</v>
      </c>
    </row>
    <row r="339" spans="3:4" ht="15" customHeight="1">
      <c r="C339" s="599">
        <f>+'Stock Data'!AM150</f>
        <v>45787</v>
      </c>
      <c r="D339" s="573">
        <f>_xlfn.XLOOKUP(C339,'Stock Data'!$AM$4:$AM$1051,'Stock Data'!$AN$4:$AN$1051)</f>
        <v>3.5049999999999999</v>
      </c>
    </row>
    <row r="340" spans="3:4" ht="15" customHeight="1">
      <c r="C340" s="599">
        <f>+'Stock Data'!AM151</f>
        <v>45786</v>
      </c>
      <c r="D340" s="573">
        <f>_xlfn.XLOOKUP(C340,'Stock Data'!$AM$4:$AM$1051,'Stock Data'!$AN$4:$AN$1051)</f>
        <v>3.5249999999999999</v>
      </c>
    </row>
    <row r="341" spans="3:4" ht="15" customHeight="1">
      <c r="C341" s="599">
        <f>+'Stock Data'!AM152</f>
        <v>45785</v>
      </c>
      <c r="D341" s="573">
        <f>_xlfn.XLOOKUP(C341,'Stock Data'!$AM$4:$AM$1051,'Stock Data'!$AN$4:$AN$1051)</f>
        <v>3.6349999999999998</v>
      </c>
    </row>
    <row r="342" spans="3:4" ht="15" customHeight="1">
      <c r="C342" s="599">
        <f>+'Stock Data'!AM153</f>
        <v>45784</v>
      </c>
      <c r="D342" s="573">
        <f>_xlfn.XLOOKUP(C342,'Stock Data'!$AM$4:$AM$1051,'Stock Data'!$AN$4:$AN$1051)</f>
        <v>3.66</v>
      </c>
    </row>
    <row r="343" spans="3:4" ht="15" customHeight="1">
      <c r="C343" s="599">
        <f>+'Stock Data'!AM154</f>
        <v>45783</v>
      </c>
      <c r="D343" s="573">
        <f>_xlfn.XLOOKUP(C343,'Stock Data'!$AM$4:$AM$1051,'Stock Data'!$AN$4:$AN$1051)</f>
        <v>3.66</v>
      </c>
    </row>
    <row r="344" spans="3:4" ht="15" customHeight="1">
      <c r="C344" s="599">
        <f>+'Stock Data'!AM155</f>
        <v>45782</v>
      </c>
      <c r="D344" s="573">
        <f>_xlfn.XLOOKUP(C344,'Stock Data'!$AM$4:$AM$1051,'Stock Data'!$AN$4:$AN$1051)</f>
        <v>3.66</v>
      </c>
    </row>
    <row r="345" spans="3:4" ht="15" customHeight="1">
      <c r="C345" s="599">
        <f>+'Stock Data'!AM156</f>
        <v>45781</v>
      </c>
      <c r="D345" s="573">
        <f>_xlfn.XLOOKUP(C345,'Stock Data'!$AM$4:$AM$1051,'Stock Data'!$AN$4:$AN$1051)</f>
        <v>3.41</v>
      </c>
    </row>
    <row r="346" spans="3:4" ht="15" customHeight="1">
      <c r="C346" s="599">
        <f>+'Stock Data'!AM157</f>
        <v>45780</v>
      </c>
      <c r="D346" s="573">
        <f>_xlfn.XLOOKUP(C346,'Stock Data'!$AM$4:$AM$1051,'Stock Data'!$AN$4:$AN$1051)</f>
        <v>3.61</v>
      </c>
    </row>
    <row r="347" spans="3:4" ht="15" customHeight="1">
      <c r="C347" s="599">
        <f>+'Stock Data'!AM158</f>
        <v>45779</v>
      </c>
      <c r="D347" s="573">
        <f>_xlfn.XLOOKUP(C347,'Stock Data'!$AM$4:$AM$1051,'Stock Data'!$AN$4:$AN$1051)</f>
        <v>3.4950000000000001</v>
      </c>
    </row>
    <row r="348" spans="3:4" ht="15" customHeight="1">
      <c r="C348" s="599">
        <f>+'Stock Data'!AM159</f>
        <v>45778</v>
      </c>
      <c r="D348" s="573">
        <f>_xlfn.XLOOKUP(C348,'Stock Data'!$AM$4:$AM$1051,'Stock Data'!$AN$4:$AN$1051)</f>
        <v>3.395</v>
      </c>
    </row>
    <row r="349" spans="3:4" ht="15" customHeight="1">
      <c r="C349" s="599">
        <f>+'Stock Data'!AM160</f>
        <v>45777</v>
      </c>
      <c r="D349" s="573">
        <f>_xlfn.XLOOKUP(C349,'Stock Data'!$AM$4:$AM$1051,'Stock Data'!$AN$4:$AN$1051)</f>
        <v>3.4249999999999998</v>
      </c>
    </row>
    <row r="350" spans="3:4" ht="15" customHeight="1">
      <c r="C350" s="599">
        <f>+'Stock Data'!AM161</f>
        <v>45776</v>
      </c>
      <c r="D350" s="573">
        <f>_xlfn.XLOOKUP(C350,'Stock Data'!$AM$4:$AM$1051,'Stock Data'!$AN$4:$AN$1051)</f>
        <v>3.4249999999999998</v>
      </c>
    </row>
    <row r="351" spans="3:4" ht="15" customHeight="1">
      <c r="C351" s="599">
        <f>+'Stock Data'!AM162</f>
        <v>45775</v>
      </c>
      <c r="D351" s="573">
        <f>_xlfn.XLOOKUP(C351,'Stock Data'!$AM$4:$AM$1051,'Stock Data'!$AN$4:$AN$1051)</f>
        <v>3.4249999999999998</v>
      </c>
    </row>
    <row r="352" spans="3:4" ht="15" customHeight="1">
      <c r="C352" s="599">
        <f>+'Stock Data'!AM163</f>
        <v>45774</v>
      </c>
      <c r="D352" s="573">
        <f>_xlfn.XLOOKUP(C352,'Stock Data'!$AM$4:$AM$1051,'Stock Data'!$AN$4:$AN$1051)</f>
        <v>3.585</v>
      </c>
    </row>
    <row r="353" spans="3:4" ht="15" customHeight="1">
      <c r="C353" s="599">
        <f>+'Stock Data'!AM164</f>
        <v>45773</v>
      </c>
      <c r="D353" s="573">
        <f>_xlfn.XLOOKUP(C353,'Stock Data'!$AM$4:$AM$1051,'Stock Data'!$AN$4:$AN$1051)</f>
        <v>3.52</v>
      </c>
    </row>
    <row r="354" spans="3:4" ht="15" customHeight="1">
      <c r="C354" s="599">
        <f>+'Stock Data'!AM165</f>
        <v>45772</v>
      </c>
      <c r="D354" s="573">
        <f>_xlfn.XLOOKUP(C354,'Stock Data'!$AM$4:$AM$1051,'Stock Data'!$AN$4:$AN$1051)</f>
        <v>3.4249999999999998</v>
      </c>
    </row>
    <row r="355" spans="3:4" ht="15" customHeight="1">
      <c r="C355" s="599">
        <f>+'Stock Data'!AM166</f>
        <v>45771</v>
      </c>
      <c r="D355" s="573">
        <f>_xlfn.XLOOKUP(C355,'Stock Data'!$AM$4:$AM$1051,'Stock Data'!$AN$4:$AN$1051)</f>
        <v>3.3050000000000002</v>
      </c>
    </row>
    <row r="356" spans="3:4" ht="15" customHeight="1">
      <c r="C356" s="599">
        <f>+'Stock Data'!AM167</f>
        <v>45770</v>
      </c>
      <c r="D356" s="573">
        <f>_xlfn.XLOOKUP(C356,'Stock Data'!$AM$4:$AM$1051,'Stock Data'!$AN$4:$AN$1051)</f>
        <v>3.4550000000000001</v>
      </c>
    </row>
    <row r="357" spans="3:4" ht="15" customHeight="1">
      <c r="C357" s="599">
        <f>+'Stock Data'!AM168</f>
        <v>45769</v>
      </c>
      <c r="D357" s="573">
        <f>_xlfn.XLOOKUP(C357,'Stock Data'!$AM$4:$AM$1051,'Stock Data'!$AN$4:$AN$1051)</f>
        <v>3.4550000000000001</v>
      </c>
    </row>
    <row r="358" spans="3:4" ht="15" customHeight="1">
      <c r="C358" s="599">
        <f>+'Stock Data'!AM169</f>
        <v>45768</v>
      </c>
      <c r="D358" s="573">
        <f>_xlfn.XLOOKUP(C358,'Stock Data'!$AM$4:$AM$1051,'Stock Data'!$AN$4:$AN$1051)</f>
        <v>3.4550000000000001</v>
      </c>
    </row>
    <row r="359" spans="3:4" ht="15" customHeight="1">
      <c r="C359" s="599">
        <f>+'Stock Data'!AM170</f>
        <v>45767</v>
      </c>
      <c r="D359" s="573">
        <f>_xlfn.XLOOKUP(C359,'Stock Data'!$AM$4:$AM$1051,'Stock Data'!$AN$4:$AN$1051)</f>
        <v>3.4049999999999998</v>
      </c>
    </row>
    <row r="360" spans="3:4" ht="15" customHeight="1">
      <c r="C360" s="599">
        <f>+'Stock Data'!AM171</f>
        <v>45766</v>
      </c>
      <c r="D360" s="573">
        <f>_xlfn.XLOOKUP(C360,'Stock Data'!$AM$4:$AM$1051,'Stock Data'!$AN$4:$AN$1051)</f>
        <v>3.2650000000000001</v>
      </c>
    </row>
    <row r="361" spans="3:4" ht="15" customHeight="1">
      <c r="C361" s="599">
        <f>+'Stock Data'!AM172</f>
        <v>45765</v>
      </c>
      <c r="D361" s="573">
        <f>_xlfn.XLOOKUP(C361,'Stock Data'!$AM$4:$AM$1051,'Stock Data'!$AN$4:$AN$1051)</f>
        <v>3.32</v>
      </c>
    </row>
    <row r="362" spans="3:4" ht="15" customHeight="1">
      <c r="C362" s="599">
        <f>+'Stock Data'!AM173</f>
        <v>45764</v>
      </c>
      <c r="D362" s="573">
        <f>_xlfn.XLOOKUP(C362,'Stock Data'!$AM$4:$AM$1051,'Stock Data'!$AN$4:$AN$1051)</f>
        <v>3.2149999999999999</v>
      </c>
    </row>
    <row r="363" spans="3:4" ht="15" customHeight="1">
      <c r="C363" s="599">
        <f>+'Stock Data'!AM174</f>
        <v>45763</v>
      </c>
      <c r="D363" s="573">
        <f>_xlfn.XLOOKUP(C363,'Stock Data'!$AM$4:$AM$1051,'Stock Data'!$AN$4:$AN$1051)</f>
        <v>3.2749999999999999</v>
      </c>
    </row>
    <row r="364" spans="3:4" ht="15" customHeight="1">
      <c r="C364" s="599">
        <f>+'Stock Data'!AM175</f>
        <v>45762</v>
      </c>
      <c r="D364" s="573">
        <f>_xlfn.XLOOKUP(C364,'Stock Data'!$AM$4:$AM$1051,'Stock Data'!$AN$4:$AN$1051)</f>
        <v>3.2749999999999999</v>
      </c>
    </row>
    <row r="365" spans="3:4" ht="15" customHeight="1">
      <c r="C365" s="599">
        <f>+'Stock Data'!AM176</f>
        <v>45761</v>
      </c>
      <c r="D365" s="573">
        <f>_xlfn.XLOOKUP(C365,'Stock Data'!$AM$4:$AM$1051,'Stock Data'!$AN$4:$AN$1051)</f>
        <v>3.2749999999999999</v>
      </c>
    </row>
    <row r="366" spans="3:4" ht="15" customHeight="1">
      <c r="C366" s="599">
        <f>+'Stock Data'!AM177</f>
        <v>45760</v>
      </c>
      <c r="D366" s="573">
        <f>_xlfn.XLOOKUP(C366,'Stock Data'!$AM$4:$AM$1051,'Stock Data'!$AN$4:$AN$1051)</f>
        <v>3.2850000000000001</v>
      </c>
    </row>
    <row r="367" spans="3:4" ht="15" customHeight="1">
      <c r="C367" s="599">
        <f>+'Stock Data'!AM178</f>
        <v>45759</v>
      </c>
      <c r="D367" s="573">
        <f>_xlfn.XLOOKUP(C367,'Stock Data'!$AM$4:$AM$1051,'Stock Data'!$AN$4:$AN$1051)</f>
        <v>3.25</v>
      </c>
    </row>
    <row r="368" spans="3:4" ht="15" customHeight="1">
      <c r="C368" s="599">
        <f>+'Stock Data'!AM179</f>
        <v>45758</v>
      </c>
      <c r="D368" s="573">
        <f>_xlfn.XLOOKUP(C368,'Stock Data'!$AM$4:$AM$1051,'Stock Data'!$AN$4:$AN$1051)</f>
        <v>3.165</v>
      </c>
    </row>
    <row r="369" spans="3:4" ht="15" customHeight="1">
      <c r="C369" s="599">
        <f>+'Stock Data'!AM180</f>
        <v>45757</v>
      </c>
      <c r="D369" s="573">
        <f>_xlfn.XLOOKUP(C369,'Stock Data'!$AM$4:$AM$1051,'Stock Data'!$AN$4:$AN$1051)</f>
        <v>3.27</v>
      </c>
    </row>
    <row r="370" spans="3:4" ht="15" customHeight="1">
      <c r="C370" s="599">
        <f>+'Stock Data'!AM181</f>
        <v>45756</v>
      </c>
      <c r="D370" s="573">
        <f>_xlfn.XLOOKUP(C370,'Stock Data'!$AM$4:$AM$1051,'Stock Data'!$AN$4:$AN$1051)</f>
        <v>3.0049999999999999</v>
      </c>
    </row>
    <row r="371" spans="3:4" ht="15" customHeight="1">
      <c r="C371" s="599">
        <f>+'Stock Data'!AM182</f>
        <v>45755</v>
      </c>
      <c r="D371" s="573">
        <f>_xlfn.XLOOKUP(C371,'Stock Data'!$AM$4:$AM$1051,'Stock Data'!$AN$4:$AN$1051)</f>
        <v>3.0049999999999999</v>
      </c>
    </row>
    <row r="372" spans="3:4" ht="15" customHeight="1">
      <c r="C372" s="599">
        <f>+'Stock Data'!AM183</f>
        <v>45754</v>
      </c>
      <c r="D372" s="573">
        <f>_xlfn.XLOOKUP(C372,'Stock Data'!$AM$4:$AM$1051,'Stock Data'!$AN$4:$AN$1051)</f>
        <v>3.0049999999999999</v>
      </c>
    </row>
    <row r="373" spans="3:4" ht="15" customHeight="1">
      <c r="C373" s="599">
        <f>+'Stock Data'!AM184</f>
        <v>45753</v>
      </c>
      <c r="D373" s="573">
        <f>_xlfn.XLOOKUP(C373,'Stock Data'!$AM$4:$AM$1051,'Stock Data'!$AN$4:$AN$1051)</f>
        <v>2.84</v>
      </c>
    </row>
    <row r="374" spans="3:4" ht="15" customHeight="1">
      <c r="C374" s="599">
        <f>+'Stock Data'!AM185</f>
        <v>45752</v>
      </c>
      <c r="D374" s="573">
        <f>_xlfn.XLOOKUP(C374,'Stock Data'!$AM$4:$AM$1051,'Stock Data'!$AN$4:$AN$1051)</f>
        <v>2.9449999999999998</v>
      </c>
    </row>
    <row r="375" spans="3:4" ht="15" customHeight="1">
      <c r="C375" s="599">
        <f>+'Stock Data'!AM186</f>
        <v>45751</v>
      </c>
      <c r="D375" s="573">
        <f>_xlfn.XLOOKUP(C375,'Stock Data'!$AM$4:$AM$1051,'Stock Data'!$AN$4:$AN$1051)</f>
        <v>2.8250000000000002</v>
      </c>
    </row>
    <row r="376" spans="3:4" ht="15" customHeight="1">
      <c r="C376" s="599">
        <f>+'Stock Data'!AM187</f>
        <v>45750</v>
      </c>
      <c r="D376" s="573">
        <f>_xlfn.XLOOKUP(C376,'Stock Data'!$AM$4:$AM$1051,'Stock Data'!$AN$4:$AN$1051)</f>
        <v>2.6549999999999998</v>
      </c>
    </row>
    <row r="377" spans="3:4" ht="15" customHeight="1">
      <c r="C377" s="599">
        <f>+'Stock Data'!AM188</f>
        <v>45749</v>
      </c>
      <c r="D377" s="573">
        <f>_xlfn.XLOOKUP(C377,'Stock Data'!$AM$4:$AM$1051,'Stock Data'!$AN$4:$AN$1051)</f>
        <v>2.7050000000000001</v>
      </c>
    </row>
    <row r="378" spans="3:4" ht="15" customHeight="1">
      <c r="C378" s="599">
        <f>+'Stock Data'!AM189</f>
        <v>45748</v>
      </c>
      <c r="D378" s="573">
        <f>_xlfn.XLOOKUP(C378,'Stock Data'!$AM$4:$AM$1051,'Stock Data'!$AN$4:$AN$1051)</f>
        <v>2.7050000000000001</v>
      </c>
    </row>
    <row r="379" spans="3:4" ht="15" customHeight="1">
      <c r="C379" s="599">
        <f>+'Stock Data'!AM190</f>
        <v>45747</v>
      </c>
      <c r="D379" s="573">
        <f>_xlfn.XLOOKUP(C379,'Stock Data'!$AM$4:$AM$1051,'Stock Data'!$AN$4:$AN$1051)</f>
        <v>2.7050000000000001</v>
      </c>
    </row>
    <row r="380" spans="3:4" ht="15" customHeight="1">
      <c r="C380" s="599">
        <f>+'Stock Data'!AM191</f>
        <v>45746</v>
      </c>
      <c r="D380" s="573">
        <f>_xlfn.XLOOKUP(C380,'Stock Data'!$AM$4:$AM$1051,'Stock Data'!$AN$4:$AN$1051)</f>
        <v>2.63</v>
      </c>
    </row>
    <row r="381" spans="3:4" ht="15" customHeight="1">
      <c r="C381" s="599">
        <f>+'Stock Data'!AM192</f>
        <v>45745</v>
      </c>
      <c r="D381" s="573">
        <f>_xlfn.XLOOKUP(C381,'Stock Data'!$AM$4:$AM$1051,'Stock Data'!$AN$4:$AN$1051)</f>
        <v>2.68</v>
      </c>
    </row>
    <row r="382" spans="3:4" ht="15" customHeight="1">
      <c r="C382" s="599">
        <f>+'Stock Data'!AM193</f>
        <v>45744</v>
      </c>
      <c r="D382" s="573">
        <f>_xlfn.XLOOKUP(C382,'Stock Data'!$AM$4:$AM$1051,'Stock Data'!$AN$4:$AN$1051)</f>
        <v>2.77</v>
      </c>
    </row>
    <row r="383" spans="3:4" ht="15" customHeight="1">
      <c r="C383" s="599">
        <f>+'Stock Data'!AM194</f>
        <v>45743</v>
      </c>
      <c r="D383" s="573">
        <f>_xlfn.XLOOKUP(C383,'Stock Data'!$AM$4:$AM$1051,'Stock Data'!$AN$4:$AN$1051)</f>
        <v>2.77</v>
      </c>
    </row>
    <row r="384" spans="3:4" ht="15" customHeight="1">
      <c r="C384" s="599">
        <f>+'Stock Data'!AM195</f>
        <v>45742</v>
      </c>
      <c r="D384" s="573">
        <f>_xlfn.XLOOKUP(C384,'Stock Data'!$AM$4:$AM$1051,'Stock Data'!$AN$4:$AN$1051)</f>
        <v>2.77</v>
      </c>
    </row>
    <row r="385" spans="3:4" ht="15" customHeight="1">
      <c r="C385" s="599">
        <f>+'Stock Data'!AM196</f>
        <v>45741</v>
      </c>
      <c r="D385" s="573">
        <f>_xlfn.XLOOKUP(C385,'Stock Data'!$AM$4:$AM$1051,'Stock Data'!$AN$4:$AN$1051)</f>
        <v>2.77</v>
      </c>
    </row>
    <row r="386" spans="3:4" ht="15" customHeight="1">
      <c r="C386" s="599">
        <f>+'Stock Data'!AM197</f>
        <v>45740</v>
      </c>
      <c r="D386" s="573">
        <f>_xlfn.XLOOKUP(C386,'Stock Data'!$AM$4:$AM$1051,'Stock Data'!$AN$4:$AN$1051)</f>
        <v>2.77</v>
      </c>
    </row>
    <row r="387" spans="3:4" ht="15" customHeight="1">
      <c r="C387" s="599">
        <f>+'Stock Data'!AM198</f>
        <v>45739</v>
      </c>
      <c r="D387" s="573">
        <f>_xlfn.XLOOKUP(C387,'Stock Data'!$AM$4:$AM$1051,'Stock Data'!$AN$4:$AN$1051)</f>
        <v>2.81</v>
      </c>
    </row>
    <row r="388" spans="3:4" ht="15" customHeight="1">
      <c r="C388" s="599">
        <f>+'Stock Data'!AM199</f>
        <v>45738</v>
      </c>
      <c r="D388" s="573">
        <f>_xlfn.XLOOKUP(C388,'Stock Data'!$AM$4:$AM$1051,'Stock Data'!$AN$4:$AN$1051)</f>
        <v>2.81</v>
      </c>
    </row>
    <row r="389" spans="3:4" ht="15" customHeight="1">
      <c r="C389" s="599">
        <f>+'Stock Data'!AM200</f>
        <v>45737</v>
      </c>
      <c r="D389" s="573">
        <f>_xlfn.XLOOKUP(C389,'Stock Data'!$AM$4:$AM$1051,'Stock Data'!$AN$4:$AN$1051)</f>
        <v>2.855</v>
      </c>
    </row>
    <row r="390" spans="3:4" ht="15" customHeight="1">
      <c r="C390" s="599">
        <f>+'Stock Data'!AM201</f>
        <v>45736</v>
      </c>
      <c r="D390" s="573">
        <f>_xlfn.XLOOKUP(C390,'Stock Data'!$AM$4:$AM$1051,'Stock Data'!$AN$4:$AN$1051)</f>
        <v>2.88</v>
      </c>
    </row>
    <row r="391" spans="3:4" ht="15" customHeight="1">
      <c r="C391" s="599">
        <f>+'Stock Data'!AM202</f>
        <v>45735</v>
      </c>
      <c r="D391" s="573">
        <f>_xlfn.XLOOKUP(C391,'Stock Data'!$AM$4:$AM$1051,'Stock Data'!$AN$4:$AN$1051)</f>
        <v>2.95</v>
      </c>
    </row>
    <row r="392" spans="3:4" ht="15" customHeight="1">
      <c r="C392" s="599">
        <f>+'Stock Data'!AM203</f>
        <v>45734</v>
      </c>
      <c r="D392" s="573">
        <f>_xlfn.XLOOKUP(C392,'Stock Data'!$AM$4:$AM$1051,'Stock Data'!$AN$4:$AN$1051)</f>
        <v>2.95</v>
      </c>
    </row>
    <row r="393" spans="3:4" ht="15" customHeight="1">
      <c r="C393" s="599">
        <f>+'Stock Data'!AM204</f>
        <v>45733</v>
      </c>
      <c r="D393" s="573">
        <f>_xlfn.XLOOKUP(C393,'Stock Data'!$AM$4:$AM$1051,'Stock Data'!$AN$4:$AN$1051)</f>
        <v>2.95</v>
      </c>
    </row>
    <row r="394" spans="3:4" ht="15" customHeight="1">
      <c r="C394" s="599">
        <f>+'Stock Data'!AM205</f>
        <v>45732</v>
      </c>
      <c r="D394" s="573">
        <f>_xlfn.XLOOKUP(C394,'Stock Data'!$AM$4:$AM$1051,'Stock Data'!$AN$4:$AN$1051)</f>
        <v>2.97</v>
      </c>
    </row>
    <row r="395" spans="3:4" ht="15" customHeight="1">
      <c r="C395" s="599">
        <f>+'Stock Data'!AM206</f>
        <v>45731</v>
      </c>
      <c r="D395" s="573">
        <f>_xlfn.XLOOKUP(C395,'Stock Data'!$AM$4:$AM$1051,'Stock Data'!$AN$4:$AN$1051)</f>
        <v>3.05</v>
      </c>
    </row>
    <row r="396" spans="3:4" ht="15" customHeight="1">
      <c r="C396" s="599">
        <f>+'Stock Data'!AM207</f>
        <v>45730</v>
      </c>
      <c r="D396" s="573">
        <f>_xlfn.XLOOKUP(C396,'Stock Data'!$AM$4:$AM$1051,'Stock Data'!$AN$4:$AN$1051)</f>
        <v>3.2250000000000001</v>
      </c>
    </row>
    <row r="397" spans="3:4" ht="15" customHeight="1">
      <c r="C397" s="599">
        <f>+'Stock Data'!AM208</f>
        <v>45729</v>
      </c>
      <c r="D397" s="573">
        <f>_xlfn.XLOOKUP(C397,'Stock Data'!$AM$4:$AM$1051,'Stock Data'!$AN$4:$AN$1051)</f>
        <v>3.26</v>
      </c>
    </row>
    <row r="398" spans="3:4" ht="15" customHeight="1">
      <c r="C398" s="599">
        <f>+'Stock Data'!AM209</f>
        <v>45728</v>
      </c>
      <c r="D398" s="573">
        <f>_xlfn.XLOOKUP(C398,'Stock Data'!$AM$4:$AM$1051,'Stock Data'!$AN$4:$AN$1051)</f>
        <v>3.06</v>
      </c>
    </row>
    <row r="399" spans="3:4" ht="15" customHeight="1">
      <c r="C399" s="599">
        <f>+'Stock Data'!AM210</f>
        <v>45727</v>
      </c>
      <c r="D399" s="573">
        <f>_xlfn.XLOOKUP(C399,'Stock Data'!$AM$4:$AM$1051,'Stock Data'!$AN$4:$AN$1051)</f>
        <v>3.06</v>
      </c>
    </row>
    <row r="400" spans="3:4" ht="15" customHeight="1">
      <c r="C400" s="599">
        <f>+'Stock Data'!AM211</f>
        <v>45726</v>
      </c>
      <c r="D400" s="573">
        <f>_xlfn.XLOOKUP(C400,'Stock Data'!$AM$4:$AM$1051,'Stock Data'!$AN$4:$AN$1051)</f>
        <v>3.06</v>
      </c>
    </row>
    <row r="401" spans="3:4" ht="15" customHeight="1">
      <c r="C401" s="599">
        <f>+'Stock Data'!AM212</f>
        <v>45725</v>
      </c>
      <c r="D401" s="573">
        <f>_xlfn.XLOOKUP(C401,'Stock Data'!$AM$4:$AM$1051,'Stock Data'!$AN$4:$AN$1051)</f>
        <v>2.915</v>
      </c>
    </row>
    <row r="402" spans="3:4" ht="15" customHeight="1">
      <c r="C402" s="599">
        <f>+'Stock Data'!AM213</f>
        <v>45724</v>
      </c>
      <c r="D402" s="573">
        <f>_xlfn.XLOOKUP(C402,'Stock Data'!$AM$4:$AM$1051,'Stock Data'!$AN$4:$AN$1051)</f>
        <v>2.9550000000000001</v>
      </c>
    </row>
    <row r="403" spans="3:4" ht="15" customHeight="1">
      <c r="C403" s="599">
        <f>+'Stock Data'!AM214</f>
        <v>45723</v>
      </c>
      <c r="D403" s="573">
        <f>_xlfn.XLOOKUP(C403,'Stock Data'!$AM$4:$AM$1051,'Stock Data'!$AN$4:$AN$1051)</f>
        <v>3.02</v>
      </c>
    </row>
    <row r="404" spans="3:4" ht="15" customHeight="1">
      <c r="C404" s="599">
        <f>+'Stock Data'!AM215</f>
        <v>45722</v>
      </c>
      <c r="D404" s="573">
        <f>_xlfn.XLOOKUP(C404,'Stock Data'!$AM$4:$AM$1051,'Stock Data'!$AN$4:$AN$1051)</f>
        <v>2.96</v>
      </c>
    </row>
    <row r="405" spans="3:4" ht="15" customHeight="1">
      <c r="C405" s="599">
        <f>+'Stock Data'!AM216</f>
        <v>45721</v>
      </c>
      <c r="D405" s="573">
        <f>_xlfn.XLOOKUP(C405,'Stock Data'!$AM$4:$AM$1051,'Stock Data'!$AN$4:$AN$1051)</f>
        <v>2.9550000000000001</v>
      </c>
    </row>
    <row r="406" spans="3:4" ht="15" customHeight="1">
      <c r="C406" s="599">
        <f>+'Stock Data'!AM217</f>
        <v>45720</v>
      </c>
      <c r="D406" s="573">
        <f>_xlfn.XLOOKUP(C406,'Stock Data'!$AM$4:$AM$1051,'Stock Data'!$AN$4:$AN$1051)</f>
        <v>2.9550000000000001</v>
      </c>
    </row>
    <row r="407" spans="3:4" ht="15" customHeight="1">
      <c r="C407" s="599">
        <f>+'Stock Data'!AM218</f>
        <v>45719</v>
      </c>
      <c r="D407" s="573">
        <f>_xlfn.XLOOKUP(C407,'Stock Data'!$AM$4:$AM$1051,'Stock Data'!$AN$4:$AN$1051)</f>
        <v>2.9550000000000001</v>
      </c>
    </row>
    <row r="408" spans="3:4" ht="15" customHeight="1">
      <c r="C408" s="599">
        <f>+'Stock Data'!AM219</f>
        <v>45718</v>
      </c>
      <c r="D408" s="573">
        <f>_xlfn.XLOOKUP(C408,'Stock Data'!$AM$4:$AM$1051,'Stock Data'!$AN$4:$AN$1051)</f>
        <v>3.1</v>
      </c>
    </row>
    <row r="409" spans="3:4" ht="15" customHeight="1">
      <c r="C409" s="599">
        <f>+'Stock Data'!AM220</f>
        <v>45717</v>
      </c>
      <c r="D409" s="573">
        <f>_xlfn.XLOOKUP(C409,'Stock Data'!$AM$4:$AM$1051,'Stock Data'!$AN$4:$AN$1051)</f>
        <v>3.105</v>
      </c>
    </row>
    <row r="410" spans="3:4" ht="15" customHeight="1">
      <c r="C410" s="599">
        <f>+'Stock Data'!AM221</f>
        <v>45716</v>
      </c>
      <c r="D410" s="573">
        <f>_xlfn.XLOOKUP(C410,'Stock Data'!$AM$4:$AM$1051,'Stock Data'!$AN$4:$AN$1051)</f>
        <v>3.2450000000000001</v>
      </c>
    </row>
    <row r="411" spans="3:4" ht="15" customHeight="1">
      <c r="C411" s="599">
        <f>+'Stock Data'!AM222</f>
        <v>45715</v>
      </c>
      <c r="D411" s="573">
        <f>_xlfn.XLOOKUP(C411,'Stock Data'!$AM$4:$AM$1051,'Stock Data'!$AN$4:$AN$1051)</f>
        <v>3.165</v>
      </c>
    </row>
    <row r="412" spans="3:4" ht="15" customHeight="1">
      <c r="C412" s="599">
        <f>+'Stock Data'!AM223</f>
        <v>45714</v>
      </c>
      <c r="D412" s="573">
        <f>_xlfn.XLOOKUP(C412,'Stock Data'!$AM$4:$AM$1051,'Stock Data'!$AN$4:$AN$1051)</f>
        <v>3.2349999999999999</v>
      </c>
    </row>
    <row r="413" spans="3:4" ht="15" customHeight="1">
      <c r="C413" s="599">
        <f>+'Stock Data'!AM224</f>
        <v>45713</v>
      </c>
      <c r="D413" s="573">
        <f>_xlfn.XLOOKUP(C413,'Stock Data'!$AM$4:$AM$1051,'Stock Data'!$AN$4:$AN$1051)</f>
        <v>3.2349999999999999</v>
      </c>
    </row>
    <row r="414" spans="3:4" ht="15" customHeight="1">
      <c r="C414" s="599">
        <f>+'Stock Data'!AM225</f>
        <v>45712</v>
      </c>
      <c r="D414" s="573">
        <f>_xlfn.XLOOKUP(C414,'Stock Data'!$AM$4:$AM$1051,'Stock Data'!$AN$4:$AN$1051)</f>
        <v>3.2349999999999999</v>
      </c>
    </row>
    <row r="415" spans="3:4" ht="15" customHeight="1">
      <c r="C415" s="599">
        <f>+'Stock Data'!AM226</f>
        <v>45711</v>
      </c>
      <c r="D415" s="573">
        <f>_xlfn.XLOOKUP(C415,'Stock Data'!$AM$4:$AM$1051,'Stock Data'!$AN$4:$AN$1051)</f>
        <v>3.1949999999999998</v>
      </c>
    </row>
    <row r="416" spans="3:4" ht="15" customHeight="1">
      <c r="C416" s="599">
        <f>+'Stock Data'!AM227</f>
        <v>45710</v>
      </c>
      <c r="D416" s="573">
        <f>_xlfn.XLOOKUP(C416,'Stock Data'!$AM$4:$AM$1051,'Stock Data'!$AN$4:$AN$1051)</f>
        <v>3.0350000000000001</v>
      </c>
    </row>
    <row r="417" spans="3:4" ht="15" customHeight="1">
      <c r="C417" s="599">
        <f>+'Stock Data'!AM228</f>
        <v>45709</v>
      </c>
      <c r="D417" s="573">
        <f>_xlfn.XLOOKUP(C417,'Stock Data'!$AM$4:$AM$1051,'Stock Data'!$AN$4:$AN$1051)</f>
        <v>3.0350000000000001</v>
      </c>
    </row>
    <row r="418" spans="3:4" ht="15" customHeight="1">
      <c r="C418" s="599">
        <f>+'Stock Data'!AM229</f>
        <v>45708</v>
      </c>
      <c r="D418" s="573">
        <f>_xlfn.XLOOKUP(C418,'Stock Data'!$AM$4:$AM$1051,'Stock Data'!$AN$4:$AN$1051)</f>
        <v>3.105</v>
      </c>
    </row>
    <row r="419" spans="3:4" ht="15" customHeight="1">
      <c r="C419" s="599">
        <f>+'Stock Data'!AM230</f>
        <v>45707</v>
      </c>
      <c r="D419" s="573">
        <f>_xlfn.XLOOKUP(C419,'Stock Data'!$AM$4:$AM$1051,'Stock Data'!$AN$4:$AN$1051)</f>
        <v>3.0449999999999999</v>
      </c>
    </row>
    <row r="420" spans="3:4" ht="15" customHeight="1">
      <c r="C420" s="599">
        <f>+'Stock Data'!AM231</f>
        <v>45706</v>
      </c>
      <c r="D420" s="573">
        <f>_xlfn.XLOOKUP(C420,'Stock Data'!$AM$4:$AM$1051,'Stock Data'!$AN$4:$AN$1051)</f>
        <v>3.0449999999999999</v>
      </c>
    </row>
    <row r="421" spans="3:4" ht="15" customHeight="1">
      <c r="C421" s="599">
        <f>+'Stock Data'!AM232</f>
        <v>45705</v>
      </c>
      <c r="D421" s="573">
        <f>_xlfn.XLOOKUP(C421,'Stock Data'!$AM$4:$AM$1051,'Stock Data'!$AN$4:$AN$1051)</f>
        <v>3.0449999999999999</v>
      </c>
    </row>
    <row r="422" spans="3:4" ht="15" customHeight="1">
      <c r="C422" s="599">
        <f>+'Stock Data'!AM233</f>
        <v>45704</v>
      </c>
      <c r="D422" s="573">
        <f>_xlfn.XLOOKUP(C422,'Stock Data'!$AM$4:$AM$1051,'Stock Data'!$AN$4:$AN$1051)</f>
        <v>3.0649999999999999</v>
      </c>
    </row>
    <row r="423" spans="3:4" ht="15" customHeight="1">
      <c r="C423" s="599">
        <f>+'Stock Data'!AM234</f>
        <v>45703</v>
      </c>
      <c r="D423" s="573">
        <f>_xlfn.XLOOKUP(C423,'Stock Data'!$AM$4:$AM$1051,'Stock Data'!$AN$4:$AN$1051)</f>
        <v>3.12</v>
      </c>
    </row>
    <row r="424" spans="3:4" ht="15" customHeight="1">
      <c r="C424" s="599">
        <f>+'Stock Data'!AM235</f>
        <v>45702</v>
      </c>
      <c r="D424" s="573">
        <f>_xlfn.XLOOKUP(C424,'Stock Data'!$AM$4:$AM$1051,'Stock Data'!$AN$4:$AN$1051)</f>
        <v>3.085</v>
      </c>
    </row>
    <row r="425" spans="3:4" ht="15" customHeight="1">
      <c r="C425" s="599">
        <f>+'Stock Data'!AM236</f>
        <v>45701</v>
      </c>
      <c r="D425" s="573">
        <f>_xlfn.XLOOKUP(C425,'Stock Data'!$AM$4:$AM$1051,'Stock Data'!$AN$4:$AN$1051)</f>
        <v>3.105</v>
      </c>
    </row>
    <row r="426" spans="3:4" ht="15" customHeight="1">
      <c r="C426" s="599">
        <f>+'Stock Data'!AM237</f>
        <v>45700</v>
      </c>
      <c r="D426" s="573">
        <f>_xlfn.XLOOKUP(C426,'Stock Data'!$AM$4:$AM$1051,'Stock Data'!$AN$4:$AN$1051)</f>
        <v>3.0150000000000001</v>
      </c>
    </row>
    <row r="427" spans="3:4" ht="15" customHeight="1">
      <c r="C427" s="599">
        <f>+'Stock Data'!AM238</f>
        <v>45699</v>
      </c>
      <c r="D427" s="573">
        <f>_xlfn.XLOOKUP(C427,'Stock Data'!$AM$4:$AM$1051,'Stock Data'!$AN$4:$AN$1051)</f>
        <v>3.0150000000000001</v>
      </c>
    </row>
    <row r="428" spans="3:4" ht="15" customHeight="1">
      <c r="C428" s="599">
        <f>+'Stock Data'!AM239</f>
        <v>45698</v>
      </c>
      <c r="D428" s="573">
        <f>_xlfn.XLOOKUP(C428,'Stock Data'!$AM$4:$AM$1051,'Stock Data'!$AN$4:$AN$1051)</f>
        <v>3.0150000000000001</v>
      </c>
    </row>
    <row r="429" spans="3:4" ht="15" customHeight="1">
      <c r="C429" s="599">
        <f>+'Stock Data'!AM240</f>
        <v>45697</v>
      </c>
      <c r="D429" s="573">
        <f>_xlfn.XLOOKUP(C429,'Stock Data'!$AM$4:$AM$1051,'Stock Data'!$AN$4:$AN$1051)</f>
        <v>3.09</v>
      </c>
    </row>
    <row r="430" spans="3:4" ht="15" customHeight="1">
      <c r="C430" s="599">
        <f>+'Stock Data'!AM241</f>
        <v>45696</v>
      </c>
      <c r="D430" s="573">
        <f>_xlfn.XLOOKUP(C430,'Stock Data'!$AM$4:$AM$1051,'Stock Data'!$AN$4:$AN$1051)</f>
        <v>3.12</v>
      </c>
    </row>
    <row r="431" spans="3:4" ht="15" customHeight="1">
      <c r="C431" s="599">
        <f>+'Stock Data'!AM242</f>
        <v>45695</v>
      </c>
      <c r="D431" s="573">
        <f>_xlfn.XLOOKUP(C431,'Stock Data'!$AM$4:$AM$1051,'Stock Data'!$AN$4:$AN$1051)</f>
        <v>2.9550000000000001</v>
      </c>
    </row>
    <row r="432" spans="3:4" ht="15" customHeight="1">
      <c r="C432" s="599">
        <f>+'Stock Data'!AM243</f>
        <v>45694</v>
      </c>
      <c r="D432" s="573">
        <f>_xlfn.XLOOKUP(C432,'Stock Data'!$AM$4:$AM$1051,'Stock Data'!$AN$4:$AN$1051)</f>
        <v>2.84</v>
      </c>
    </row>
    <row r="433" spans="3:4" ht="15" customHeight="1">
      <c r="C433" s="599">
        <f>+'Stock Data'!AM244</f>
        <v>45693</v>
      </c>
      <c r="D433" s="573">
        <f>_xlfn.XLOOKUP(C433,'Stock Data'!$AM$4:$AM$1051,'Stock Data'!$AN$4:$AN$1051)</f>
        <v>2.915</v>
      </c>
    </row>
    <row r="434" spans="3:4" ht="15" customHeight="1">
      <c r="C434" s="599">
        <f>+'Stock Data'!AM245</f>
        <v>45692</v>
      </c>
      <c r="D434" s="573">
        <f>_xlfn.XLOOKUP(C434,'Stock Data'!$AM$4:$AM$1051,'Stock Data'!$AN$4:$AN$1051)</f>
        <v>2.915</v>
      </c>
    </row>
    <row r="435" spans="3:4" ht="15" customHeight="1">
      <c r="C435" s="599">
        <f>+'Stock Data'!AM246</f>
        <v>45691</v>
      </c>
      <c r="D435" s="573">
        <f>_xlfn.XLOOKUP(C435,'Stock Data'!$AM$4:$AM$1051,'Stock Data'!$AN$4:$AN$1051)</f>
        <v>2.915</v>
      </c>
    </row>
    <row r="436" spans="3:4" ht="15" customHeight="1">
      <c r="C436" s="599">
        <f>+'Stock Data'!AM247</f>
        <v>45690</v>
      </c>
      <c r="D436" s="573">
        <f>_xlfn.XLOOKUP(C436,'Stock Data'!$AM$4:$AM$1051,'Stock Data'!$AN$4:$AN$1051)</f>
        <v>2.95</v>
      </c>
    </row>
    <row r="437" spans="3:4" ht="15" customHeight="1">
      <c r="C437" s="599">
        <f>+'Stock Data'!AM248</f>
        <v>45689</v>
      </c>
      <c r="D437" s="573">
        <f>_xlfn.XLOOKUP(C437,'Stock Data'!$AM$4:$AM$1051,'Stock Data'!$AN$4:$AN$1051)</f>
        <v>2.9449999999999998</v>
      </c>
    </row>
    <row r="438" spans="3:4" ht="15" customHeight="1">
      <c r="C438" s="599">
        <f>+'Stock Data'!AM249</f>
        <v>45688</v>
      </c>
      <c r="D438" s="573">
        <f>_xlfn.XLOOKUP(C438,'Stock Data'!$AM$4:$AM$1051,'Stock Data'!$AN$4:$AN$1051)</f>
        <v>3.0449999999999999</v>
      </c>
    </row>
    <row r="439" spans="3:4" ht="15" customHeight="1">
      <c r="C439" s="599">
        <f>+'Stock Data'!AM250</f>
        <v>45687</v>
      </c>
      <c r="D439" s="573">
        <f>_xlfn.XLOOKUP(C439,'Stock Data'!$AM$4:$AM$1051,'Stock Data'!$AN$4:$AN$1051)</f>
        <v>3.0550000000000002</v>
      </c>
    </row>
    <row r="440" spans="3:4" ht="15" customHeight="1">
      <c r="C440" s="599">
        <f>+'Stock Data'!AM251</f>
        <v>45686</v>
      </c>
      <c r="D440" s="573">
        <f>_xlfn.XLOOKUP(C440,'Stock Data'!$AM$4:$AM$1051,'Stock Data'!$AN$4:$AN$1051)</f>
        <v>2.9849999999999999</v>
      </c>
    </row>
    <row r="441" spans="3:4" ht="15" customHeight="1">
      <c r="C441" s="599">
        <f>+'Stock Data'!AM252</f>
        <v>45685</v>
      </c>
      <c r="D441" s="573">
        <f>_xlfn.XLOOKUP(C441,'Stock Data'!$AM$4:$AM$1051,'Stock Data'!$AN$4:$AN$1051)</f>
        <v>2.9849999999999999</v>
      </c>
    </row>
    <row r="442" spans="3:4" ht="15" customHeight="1">
      <c r="C442" s="599">
        <f>+'Stock Data'!AM253</f>
        <v>45684</v>
      </c>
      <c r="D442" s="573">
        <f>_xlfn.XLOOKUP(C442,'Stock Data'!$AM$4:$AM$1051,'Stock Data'!$AN$4:$AN$1051)</f>
        <v>2.9849999999999999</v>
      </c>
    </row>
    <row r="443" spans="3:4" ht="15" customHeight="1">
      <c r="C443" s="599">
        <f>+'Stock Data'!AM254</f>
        <v>45683</v>
      </c>
      <c r="D443" s="573">
        <f>_xlfn.XLOOKUP(C443,'Stock Data'!$AM$4:$AM$1051,'Stock Data'!$AN$4:$AN$1051)</f>
        <v>3.145</v>
      </c>
    </row>
    <row r="444" spans="3:4" ht="15" customHeight="1">
      <c r="C444" s="599">
        <f>+'Stock Data'!AM255</f>
        <v>45682</v>
      </c>
      <c r="D444" s="573">
        <f>_xlfn.XLOOKUP(C444,'Stock Data'!$AM$4:$AM$1051,'Stock Data'!$AN$4:$AN$1051)</f>
        <v>2.99</v>
      </c>
    </row>
    <row r="445" spans="3:4" ht="15" customHeight="1">
      <c r="C445" s="599">
        <f>+'Stock Data'!AM256</f>
        <v>45681</v>
      </c>
      <c r="D445" s="573">
        <f>_xlfn.XLOOKUP(C445,'Stock Data'!$AM$4:$AM$1051,'Stock Data'!$AN$4:$AN$1051)</f>
        <v>2.99</v>
      </c>
    </row>
    <row r="446" spans="3:4" ht="15" customHeight="1">
      <c r="C446" s="599">
        <f>+'Stock Data'!AM257</f>
        <v>45680</v>
      </c>
      <c r="D446" s="573">
        <f>_xlfn.XLOOKUP(C446,'Stock Data'!$AM$4:$AM$1051,'Stock Data'!$AN$4:$AN$1051)</f>
        <v>2.99</v>
      </c>
    </row>
    <row r="447" spans="3:4" ht="15" customHeight="1">
      <c r="C447" s="599">
        <f>+'Stock Data'!AM258</f>
        <v>45679</v>
      </c>
      <c r="D447" s="573">
        <f>_xlfn.XLOOKUP(C447,'Stock Data'!$AM$4:$AM$1051,'Stock Data'!$AN$4:$AN$1051)</f>
        <v>2.99</v>
      </c>
    </row>
    <row r="448" spans="3:4" ht="15" customHeight="1">
      <c r="C448" s="599">
        <f>+'Stock Data'!AM259</f>
        <v>45678</v>
      </c>
      <c r="D448" s="573">
        <f>_xlfn.XLOOKUP(C448,'Stock Data'!$AM$4:$AM$1051,'Stock Data'!$AN$4:$AN$1051)</f>
        <v>2.99</v>
      </c>
    </row>
    <row r="449" spans="3:4" ht="15" customHeight="1">
      <c r="C449" s="599">
        <f>+'Stock Data'!AM260</f>
        <v>45677</v>
      </c>
      <c r="D449" s="573">
        <f>_xlfn.XLOOKUP(C449,'Stock Data'!$AM$4:$AM$1051,'Stock Data'!$AN$4:$AN$1051)</f>
        <v>2.99</v>
      </c>
    </row>
    <row r="450" spans="3:4" ht="15" customHeight="1">
      <c r="C450" s="599">
        <f>+'Stock Data'!AM261</f>
        <v>45676</v>
      </c>
      <c r="D450" s="573">
        <f>_xlfn.XLOOKUP(C450,'Stock Data'!$AM$4:$AM$1051,'Stock Data'!$AN$4:$AN$1051)</f>
        <v>2.915</v>
      </c>
    </row>
    <row r="451" spans="3:4" ht="15" customHeight="1">
      <c r="C451" s="599">
        <f>+'Stock Data'!AM262</f>
        <v>45675</v>
      </c>
      <c r="D451" s="573">
        <f>_xlfn.XLOOKUP(C451,'Stock Data'!$AM$4:$AM$1051,'Stock Data'!$AN$4:$AN$1051)</f>
        <v>2.9550000000000001</v>
      </c>
    </row>
    <row r="452" spans="3:4" ht="15" customHeight="1">
      <c r="C452" s="599">
        <f>+'Stock Data'!AM263</f>
        <v>45674</v>
      </c>
      <c r="D452" s="573">
        <f>_xlfn.XLOOKUP(C452,'Stock Data'!$AM$4:$AM$1051,'Stock Data'!$AN$4:$AN$1051)</f>
        <v>2.9550000000000001</v>
      </c>
    </row>
    <row r="453" spans="3:4" ht="15" customHeight="1">
      <c r="C453" s="599">
        <f>+'Stock Data'!AM264</f>
        <v>45673</v>
      </c>
      <c r="D453" s="573">
        <f>_xlfn.XLOOKUP(C453,'Stock Data'!$AM$4:$AM$1051,'Stock Data'!$AN$4:$AN$1051)</f>
        <v>2.9550000000000001</v>
      </c>
    </row>
    <row r="454" spans="3:4" ht="15" customHeight="1">
      <c r="C454" s="599">
        <f>+'Stock Data'!AM265</f>
        <v>45672</v>
      </c>
      <c r="D454" s="573">
        <f>_xlfn.XLOOKUP(C454,'Stock Data'!$AM$4:$AM$1051,'Stock Data'!$AN$4:$AN$1051)</f>
        <v>3.16</v>
      </c>
    </row>
    <row r="455" spans="3:4" ht="15" customHeight="1">
      <c r="C455" s="599">
        <f>+'Stock Data'!AM266</f>
        <v>45671</v>
      </c>
      <c r="D455" s="573">
        <f>_xlfn.XLOOKUP(C455,'Stock Data'!$AM$4:$AM$1051,'Stock Data'!$AN$4:$AN$1051)</f>
        <v>3.16</v>
      </c>
    </row>
    <row r="456" spans="3:4" ht="15" customHeight="1">
      <c r="C456" s="599">
        <f>+'Stock Data'!AM267</f>
        <v>45670</v>
      </c>
      <c r="D456" s="573">
        <f>_xlfn.XLOOKUP(C456,'Stock Data'!$AM$4:$AM$1051,'Stock Data'!$AN$4:$AN$1051)</f>
        <v>3.16</v>
      </c>
    </row>
    <row r="457" spans="3:4" ht="15" customHeight="1">
      <c r="C457" s="599">
        <f>+'Stock Data'!AM268</f>
        <v>45669</v>
      </c>
      <c r="D457" s="573">
        <f>_xlfn.XLOOKUP(C457,'Stock Data'!$AM$4:$AM$1051,'Stock Data'!$AN$4:$AN$1051)</f>
        <v>3.0750000000000002</v>
      </c>
    </row>
    <row r="458" spans="3:4" ht="15" customHeight="1">
      <c r="C458" s="599">
        <f>+'Stock Data'!AM269</f>
        <v>45668</v>
      </c>
      <c r="D458" s="573">
        <f>_xlfn.XLOOKUP(C458,'Stock Data'!$AM$4:$AM$1051,'Stock Data'!$AN$4:$AN$1051)</f>
        <v>2.91</v>
      </c>
    </row>
    <row r="459" spans="3:4" ht="15" customHeight="1">
      <c r="C459" s="599">
        <f>+'Stock Data'!AM270</f>
        <v>45667</v>
      </c>
      <c r="D459" s="573">
        <f>_xlfn.XLOOKUP(C459,'Stock Data'!$AM$4:$AM$1051,'Stock Data'!$AN$4:$AN$1051)</f>
        <v>3.2349999999999999</v>
      </c>
    </row>
    <row r="460" spans="3:4" ht="15" customHeight="1">
      <c r="C460" s="599">
        <f>+'Stock Data'!AM271</f>
        <v>45666</v>
      </c>
      <c r="D460" s="573">
        <f>_xlfn.XLOOKUP(C460,'Stock Data'!$AM$4:$AM$1051,'Stock Data'!$AN$4:$AN$1051)</f>
        <v>3.31</v>
      </c>
    </row>
    <row r="461" spans="3:4" ht="15" customHeight="1">
      <c r="C461" s="599">
        <f>+'Stock Data'!AM272</f>
        <v>45665</v>
      </c>
      <c r="D461" s="573">
        <f>_xlfn.XLOOKUP(C461,'Stock Data'!$AM$4:$AM$1051,'Stock Data'!$AN$4:$AN$1051)</f>
        <v>3.4750000000000001</v>
      </c>
    </row>
    <row r="462" spans="3:4" ht="15" customHeight="1">
      <c r="C462" s="599">
        <f>+'Stock Data'!AM273</f>
        <v>45664</v>
      </c>
      <c r="D462" s="573">
        <f>_xlfn.XLOOKUP(C462,'Stock Data'!$AM$4:$AM$1051,'Stock Data'!$AN$4:$AN$1051)</f>
        <v>3.4750000000000001</v>
      </c>
    </row>
    <row r="463" spans="3:4" ht="15" customHeight="1">
      <c r="C463" s="599">
        <f>+'Stock Data'!AM274</f>
        <v>45663</v>
      </c>
      <c r="D463" s="573">
        <f>_xlfn.XLOOKUP(C463,'Stock Data'!$AM$4:$AM$1051,'Stock Data'!$AN$4:$AN$1051)</f>
        <v>3.4750000000000001</v>
      </c>
    </row>
    <row r="464" spans="3:4" ht="15" customHeight="1">
      <c r="C464" s="599">
        <f>+'Stock Data'!AM275</f>
        <v>45662</v>
      </c>
      <c r="D464" s="573">
        <f>_xlfn.XLOOKUP(C464,'Stock Data'!$AM$4:$AM$1051,'Stock Data'!$AN$4:$AN$1051)</f>
        <v>3.53</v>
      </c>
    </row>
    <row r="465" spans="3:4" ht="15" customHeight="1">
      <c r="C465" s="599">
        <f>+'Stock Data'!AM276</f>
        <v>45661</v>
      </c>
      <c r="D465" s="573">
        <f>_xlfn.XLOOKUP(C465,'Stock Data'!$AM$4:$AM$1051,'Stock Data'!$AN$4:$AN$1051)</f>
        <v>3.915</v>
      </c>
    </row>
    <row r="466" spans="3:4" ht="15" customHeight="1">
      <c r="C466" s="599">
        <f>+'Stock Data'!AM277</f>
        <v>45660</v>
      </c>
      <c r="D466" s="573">
        <f>_xlfn.XLOOKUP(C466,'Stock Data'!$AM$4:$AM$1051,'Stock Data'!$AN$4:$AN$1051)</f>
        <v>3.8250000000000002</v>
      </c>
    </row>
    <row r="467" spans="3:4" ht="15" customHeight="1">
      <c r="C467" s="599">
        <f>+'Stock Data'!AM278</f>
        <v>45659</v>
      </c>
      <c r="D467" s="573">
        <f>_xlfn.XLOOKUP(C467,'Stock Data'!$AM$4:$AM$1051,'Stock Data'!$AN$4:$AN$1051)</f>
        <v>3.6850000000000001</v>
      </c>
    </row>
    <row r="468" spans="3:4" ht="15" customHeight="1">
      <c r="C468" s="599">
        <f>+'Stock Data'!AM279</f>
        <v>45658</v>
      </c>
      <c r="D468" s="573">
        <f>_xlfn.XLOOKUP(C468,'Stock Data'!$AM$4:$AM$1051,'Stock Data'!$AN$4:$AN$1051)</f>
        <v>3.7850000000000001</v>
      </c>
    </row>
    <row r="469" spans="3:4" ht="15" customHeight="1">
      <c r="C469" s="599">
        <f>+'Stock Data'!AM280</f>
        <v>45657</v>
      </c>
      <c r="D469" s="573">
        <f>_xlfn.XLOOKUP(C469,'Stock Data'!$AM$4:$AM$1051,'Stock Data'!$AN$4:$AN$1051)</f>
        <v>3.7850000000000001</v>
      </c>
    </row>
    <row r="470" spans="3:4" ht="15" customHeight="1">
      <c r="C470" s="599">
        <f>+'Stock Data'!AM281</f>
        <v>45656</v>
      </c>
      <c r="D470" s="573">
        <f>_xlfn.XLOOKUP(C470,'Stock Data'!$AM$4:$AM$1051,'Stock Data'!$AN$4:$AN$1051)</f>
        <v>3.7850000000000001</v>
      </c>
    </row>
    <row r="471" spans="3:4" ht="15" customHeight="1">
      <c r="C471" s="599">
        <f>+'Stock Data'!AM282</f>
        <v>45655</v>
      </c>
      <c r="D471" s="573">
        <f>_xlfn.XLOOKUP(C471,'Stock Data'!$AM$4:$AM$1051,'Stock Data'!$AN$4:$AN$1051)</f>
        <v>3.9849999999999999</v>
      </c>
    </row>
    <row r="472" spans="3:4" ht="15" customHeight="1">
      <c r="C472" s="599">
        <f>+'Stock Data'!AM283</f>
        <v>45654</v>
      </c>
      <c r="D472" s="573">
        <f>_xlfn.XLOOKUP(C472,'Stock Data'!$AM$4:$AM$1051,'Stock Data'!$AN$4:$AN$1051)</f>
        <v>3.7349999999999999</v>
      </c>
    </row>
    <row r="473" spans="3:4" ht="15" customHeight="1">
      <c r="C473" s="599">
        <f>+'Stock Data'!AM284</f>
        <v>45653</v>
      </c>
      <c r="D473" s="573">
        <f>_xlfn.XLOOKUP(C473,'Stock Data'!$AM$4:$AM$1051,'Stock Data'!$AN$4:$AN$1051)</f>
        <v>3.8650000000000002</v>
      </c>
    </row>
    <row r="474" spans="3:4" ht="15" customHeight="1">
      <c r="C474" s="599">
        <f>+'Stock Data'!AM285</f>
        <v>45652</v>
      </c>
      <c r="D474" s="573">
        <f>_xlfn.XLOOKUP(C474,'Stock Data'!$AM$4:$AM$1051,'Stock Data'!$AN$4:$AN$1051)</f>
        <v>4.0549999999999997</v>
      </c>
    </row>
    <row r="475" spans="3:4" ht="15" customHeight="1">
      <c r="C475" s="599">
        <f>+'Stock Data'!AM286</f>
        <v>45651</v>
      </c>
      <c r="D475" s="573">
        <f>_xlfn.XLOOKUP(C475,'Stock Data'!$AM$4:$AM$1051,'Stock Data'!$AN$4:$AN$1051)</f>
        <v>4.1050000000000004</v>
      </c>
    </row>
    <row r="476" spans="3:4" ht="15" customHeight="1">
      <c r="C476" s="599">
        <f>+'Stock Data'!AM287</f>
        <v>45650</v>
      </c>
      <c r="D476" s="573">
        <f>_xlfn.XLOOKUP(C476,'Stock Data'!$AM$4:$AM$1051,'Stock Data'!$AN$4:$AN$1051)</f>
        <v>4.1050000000000004</v>
      </c>
    </row>
    <row r="477" spans="3:4" ht="15" customHeight="1">
      <c r="C477" s="599">
        <f>+'Stock Data'!AM288</f>
        <v>45649</v>
      </c>
      <c r="D477" s="573">
        <f>_xlfn.XLOOKUP(C477,'Stock Data'!$AM$4:$AM$1051,'Stock Data'!$AN$4:$AN$1051)</f>
        <v>4.1050000000000004</v>
      </c>
    </row>
    <row r="478" spans="3:4" ht="15" customHeight="1">
      <c r="C478" s="599">
        <f>+'Stock Data'!AM289</f>
        <v>45648</v>
      </c>
      <c r="D478" s="573">
        <f>_xlfn.XLOOKUP(C478,'Stock Data'!$AM$4:$AM$1051,'Stock Data'!$AN$4:$AN$1051)</f>
        <v>4.0650000000000004</v>
      </c>
    </row>
    <row r="479" spans="3:4" ht="15" customHeight="1">
      <c r="C479" s="599">
        <f>+'Stock Data'!AM290</f>
        <v>45647</v>
      </c>
      <c r="D479" s="573">
        <f>_xlfn.XLOOKUP(C479,'Stock Data'!$AM$4:$AM$1051,'Stock Data'!$AN$4:$AN$1051)</f>
        <v>4.5549999999999997</v>
      </c>
    </row>
    <row r="480" spans="3:4" ht="15" customHeight="1">
      <c r="C480" s="599">
        <f>+'Stock Data'!AM291</f>
        <v>45646</v>
      </c>
      <c r="D480" s="573">
        <f>_xlfn.XLOOKUP(C480,'Stock Data'!$AM$4:$AM$1051,'Stock Data'!$AN$4:$AN$1051)</f>
        <v>4.7149999999999999</v>
      </c>
    </row>
    <row r="481" spans="3:4" ht="15" customHeight="1">
      <c r="C481" s="599">
        <f>+'Stock Data'!AM292</f>
        <v>45645</v>
      </c>
      <c r="D481" s="573">
        <f>_xlfn.XLOOKUP(C481,'Stock Data'!$AM$4:$AM$1051,'Stock Data'!$AN$4:$AN$1051)</f>
        <v>4.3949999999999996</v>
      </c>
    </row>
    <row r="482" spans="3:4" ht="15" customHeight="1">
      <c r="C482" s="599">
        <f>+'Stock Data'!AM293</f>
        <v>45644</v>
      </c>
      <c r="D482" s="573">
        <f>_xlfn.XLOOKUP(C482,'Stock Data'!$AM$4:$AM$1051,'Stock Data'!$AN$4:$AN$1051)</f>
        <v>4.2300000000000004</v>
      </c>
    </row>
    <row r="483" spans="3:4" ht="15" customHeight="1">
      <c r="C483" s="599">
        <f>+'Stock Data'!AM294</f>
        <v>45643</v>
      </c>
      <c r="D483" s="573">
        <f>_xlfn.XLOOKUP(C483,'Stock Data'!$AM$4:$AM$1051,'Stock Data'!$AN$4:$AN$1051)</f>
        <v>4.2300000000000004</v>
      </c>
    </row>
    <row r="484" spans="3:4" ht="15" customHeight="1">
      <c r="C484" s="599">
        <f>+'Stock Data'!AM295</f>
        <v>45642</v>
      </c>
      <c r="D484" s="573">
        <f>_xlfn.XLOOKUP(C484,'Stock Data'!$AM$4:$AM$1051,'Stock Data'!$AN$4:$AN$1051)</f>
        <v>4.2300000000000004</v>
      </c>
    </row>
    <row r="485" spans="3:4" ht="15" customHeight="1">
      <c r="C485" s="599">
        <f>+'Stock Data'!AM296</f>
        <v>45641</v>
      </c>
      <c r="D485" s="573">
        <f>_xlfn.XLOOKUP(C485,'Stock Data'!$AM$4:$AM$1051,'Stock Data'!$AN$4:$AN$1051)</f>
        <v>4.13</v>
      </c>
    </row>
    <row r="486" spans="3:4" ht="15" customHeight="1">
      <c r="C486" s="599">
        <f>+'Stock Data'!AM297</f>
        <v>45640</v>
      </c>
      <c r="D486" s="573">
        <f>_xlfn.XLOOKUP(C486,'Stock Data'!$AM$4:$AM$1051,'Stock Data'!$AN$4:$AN$1051)</f>
        <v>4.24</v>
      </c>
    </row>
    <row r="487" spans="3:4" ht="15" customHeight="1">
      <c r="C487" s="599">
        <f>+'Stock Data'!AM298</f>
        <v>45639</v>
      </c>
      <c r="D487" s="573">
        <f>_xlfn.XLOOKUP(C487,'Stock Data'!$AM$4:$AM$1051,'Stock Data'!$AN$4:$AN$1051)</f>
        <v>4.24</v>
      </c>
    </row>
    <row r="488" spans="3:4" ht="15" customHeight="1">
      <c r="C488" s="599">
        <f>+'Stock Data'!AM299</f>
        <v>45638</v>
      </c>
      <c r="D488" s="573">
        <f>_xlfn.XLOOKUP(C488,'Stock Data'!$AM$4:$AM$1051,'Stock Data'!$AN$4:$AN$1051)</f>
        <v>4.165</v>
      </c>
    </row>
    <row r="489" spans="3:4" ht="15" customHeight="1">
      <c r="C489" s="599">
        <f>+'Stock Data'!AM300</f>
        <v>45637</v>
      </c>
      <c r="D489" s="573">
        <f>_xlfn.XLOOKUP(C489,'Stock Data'!$AM$4:$AM$1051,'Stock Data'!$AN$4:$AN$1051)</f>
        <v>4.26</v>
      </c>
    </row>
    <row r="490" spans="3:4" ht="15" customHeight="1">
      <c r="C490" s="599">
        <f>+'Stock Data'!AM301</f>
        <v>45636</v>
      </c>
      <c r="D490" s="573">
        <f>_xlfn.XLOOKUP(C490,'Stock Data'!$AM$4:$AM$1051,'Stock Data'!$AN$4:$AN$1051)</f>
        <v>4.26</v>
      </c>
    </row>
    <row r="491" spans="3:4" ht="15" customHeight="1">
      <c r="C491" s="599">
        <f>+'Stock Data'!AM302</f>
        <v>45635</v>
      </c>
      <c r="D491" s="573">
        <f>_xlfn.XLOOKUP(C491,'Stock Data'!$AM$4:$AM$1051,'Stock Data'!$AN$4:$AN$1051)</f>
        <v>4.26</v>
      </c>
    </row>
    <row r="492" spans="3:4" ht="15" customHeight="1">
      <c r="C492" s="599">
        <f>+'Stock Data'!AM303</f>
        <v>45634</v>
      </c>
      <c r="D492" s="573">
        <f>_xlfn.XLOOKUP(C492,'Stock Data'!$AM$4:$AM$1051,'Stock Data'!$AN$4:$AN$1051)</f>
        <v>4.26</v>
      </c>
    </row>
    <row r="493" spans="3:4" ht="15" customHeight="1">
      <c r="C493" s="599">
        <f>+'Stock Data'!AM304</f>
        <v>45633</v>
      </c>
      <c r="D493" s="573">
        <f>_xlfn.XLOOKUP(C493,'Stock Data'!$AM$4:$AM$1051,'Stock Data'!$AN$4:$AN$1051)</f>
        <v>4.2699999999999996</v>
      </c>
    </row>
    <row r="494" spans="3:4" ht="15" customHeight="1">
      <c r="C494" s="599">
        <f>+'Stock Data'!AM305</f>
        <v>45632</v>
      </c>
      <c r="D494" s="573">
        <f>_xlfn.XLOOKUP(C494,'Stock Data'!$AM$4:$AM$1051,'Stock Data'!$AN$4:$AN$1051)</f>
        <v>4.29</v>
      </c>
    </row>
    <row r="495" spans="3:4" ht="15" customHeight="1">
      <c r="C495" s="599">
        <f>+'Stock Data'!AM306</f>
        <v>45631</v>
      </c>
      <c r="D495" s="573">
        <f>_xlfn.XLOOKUP(C495,'Stock Data'!$AM$4:$AM$1051,'Stock Data'!$AN$4:$AN$1051)</f>
        <v>4.415</v>
      </c>
    </row>
    <row r="496" spans="3:4" ht="15" customHeight="1">
      <c r="C496" s="599">
        <f>+'Stock Data'!AM307</f>
        <v>45630</v>
      </c>
      <c r="D496" s="573">
        <f>_xlfn.XLOOKUP(C496,'Stock Data'!$AM$4:$AM$1051,'Stock Data'!$AN$4:$AN$1051)</f>
        <v>4.4000000000000004</v>
      </c>
    </row>
    <row r="497" spans="3:4" ht="15" customHeight="1">
      <c r="C497" s="599">
        <f>+'Stock Data'!AM308</f>
        <v>45629</v>
      </c>
      <c r="D497" s="573">
        <f>_xlfn.XLOOKUP(C497,'Stock Data'!$AM$4:$AM$1051,'Stock Data'!$AN$4:$AN$1051)</f>
        <v>4.4000000000000004</v>
      </c>
    </row>
    <row r="498" spans="3:4" ht="15" customHeight="1">
      <c r="C498" s="599">
        <f>+'Stock Data'!AM309</f>
        <v>45628</v>
      </c>
      <c r="D498" s="573">
        <f>_xlfn.XLOOKUP(C498,'Stock Data'!$AM$4:$AM$1051,'Stock Data'!$AN$4:$AN$1051)</f>
        <v>4.4000000000000004</v>
      </c>
    </row>
    <row r="499" spans="3:4" ht="15" customHeight="1">
      <c r="C499" s="599">
        <f>+'Stock Data'!AM310</f>
        <v>45627</v>
      </c>
      <c r="D499" s="573">
        <f>_xlfn.XLOOKUP(C499,'Stock Data'!$AM$4:$AM$1051,'Stock Data'!$AN$4:$AN$1051)</f>
        <v>4.49</v>
      </c>
    </row>
    <row r="500" spans="3:4" ht="15" customHeight="1">
      <c r="C500" s="599">
        <f>+'Stock Data'!AM311</f>
        <v>45626</v>
      </c>
      <c r="D500" s="573">
        <f>_xlfn.XLOOKUP(C500,'Stock Data'!$AM$4:$AM$1051,'Stock Data'!$AN$4:$AN$1051)</f>
        <v>4.63</v>
      </c>
    </row>
    <row r="501" spans="3:4" ht="15" customHeight="1">
      <c r="C501" s="599">
        <f>+'Stock Data'!AM312</f>
        <v>45625</v>
      </c>
      <c r="D501" s="573">
        <f>_xlfn.XLOOKUP(C501,'Stock Data'!$AM$4:$AM$1051,'Stock Data'!$AN$4:$AN$1051)</f>
        <v>4.5750000000000002</v>
      </c>
    </row>
    <row r="502" spans="3:4" ht="15" customHeight="1">
      <c r="C502" s="599">
        <f>+'Stock Data'!AM313</f>
        <v>45624</v>
      </c>
      <c r="D502" s="573">
        <f>_xlfn.XLOOKUP(C502,'Stock Data'!$AM$4:$AM$1051,'Stock Data'!$AN$4:$AN$1051)</f>
        <v>4.5449999999999999</v>
      </c>
    </row>
    <row r="503" spans="3:4" ht="15" customHeight="1">
      <c r="C503" s="599">
        <f>+'Stock Data'!AM314</f>
        <v>45623</v>
      </c>
      <c r="D503" s="573">
        <f>_xlfn.XLOOKUP(C503,'Stock Data'!$AM$4:$AM$1051,'Stock Data'!$AN$4:$AN$1051)</f>
        <v>4.375</v>
      </c>
    </row>
    <row r="504" spans="3:4" ht="15" customHeight="1">
      <c r="C504" s="599">
        <f>+'Stock Data'!AM315</f>
        <v>45622</v>
      </c>
      <c r="D504" s="573">
        <f>_xlfn.XLOOKUP(C504,'Stock Data'!$AM$4:$AM$1051,'Stock Data'!$AN$4:$AN$1051)</f>
        <v>4.375</v>
      </c>
    </row>
    <row r="505" spans="3:4" ht="15" customHeight="1">
      <c r="C505" s="599">
        <f>+'Stock Data'!AM316</f>
        <v>45621</v>
      </c>
      <c r="D505" s="573">
        <f>_xlfn.XLOOKUP(C505,'Stock Data'!$AM$4:$AM$1051,'Stock Data'!$AN$4:$AN$1051)</f>
        <v>4.375</v>
      </c>
    </row>
    <row r="506" spans="3:4" ht="15" customHeight="1">
      <c r="C506" s="599">
        <f>+'Stock Data'!AM317</f>
        <v>45620</v>
      </c>
      <c r="D506" s="573">
        <f>_xlfn.XLOOKUP(C506,'Stock Data'!$AM$4:$AM$1051,'Stock Data'!$AN$4:$AN$1051)</f>
        <v>4.5149999999999997</v>
      </c>
    </row>
    <row r="507" spans="3:4" ht="15" customHeight="1">
      <c r="C507" s="599">
        <f>+'Stock Data'!AM318</f>
        <v>45619</v>
      </c>
      <c r="D507" s="573">
        <f>_xlfn.XLOOKUP(C507,'Stock Data'!$AM$4:$AM$1051,'Stock Data'!$AN$4:$AN$1051)</f>
        <v>4.6150000000000002</v>
      </c>
    </row>
    <row r="508" spans="3:4" ht="15" customHeight="1">
      <c r="C508" s="599">
        <f>+'Stock Data'!AM319</f>
        <v>45618</v>
      </c>
      <c r="D508" s="573">
        <f>_xlfn.XLOOKUP(C508,'Stock Data'!$AM$4:$AM$1051,'Stock Data'!$AN$4:$AN$1051)</f>
        <v>4.5650000000000004</v>
      </c>
    </row>
    <row r="509" spans="3:4" ht="15" customHeight="1">
      <c r="C509" s="599">
        <f>+'Stock Data'!AM320</f>
        <v>45617</v>
      </c>
      <c r="D509" s="573">
        <f>_xlfn.XLOOKUP(C509,'Stock Data'!$AM$4:$AM$1051,'Stock Data'!$AN$4:$AN$1051)</f>
        <v>4.71</v>
      </c>
    </row>
    <row r="510" spans="3:4" ht="15" customHeight="1">
      <c r="C510" s="599">
        <f>+'Stock Data'!AM321</f>
        <v>45616</v>
      </c>
      <c r="D510" s="573">
        <f>_xlfn.XLOOKUP(C510,'Stock Data'!$AM$4:$AM$1051,'Stock Data'!$AN$4:$AN$1051)</f>
        <v>4.6050000000000004</v>
      </c>
    </row>
    <row r="511" spans="3:4" ht="15" customHeight="1">
      <c r="C511" s="599">
        <f>+'Stock Data'!AM322</f>
        <v>45615</v>
      </c>
      <c r="D511" s="573">
        <f>_xlfn.XLOOKUP(C511,'Stock Data'!$AM$4:$AM$1051,'Stock Data'!$AN$4:$AN$1051)</f>
        <v>4.6050000000000004</v>
      </c>
    </row>
    <row r="512" spans="3:4" ht="15" customHeight="1">
      <c r="C512" s="599">
        <f>+'Stock Data'!AM323</f>
        <v>45614</v>
      </c>
      <c r="D512" s="573">
        <f>_xlfn.XLOOKUP(C512,'Stock Data'!$AM$4:$AM$1051,'Stock Data'!$AN$4:$AN$1051)</f>
        <v>4.6050000000000004</v>
      </c>
    </row>
    <row r="513" spans="3:4" ht="15" customHeight="1">
      <c r="C513" s="599">
        <f>+'Stock Data'!AM324</f>
        <v>45613</v>
      </c>
      <c r="D513" s="573">
        <f>_xlfn.XLOOKUP(C513,'Stock Data'!$AM$4:$AM$1051,'Stock Data'!$AN$4:$AN$1051)</f>
        <v>4.72</v>
      </c>
    </row>
    <row r="514" spans="3:4" ht="15" customHeight="1">
      <c r="C514" s="599">
        <f>+'Stock Data'!AM325</f>
        <v>45612</v>
      </c>
      <c r="D514" s="573">
        <f>_xlfn.XLOOKUP(C514,'Stock Data'!$AM$4:$AM$1051,'Stock Data'!$AN$4:$AN$1051)</f>
        <v>4.49</v>
      </c>
    </row>
    <row r="515" spans="3:4" ht="15" customHeight="1">
      <c r="C515" s="599">
        <f>+'Stock Data'!AM326</f>
        <v>45611</v>
      </c>
      <c r="D515" s="573">
        <f>_xlfn.XLOOKUP(C515,'Stock Data'!$AM$4:$AM$1051,'Stock Data'!$AN$4:$AN$1051)</f>
        <v>4.4050000000000002</v>
      </c>
    </row>
    <row r="516" spans="3:4" ht="15" customHeight="1">
      <c r="C516" s="599">
        <f>+'Stock Data'!AM327</f>
        <v>45610</v>
      </c>
      <c r="D516" s="573">
        <f>_xlfn.XLOOKUP(C516,'Stock Data'!$AM$4:$AM$1051,'Stock Data'!$AN$4:$AN$1051)</f>
        <v>4.415</v>
      </c>
    </row>
    <row r="517" spans="3:4" ht="15" customHeight="1">
      <c r="C517" s="599">
        <f>+'Stock Data'!AM328</f>
        <v>45609</v>
      </c>
      <c r="D517" s="573">
        <f>_xlfn.XLOOKUP(C517,'Stock Data'!$AM$4:$AM$1051,'Stock Data'!$AN$4:$AN$1051)</f>
        <v>4.5250000000000004</v>
      </c>
    </row>
    <row r="518" spans="3:4" ht="15" customHeight="1">
      <c r="C518" s="599">
        <f>+'Stock Data'!AM329</f>
        <v>45608</v>
      </c>
      <c r="D518" s="573">
        <f>_xlfn.XLOOKUP(C518,'Stock Data'!$AM$4:$AM$1051,'Stock Data'!$AN$4:$AN$1051)</f>
        <v>4.5250000000000004</v>
      </c>
    </row>
    <row r="519" spans="3:4" ht="15" customHeight="1">
      <c r="C519" s="599">
        <f>+'Stock Data'!AM330</f>
        <v>45607</v>
      </c>
      <c r="D519" s="573">
        <f>_xlfn.XLOOKUP(C519,'Stock Data'!$AM$4:$AM$1051,'Stock Data'!$AN$4:$AN$1051)</f>
        <v>4.5250000000000004</v>
      </c>
    </row>
    <row r="520" spans="3:4" ht="15" customHeight="1">
      <c r="C520" s="599">
        <f>+'Stock Data'!AM331</f>
        <v>45606</v>
      </c>
      <c r="D520" s="573">
        <f>_xlfn.XLOOKUP(C520,'Stock Data'!$AM$4:$AM$1051,'Stock Data'!$AN$4:$AN$1051)</f>
        <v>4.6050000000000004</v>
      </c>
    </row>
    <row r="521" spans="3:4" ht="15" customHeight="1">
      <c r="C521" s="599">
        <f>+'Stock Data'!AM332</f>
        <v>45605</v>
      </c>
      <c r="D521" s="573">
        <f>_xlfn.XLOOKUP(C521,'Stock Data'!$AM$4:$AM$1051,'Stock Data'!$AN$4:$AN$1051)</f>
        <v>4.6349999999999998</v>
      </c>
    </row>
    <row r="522" spans="3:4" ht="15" customHeight="1">
      <c r="C522" s="599">
        <f>+'Stock Data'!AM333</f>
        <v>45604</v>
      </c>
      <c r="D522" s="573">
        <f>_xlfn.XLOOKUP(C522,'Stock Data'!$AM$4:$AM$1051,'Stock Data'!$AN$4:$AN$1051)</f>
        <v>4.6050000000000004</v>
      </c>
    </row>
    <row r="523" spans="3:4" ht="15" customHeight="1">
      <c r="C523" s="599">
        <f>+'Stock Data'!AM334</f>
        <v>45603</v>
      </c>
      <c r="D523" s="573">
        <f>_xlfn.XLOOKUP(C523,'Stock Data'!$AM$4:$AM$1051,'Stock Data'!$AN$4:$AN$1051)</f>
        <v>4.5949999999999998</v>
      </c>
    </row>
    <row r="524" spans="3:4" ht="15" customHeight="1">
      <c r="C524" s="599">
        <f>+'Stock Data'!AM335</f>
        <v>45602</v>
      </c>
      <c r="D524" s="573">
        <f>_xlfn.XLOOKUP(C524,'Stock Data'!$AM$4:$AM$1051,'Stock Data'!$AN$4:$AN$1051)</f>
        <v>4.5199999999999996</v>
      </c>
    </row>
    <row r="525" spans="3:4" ht="15" customHeight="1">
      <c r="C525" s="599">
        <f>+'Stock Data'!AM336</f>
        <v>45601</v>
      </c>
      <c r="D525" s="573">
        <f>_xlfn.XLOOKUP(C525,'Stock Data'!$AM$4:$AM$1051,'Stock Data'!$AN$4:$AN$1051)</f>
        <v>4.5199999999999996</v>
      </c>
    </row>
    <row r="526" spans="3:4" ht="15" customHeight="1">
      <c r="C526" s="599">
        <f>+'Stock Data'!AM337</f>
        <v>45600</v>
      </c>
      <c r="D526" s="573">
        <f>_xlfn.XLOOKUP(C526,'Stock Data'!$AM$4:$AM$1051,'Stock Data'!$AN$4:$AN$1051)</f>
        <v>4.5199999999999996</v>
      </c>
    </row>
    <row r="527" spans="3:4" ht="15" customHeight="1">
      <c r="C527" s="599">
        <f>+'Stock Data'!AM338</f>
        <v>45599</v>
      </c>
      <c r="D527" s="573">
        <f>_xlfn.XLOOKUP(C527,'Stock Data'!$AM$4:$AM$1051,'Stock Data'!$AN$4:$AN$1051)</f>
        <v>4.53</v>
      </c>
    </row>
    <row r="528" spans="3:4" ht="15" customHeight="1">
      <c r="C528" s="599">
        <f>+'Stock Data'!AM339</f>
        <v>45598</v>
      </c>
      <c r="D528" s="573">
        <f>_xlfn.XLOOKUP(C528,'Stock Data'!$AM$4:$AM$1051,'Stock Data'!$AN$4:$AN$1051)</f>
        <v>4.5250000000000004</v>
      </c>
    </row>
    <row r="529" spans="3:4" ht="15" customHeight="1">
      <c r="C529" s="599">
        <f>+'Stock Data'!AM340</f>
        <v>45597</v>
      </c>
      <c r="D529" s="573">
        <f>_xlfn.XLOOKUP(C529,'Stock Data'!$AM$4:$AM$1051,'Stock Data'!$AN$4:$AN$1051)</f>
        <v>4.6150000000000002</v>
      </c>
    </row>
    <row r="530" spans="3:4" ht="15" customHeight="1">
      <c r="C530" s="599">
        <f>+'Stock Data'!AM341</f>
        <v>45596</v>
      </c>
      <c r="D530" s="573">
        <f>_xlfn.XLOOKUP(C530,'Stock Data'!$AM$4:$AM$1051,'Stock Data'!$AN$4:$AN$1051)</f>
        <v>4.6100000000000003</v>
      </c>
    </row>
    <row r="531" spans="3:4" ht="15" customHeight="1">
      <c r="C531" s="599">
        <f>+'Stock Data'!AM342</f>
        <v>45595</v>
      </c>
      <c r="D531" s="573">
        <f>_xlfn.XLOOKUP(C531,'Stock Data'!$AM$4:$AM$1051,'Stock Data'!$AN$4:$AN$1051)</f>
        <v>4.6050000000000004</v>
      </c>
    </row>
    <row r="532" spans="3:4" ht="15" customHeight="1">
      <c r="C532" s="599">
        <f>+'Stock Data'!AM343</f>
        <v>45594</v>
      </c>
      <c r="D532" s="573">
        <f>_xlfn.XLOOKUP(C532,'Stock Data'!$AM$4:$AM$1051,'Stock Data'!$AN$4:$AN$1051)</f>
        <v>4.6050000000000004</v>
      </c>
    </row>
    <row r="533" spans="3:4" ht="15" customHeight="1">
      <c r="C533" s="599">
        <f>+'Stock Data'!AM344</f>
        <v>45593</v>
      </c>
      <c r="D533" s="573">
        <f>_xlfn.XLOOKUP(C533,'Stock Data'!$AM$4:$AM$1051,'Stock Data'!$AN$4:$AN$1051)</f>
        <v>4.6050000000000004</v>
      </c>
    </row>
    <row r="534" spans="3:4" ht="15" customHeight="1">
      <c r="C534" s="599">
        <f>+'Stock Data'!AM345</f>
        <v>45592</v>
      </c>
      <c r="D534" s="573">
        <f>_xlfn.XLOOKUP(C534,'Stock Data'!$AM$4:$AM$1051,'Stock Data'!$AN$4:$AN$1051)</f>
        <v>4.585</v>
      </c>
    </row>
    <row r="535" spans="3:4" ht="15" customHeight="1">
      <c r="C535" s="599">
        <f>+'Stock Data'!AM346</f>
        <v>45591</v>
      </c>
      <c r="D535" s="573">
        <f>_xlfn.XLOOKUP(C535,'Stock Data'!$AM$4:$AM$1051,'Stock Data'!$AN$4:$AN$1051)</f>
        <v>4.7249999999999996</v>
      </c>
    </row>
    <row r="536" spans="3:4" ht="15" customHeight="1">
      <c r="C536" s="599">
        <f>+'Stock Data'!AM347</f>
        <v>45590</v>
      </c>
      <c r="D536" s="573">
        <f>_xlfn.XLOOKUP(C536,'Stock Data'!$AM$4:$AM$1051,'Stock Data'!$AN$4:$AN$1051)</f>
        <v>4.7850000000000001</v>
      </c>
    </row>
    <row r="537" spans="3:4" ht="15" customHeight="1">
      <c r="C537" s="599">
        <f>+'Stock Data'!AM348</f>
        <v>45589</v>
      </c>
      <c r="D537" s="573">
        <f>_xlfn.XLOOKUP(C537,'Stock Data'!$AM$4:$AM$1051,'Stock Data'!$AN$4:$AN$1051)</f>
        <v>4.8049999999999997</v>
      </c>
    </row>
    <row r="538" spans="3:4" ht="15" customHeight="1">
      <c r="C538" s="599">
        <f>+'Stock Data'!AM349</f>
        <v>45588</v>
      </c>
      <c r="D538" s="573">
        <f>_xlfn.XLOOKUP(C538,'Stock Data'!$AM$4:$AM$1051,'Stock Data'!$AN$4:$AN$1051)</f>
        <v>4.82</v>
      </c>
    </row>
    <row r="539" spans="3:4" ht="15" customHeight="1">
      <c r="C539" s="599">
        <f>+'Stock Data'!AM350</f>
        <v>45587</v>
      </c>
      <c r="D539" s="573">
        <f>_xlfn.XLOOKUP(C539,'Stock Data'!$AM$4:$AM$1051,'Stock Data'!$AN$4:$AN$1051)</f>
        <v>4.82</v>
      </c>
    </row>
    <row r="540" spans="3:4" ht="15" customHeight="1">
      <c r="C540" s="599">
        <f>+'Stock Data'!AM351</f>
        <v>45586</v>
      </c>
      <c r="D540" s="573">
        <f>_xlfn.XLOOKUP(C540,'Stock Data'!$AM$4:$AM$1051,'Stock Data'!$AN$4:$AN$1051)</f>
        <v>4.82</v>
      </c>
    </row>
    <row r="541" spans="3:4" ht="15" customHeight="1">
      <c r="C541" s="599">
        <f>+'Stock Data'!AM352</f>
        <v>45585</v>
      </c>
      <c r="D541" s="573">
        <f>_xlfn.XLOOKUP(C541,'Stock Data'!$AM$4:$AM$1051,'Stock Data'!$AN$4:$AN$1051)</f>
        <v>4.6449999999999996</v>
      </c>
    </row>
    <row r="542" spans="3:4" ht="15" customHeight="1">
      <c r="C542" s="599">
        <f>+'Stock Data'!AM353</f>
        <v>45584</v>
      </c>
      <c r="D542" s="573">
        <f>_xlfn.XLOOKUP(C542,'Stock Data'!$AM$4:$AM$1051,'Stock Data'!$AN$4:$AN$1051)</f>
        <v>4.54</v>
      </c>
    </row>
    <row r="543" spans="3:4" ht="15" customHeight="1">
      <c r="C543" s="599">
        <f>+'Stock Data'!AM354</f>
        <v>45583</v>
      </c>
      <c r="D543" s="573">
        <f>_xlfn.XLOOKUP(C543,'Stock Data'!$AM$4:$AM$1051,'Stock Data'!$AN$4:$AN$1051)</f>
        <v>4.63</v>
      </c>
    </row>
    <row r="544" spans="3:4" ht="15" customHeight="1">
      <c r="C544" s="599">
        <f>+'Stock Data'!AM355</f>
        <v>45582</v>
      </c>
      <c r="D544" s="573">
        <f>_xlfn.XLOOKUP(C544,'Stock Data'!$AM$4:$AM$1051,'Stock Data'!$AN$4:$AN$1051)</f>
        <v>4.67</v>
      </c>
    </row>
    <row r="545" spans="3:4" ht="15" customHeight="1">
      <c r="C545" s="599">
        <f>+'Stock Data'!AM356</f>
        <v>45581</v>
      </c>
      <c r="D545" s="573">
        <f>_xlfn.XLOOKUP(C545,'Stock Data'!$AM$4:$AM$1051,'Stock Data'!$AN$4:$AN$1051)</f>
        <v>4.6550000000000002</v>
      </c>
    </row>
    <row r="546" spans="3:4" ht="15" customHeight="1">
      <c r="C546" s="599">
        <f>+'Stock Data'!AM357</f>
        <v>45580</v>
      </c>
      <c r="D546" s="573">
        <f>_xlfn.XLOOKUP(C546,'Stock Data'!$AM$4:$AM$1051,'Stock Data'!$AN$4:$AN$1051)</f>
        <v>4.6550000000000002</v>
      </c>
    </row>
    <row r="547" spans="3:4" ht="15" customHeight="1">
      <c r="C547" s="599">
        <f>+'Stock Data'!AM358</f>
        <v>45579</v>
      </c>
      <c r="D547" s="573">
        <f>_xlfn.XLOOKUP(C547,'Stock Data'!$AM$4:$AM$1051,'Stock Data'!$AN$4:$AN$1051)</f>
        <v>4.6550000000000002</v>
      </c>
    </row>
    <row r="548" spans="3:4" ht="15" customHeight="1">
      <c r="C548" s="599">
        <f>+'Stock Data'!AM359</f>
        <v>45578</v>
      </c>
      <c r="D548" s="573">
        <f>_xlfn.XLOOKUP(C548,'Stock Data'!$AM$4:$AM$1051,'Stock Data'!$AN$4:$AN$1051)</f>
        <v>4.92</v>
      </c>
    </row>
    <row r="549" spans="3:4" ht="15" customHeight="1">
      <c r="C549" s="599">
        <f>+'Stock Data'!AM360</f>
        <v>45577</v>
      </c>
      <c r="D549" s="573">
        <f>_xlfn.XLOOKUP(C549,'Stock Data'!$AM$4:$AM$1051,'Stock Data'!$AN$4:$AN$1051)</f>
        <v>5.0049999999999999</v>
      </c>
    </row>
    <row r="550" spans="3:4" ht="15" customHeight="1">
      <c r="C550" s="599">
        <f>+'Stock Data'!AM361</f>
        <v>45576</v>
      </c>
      <c r="D550" s="573">
        <f>_xlfn.XLOOKUP(C550,'Stock Data'!$AM$4:$AM$1051,'Stock Data'!$AN$4:$AN$1051)</f>
        <v>5.0250000000000004</v>
      </c>
    </row>
    <row r="551" spans="3:4" ht="15" customHeight="1">
      <c r="C551" s="599">
        <f>+'Stock Data'!AM362</f>
        <v>45575</v>
      </c>
      <c r="D551" s="573">
        <f>_xlfn.XLOOKUP(C551,'Stock Data'!$AM$4:$AM$1051,'Stock Data'!$AN$4:$AN$1051)</f>
        <v>5.0949999999999998</v>
      </c>
    </row>
    <row r="552" spans="3:4" ht="15" customHeight="1">
      <c r="C552" s="599">
        <f>+'Stock Data'!AM363</f>
        <v>45574</v>
      </c>
      <c r="D552" s="573">
        <f>_xlfn.XLOOKUP(C552,'Stock Data'!$AM$4:$AM$1051,'Stock Data'!$AN$4:$AN$1051)</f>
        <v>5.1150000000000002</v>
      </c>
    </row>
    <row r="553" spans="3:4" ht="15" customHeight="1">
      <c r="C553" s="599">
        <f>+'Stock Data'!AM364</f>
        <v>45573</v>
      </c>
      <c r="D553" s="573">
        <f>_xlfn.XLOOKUP(C553,'Stock Data'!$AM$4:$AM$1051,'Stock Data'!$AN$4:$AN$1051)</f>
        <v>5.1150000000000002</v>
      </c>
    </row>
    <row r="554" spans="3:4" ht="15" customHeight="1">
      <c r="C554" s="599">
        <f>+'Stock Data'!AM365</f>
        <v>45572</v>
      </c>
      <c r="D554" s="573">
        <f>_xlfn.XLOOKUP(C554,'Stock Data'!$AM$4:$AM$1051,'Stock Data'!$AN$4:$AN$1051)</f>
        <v>5.1150000000000002</v>
      </c>
    </row>
    <row r="555" spans="3:4" ht="15" customHeight="1">
      <c r="C555" s="599">
        <f>+'Stock Data'!AM366</f>
        <v>45571</v>
      </c>
      <c r="D555" s="573">
        <f>_xlfn.XLOOKUP(C555,'Stock Data'!$AM$4:$AM$1051,'Stock Data'!$AN$4:$AN$1051)</f>
        <v>4.9400000000000004</v>
      </c>
    </row>
    <row r="556" spans="3:4" ht="15" customHeight="1">
      <c r="C556" s="599">
        <f>+'Stock Data'!AM367</f>
        <v>45570</v>
      </c>
      <c r="D556" s="573">
        <f>_xlfn.XLOOKUP(C556,'Stock Data'!$AM$4:$AM$1051,'Stock Data'!$AN$4:$AN$1051)</f>
        <v>5.0250000000000004</v>
      </c>
    </row>
    <row r="557" spans="3:4" ht="15" customHeight="1">
      <c r="C557" s="599">
        <f>+'Stock Data'!AM368</f>
        <v>45569</v>
      </c>
      <c r="D557" s="573">
        <f>_xlfn.XLOOKUP(C557,'Stock Data'!$AM$4:$AM$1051,'Stock Data'!$AN$4:$AN$1051)</f>
        <v>4.9950000000000001</v>
      </c>
    </row>
    <row r="558" spans="3:4" ht="15" customHeight="1">
      <c r="C558" s="599">
        <f>+'Stock Data'!AM369</f>
        <v>45568</v>
      </c>
      <c r="D558" s="573">
        <f>_xlfn.XLOOKUP(C558,'Stock Data'!$AM$4:$AM$1051,'Stock Data'!$AN$4:$AN$1051)</f>
        <v>5.0549999999999997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A7" zoomScale="85" zoomScaleNormal="85" workbookViewId="0">
      <selection activeCell="C26" sqref="C26"/>
    </sheetView>
  </sheetViews>
  <sheetFormatPr defaultColWidth="9" defaultRowHeight="15" customHeight="1"/>
  <cols>
    <col min="1" max="1" width="2.125" style="23" customWidth="1"/>
    <col min="2" max="2" width="25.625" style="23" customWidth="1"/>
    <col min="3" max="4" width="11.625" style="23" customWidth="1"/>
    <col min="5" max="5" width="10.375" style="23" customWidth="1"/>
    <col min="6" max="6" width="25.625" style="23" customWidth="1"/>
    <col min="7" max="8" width="11.625" style="23" customWidth="1"/>
    <col min="9" max="9" width="10.375" style="23" customWidth="1"/>
    <col min="10" max="10" width="27.125" style="23" customWidth="1"/>
    <col min="11" max="12" width="11.625" style="23" customWidth="1"/>
    <col min="13" max="13" width="10.375" style="23" customWidth="1"/>
    <col min="14" max="14" width="25.625" style="23" customWidth="1"/>
    <col min="15" max="16" width="11.625" style="23" customWidth="1"/>
    <col min="17" max="16384" width="9" style="23"/>
  </cols>
  <sheetData>
    <row r="1" spans="2:16" s="574" customFormat="1" ht="15" customHeight="1"/>
    <row r="2" spans="2:16" s="574" customFormat="1" ht="15" customHeight="1"/>
    <row r="3" spans="2:16" s="574" customFormat="1" ht="15" customHeight="1"/>
    <row r="4" spans="2:16" s="574" customFormat="1" ht="15" customHeight="1"/>
    <row r="5" spans="2:16" s="36" customFormat="1" ht="3.95" customHeight="1"/>
    <row r="7" spans="2:16" ht="15" customHeight="1">
      <c r="B7" s="371" t="s">
        <v>1</v>
      </c>
      <c r="C7" s="184"/>
      <c r="D7" s="184"/>
      <c r="F7" s="371" t="s">
        <v>2</v>
      </c>
      <c r="G7" s="184"/>
      <c r="H7" s="184"/>
      <c r="J7" s="371" t="s">
        <v>3</v>
      </c>
      <c r="K7" s="184"/>
      <c r="L7" s="184"/>
      <c r="M7" s="184"/>
      <c r="N7" s="184"/>
      <c r="O7" s="184"/>
      <c r="P7" s="184"/>
    </row>
    <row r="8" spans="2:16" ht="15" customHeight="1">
      <c r="B8" s="371"/>
      <c r="C8" s="184"/>
      <c r="D8" s="184"/>
      <c r="F8" s="371"/>
      <c r="G8" s="184"/>
      <c r="H8" s="184"/>
      <c r="J8" s="184"/>
      <c r="K8" s="184"/>
      <c r="L8" s="184"/>
      <c r="M8" s="184"/>
      <c r="N8" s="184"/>
      <c r="O8" s="184"/>
      <c r="P8" s="184"/>
    </row>
    <row r="9" spans="2:16" ht="15" customHeight="1">
      <c r="B9" s="184"/>
      <c r="C9" s="184"/>
      <c r="D9" s="184"/>
      <c r="F9" s="184"/>
      <c r="G9" s="184"/>
      <c r="H9" s="184"/>
      <c r="J9" s="184"/>
      <c r="K9" s="184"/>
      <c r="L9" s="184"/>
      <c r="M9" s="184"/>
      <c r="N9" s="184"/>
      <c r="O9" s="184"/>
      <c r="P9" s="184"/>
    </row>
    <row r="10" spans="2:16" ht="3.95" customHeight="1">
      <c r="B10" s="36"/>
      <c r="C10" s="36"/>
      <c r="D10" s="36"/>
      <c r="F10" s="36"/>
      <c r="G10" s="36"/>
      <c r="H10" s="36"/>
      <c r="J10" s="36"/>
      <c r="K10" s="36"/>
      <c r="L10" s="36"/>
      <c r="M10" s="36"/>
      <c r="N10" s="36"/>
      <c r="O10" s="36"/>
      <c r="P10" s="36"/>
    </row>
    <row r="11" spans="2:16" ht="3.95" customHeight="1"/>
    <row r="12" spans="2:16" ht="15" customHeight="1">
      <c r="B12" s="480" t="s">
        <v>4</v>
      </c>
      <c r="F12" s="372" t="s">
        <v>5</v>
      </c>
      <c r="H12" s="553" t="s">
        <v>6</v>
      </c>
      <c r="J12" s="532"/>
    </row>
    <row r="13" spans="2:16" ht="15" customHeight="1">
      <c r="B13" s="566" t="s">
        <v>7</v>
      </c>
      <c r="F13" s="372" t="s">
        <v>8</v>
      </c>
      <c r="H13" s="592">
        <f ca="1">+FCFF!AL169</f>
        <v>-15.041034535000984</v>
      </c>
      <c r="J13" s="532"/>
    </row>
    <row r="14" spans="2:16" ht="15" customHeight="1">
      <c r="B14" s="675" t="s">
        <v>9</v>
      </c>
      <c r="F14" s="372" t="s">
        <v>10</v>
      </c>
      <c r="H14" s="666">
        <f ca="1">+FCFF!$AL$171</f>
        <v>-4.4897991960559125</v>
      </c>
      <c r="J14" s="532"/>
    </row>
    <row r="15" spans="2:16" ht="15" customHeight="1">
      <c r="B15" s="374" t="s">
        <v>11</v>
      </c>
      <c r="J15" s="532"/>
    </row>
    <row r="16" spans="2:16" ht="15" customHeight="1">
      <c r="B16" s="566" t="s">
        <v>12</v>
      </c>
      <c r="F16" s="372" t="s">
        <v>13</v>
      </c>
      <c r="H16" s="583" t="s">
        <v>14</v>
      </c>
      <c r="J16" s="532"/>
    </row>
    <row r="17" spans="2:8" ht="15" customHeight="1">
      <c r="B17" s="675" t="s">
        <v>15</v>
      </c>
      <c r="F17" s="372" t="s">
        <v>16</v>
      </c>
      <c r="G17" s="549"/>
      <c r="H17" s="583" t="s">
        <v>17</v>
      </c>
    </row>
    <row r="18" spans="2:8" ht="15" customHeight="1">
      <c r="B18" s="374" t="s">
        <v>18</v>
      </c>
    </row>
    <row r="19" spans="2:8" ht="15" customHeight="1">
      <c r="B19" s="566" t="s">
        <v>19</v>
      </c>
      <c r="F19" s="372" t="s">
        <v>20</v>
      </c>
      <c r="H19" s="676">
        <f>'Stock Data'!AN4</f>
        <v>4.3099999999999996</v>
      </c>
    </row>
    <row r="20" spans="2:8" ht="15" customHeight="1">
      <c r="B20" s="675" t="s">
        <v>21</v>
      </c>
      <c r="F20" s="372" t="str">
        <f>"Market Cap (in "&amp;IF(Inputs!$D$14="BLN","billions",IF(Inputs!$D$14="MLN","millions","thousands"))&amp;")"</f>
        <v>Market Cap (in thousands)</v>
      </c>
      <c r="H20" s="676">
        <f>'Stock Data'!AQ4</f>
        <v>444.74450379999996</v>
      </c>
    </row>
    <row r="21" spans="2:8" ht="15" customHeight="1">
      <c r="B21" s="374"/>
      <c r="F21" s="374" t="s">
        <v>22</v>
      </c>
      <c r="G21" s="549"/>
      <c r="H21" s="579">
        <f>'Stock Data'!E164</f>
        <v>1.4757670000000001</v>
      </c>
    </row>
    <row r="22" spans="2:8" ht="15" customHeight="1">
      <c r="B22" s="566"/>
      <c r="F22" s="374" t="s">
        <v>23</v>
      </c>
      <c r="H22" s="580">
        <f>'Stock Data'!E165</f>
        <v>0.71768699999999996</v>
      </c>
    </row>
    <row r="23" spans="2:8" ht="15" customHeight="1">
      <c r="B23" s="567"/>
      <c r="F23" s="374" t="s">
        <v>24</v>
      </c>
      <c r="H23" s="676">
        <v>3.79</v>
      </c>
    </row>
    <row r="24" spans="2:8" ht="15" customHeight="1">
      <c r="B24" s="552"/>
      <c r="F24" s="372"/>
      <c r="H24" s="581"/>
    </row>
    <row r="25" spans="2:8" ht="15" customHeight="1">
      <c r="B25" s="372" t="s">
        <v>25</v>
      </c>
      <c r="F25" s="374" t="s">
        <v>26</v>
      </c>
      <c r="H25" s="582">
        <f>'Stock Data'!E168</f>
        <v>576723.30000000005</v>
      </c>
    </row>
    <row r="26" spans="2:8" ht="15" customHeight="1">
      <c r="B26" s="374" t="s">
        <v>27</v>
      </c>
      <c r="F26" s="374" t="s">
        <v>28</v>
      </c>
      <c r="H26" s="582">
        <f>'Stock Data'!E169</f>
        <v>103.18899999999999</v>
      </c>
    </row>
    <row r="27" spans="2:8" ht="15" customHeight="1">
      <c r="B27" s="566" t="s">
        <v>29</v>
      </c>
      <c r="F27" s="374" t="s">
        <v>30</v>
      </c>
      <c r="H27" s="580">
        <f>'Stock Data'!E170</f>
        <v>0.47299999999999998</v>
      </c>
    </row>
    <row r="28" spans="2:8" ht="15" customHeight="1">
      <c r="B28" s="675" t="s">
        <v>31</v>
      </c>
      <c r="F28" s="374" t="s">
        <v>32</v>
      </c>
      <c r="H28" s="850">
        <f>IFERROR('Stock Data'!E171,0)</f>
        <v>0</v>
      </c>
    </row>
    <row r="29" spans="2:8" ht="15" customHeight="1">
      <c r="F29" s="372"/>
      <c r="H29" s="581"/>
    </row>
    <row r="30" spans="2:8" ht="15" customHeight="1">
      <c r="B30" s="545" t="s">
        <v>33</v>
      </c>
      <c r="F30" s="374" t="s">
        <v>34</v>
      </c>
      <c r="H30" s="580">
        <f>'Stock Data'!E173</f>
        <v>3.4599993629165895E-2</v>
      </c>
    </row>
    <row r="31" spans="2:8" ht="15" customHeight="1">
      <c r="B31" s="551" t="s">
        <v>35</v>
      </c>
      <c r="F31" s="374" t="s">
        <v>36</v>
      </c>
      <c r="H31" s="580">
        <f>'Stock Data'!E174</f>
        <v>0.43506610236477788</v>
      </c>
    </row>
    <row r="32" spans="2:8" ht="15" customHeight="1">
      <c r="B32" s="552" t="s">
        <v>37</v>
      </c>
    </row>
    <row r="34" spans="2:16" ht="15" customHeight="1">
      <c r="B34" s="910" t="s">
        <v>38</v>
      </c>
      <c r="C34" s="910"/>
      <c r="D34" s="910"/>
      <c r="E34" s="910"/>
      <c r="F34" s="910"/>
      <c r="G34" s="910"/>
      <c r="H34" s="910"/>
      <c r="I34" s="910"/>
      <c r="J34" s="910"/>
      <c r="K34" s="910"/>
      <c r="L34" s="910"/>
      <c r="M34" s="910"/>
      <c r="N34" s="910"/>
      <c r="O34" s="910"/>
      <c r="P34" s="910"/>
    </row>
    <row r="35" spans="2:16" ht="15" customHeight="1">
      <c r="B35" s="910"/>
      <c r="C35" s="910"/>
      <c r="D35" s="910"/>
      <c r="E35" s="910"/>
      <c r="F35" s="910"/>
      <c r="G35" s="910"/>
      <c r="H35" s="910"/>
      <c r="I35" s="910"/>
      <c r="J35" s="910"/>
      <c r="K35" s="910"/>
      <c r="L35" s="910"/>
      <c r="M35" s="910"/>
      <c r="N35" s="910"/>
      <c r="O35" s="910"/>
      <c r="P35" s="910"/>
    </row>
    <row r="36" spans="2:16" ht="15" customHeight="1">
      <c r="B36" s="910"/>
      <c r="C36" s="910"/>
      <c r="D36" s="910"/>
      <c r="E36" s="910"/>
      <c r="F36" s="910"/>
      <c r="G36" s="910"/>
      <c r="H36" s="910"/>
      <c r="I36" s="910"/>
      <c r="J36" s="910"/>
      <c r="K36" s="910"/>
      <c r="L36" s="910"/>
      <c r="M36" s="910"/>
      <c r="N36" s="910"/>
      <c r="O36" s="910"/>
      <c r="P36" s="910"/>
    </row>
    <row r="37" spans="2:16" ht="15" customHeight="1">
      <c r="B37" s="910"/>
      <c r="C37" s="910"/>
      <c r="D37" s="910"/>
      <c r="E37" s="910"/>
      <c r="F37" s="910"/>
      <c r="G37" s="910"/>
      <c r="H37" s="910"/>
      <c r="I37" s="910"/>
      <c r="J37" s="910"/>
      <c r="K37" s="910"/>
      <c r="L37" s="910"/>
      <c r="M37" s="910"/>
      <c r="N37" s="910"/>
      <c r="O37" s="910"/>
      <c r="P37" s="910"/>
    </row>
    <row r="38" spans="2:16" ht="15" customHeight="1">
      <c r="B38" s="910"/>
      <c r="C38" s="910"/>
      <c r="D38" s="910"/>
      <c r="E38" s="910"/>
      <c r="F38" s="910"/>
      <c r="G38" s="910"/>
      <c r="H38" s="910"/>
      <c r="I38" s="910"/>
      <c r="J38" s="910"/>
      <c r="K38" s="910"/>
      <c r="L38" s="910"/>
      <c r="M38" s="910"/>
      <c r="N38" s="910"/>
      <c r="O38" s="910"/>
      <c r="P38" s="910"/>
    </row>
    <row r="39" spans="2:16" ht="15" customHeight="1">
      <c r="B39" s="910"/>
      <c r="C39" s="910"/>
      <c r="D39" s="910"/>
      <c r="E39" s="910"/>
      <c r="F39" s="910"/>
      <c r="G39" s="910"/>
      <c r="H39" s="910"/>
      <c r="I39" s="910"/>
      <c r="J39" s="910"/>
      <c r="K39" s="910"/>
      <c r="L39" s="910"/>
      <c r="M39" s="910"/>
      <c r="N39" s="910"/>
      <c r="O39" s="910"/>
      <c r="P39" s="910"/>
    </row>
    <row r="40" spans="2:16" ht="15" customHeight="1">
      <c r="B40" s="910"/>
      <c r="C40" s="910"/>
      <c r="D40" s="910"/>
      <c r="E40" s="910"/>
      <c r="F40" s="910"/>
      <c r="G40" s="910"/>
      <c r="H40" s="910"/>
      <c r="I40" s="910"/>
      <c r="J40" s="910"/>
      <c r="K40" s="910"/>
      <c r="L40" s="910"/>
      <c r="M40" s="910"/>
      <c r="N40" s="910"/>
      <c r="O40" s="910"/>
      <c r="P40" s="910"/>
    </row>
    <row r="41" spans="2:16" ht="15" customHeight="1">
      <c r="B41" s="910"/>
      <c r="C41" s="910"/>
      <c r="D41" s="910"/>
      <c r="E41" s="910"/>
      <c r="F41" s="910"/>
      <c r="G41" s="910"/>
      <c r="H41" s="910"/>
      <c r="I41" s="910"/>
      <c r="J41" s="910"/>
      <c r="K41" s="910"/>
      <c r="L41" s="910"/>
      <c r="M41" s="910"/>
      <c r="N41" s="910"/>
      <c r="O41" s="910"/>
      <c r="P41" s="910"/>
    </row>
    <row r="42" spans="2:16" ht="15" customHeight="1">
      <c r="B42" s="910"/>
      <c r="C42" s="910"/>
      <c r="D42" s="910"/>
      <c r="E42" s="910"/>
      <c r="F42" s="910"/>
      <c r="G42" s="910"/>
      <c r="H42" s="910"/>
      <c r="I42" s="910"/>
      <c r="J42" s="910"/>
      <c r="K42" s="910"/>
      <c r="L42" s="910"/>
      <c r="M42" s="910"/>
      <c r="N42" s="910"/>
      <c r="O42" s="910"/>
      <c r="P42" s="910"/>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13F4351-F364-4566-8CF9-58EAB12BAB1A}"/>
    <hyperlink ref="B14" r:id="rId4" xr:uid="{D154D1FC-721A-469F-97EA-C2515AD780C8}"/>
    <hyperlink ref="B13" r:id="rId5" display="raul.vasconcelos@aln.iseg.ulisboa.pt" xr:uid="{77AB066A-C300-4B87-AFCB-2C947D186323}"/>
    <hyperlink ref="B17" r:id="rId6" xr:uid="{DBCE9F31-B2BA-49C9-9B38-280BDF5B8403}"/>
    <hyperlink ref="B20" r:id="rId7" xr:uid="{045CA155-3BB1-467C-8E34-6976011B03B0}"/>
    <hyperlink ref="B16" r:id="rId8" display="raul.vasconcelos@aln.iseg.ulisboa.pt" xr:uid="{EFA83599-0A39-49DD-B76B-5CC8CB13CC21}"/>
    <hyperlink ref="B28" r:id="rId9" xr:uid="{B633D4A3-E0C7-4F7F-A99B-B02AB3A4B396}"/>
  </hyperlinks>
  <pageMargins left="0.7" right="0.7" top="0.75" bottom="0.75" header="0.3" footer="0.3"/>
  <pageSetup paperSize="9"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V36"/>
  <sheetViews>
    <sheetView showGridLines="0" topLeftCell="A13" zoomScale="62" zoomScaleNormal="70" workbookViewId="0">
      <selection activeCell="D31" sqref="D31:M31"/>
    </sheetView>
  </sheetViews>
  <sheetFormatPr defaultColWidth="11.625" defaultRowHeight="15" customHeight="1"/>
  <cols>
    <col min="1" max="1" width="2.125" style="23" customWidth="1"/>
    <col min="2" max="2" width="46.875" style="23" customWidth="1"/>
    <col min="3" max="3" width="3.625" style="23" customWidth="1"/>
    <col min="4" max="7" width="11.625" style="23"/>
    <col min="8" max="11" width="11.75" style="23" bestFit="1" customWidth="1"/>
    <col min="12" max="12" width="14.5" style="23" customWidth="1"/>
    <col min="13" max="13" width="11.625" style="23"/>
    <col min="14" max="14" width="1.625" style="23" customWidth="1"/>
    <col min="15" max="16384" width="11.625" style="23"/>
  </cols>
  <sheetData>
    <row r="1" spans="1:19" s="574" customFormat="1" ht="15" customHeight="1"/>
    <row r="2" spans="1:19" s="574" customFormat="1" ht="15" customHeight="1"/>
    <row r="3" spans="1:19" s="574" customFormat="1" ht="15" customHeight="1"/>
    <row r="4" spans="1:19" s="574" customFormat="1" ht="15" customHeight="1"/>
    <row r="5" spans="1:19" s="36" customFormat="1" ht="3.95" customHeight="1"/>
    <row r="6" spans="1:19" ht="15" customHeight="1">
      <c r="D6" s="419">
        <v>584.16999999999996</v>
      </c>
      <c r="E6" s="419">
        <v>627.76</v>
      </c>
      <c r="F6" s="419">
        <v>676.06</v>
      </c>
      <c r="G6" s="419">
        <v>729.63</v>
      </c>
      <c r="H6" s="419">
        <v>789.13</v>
      </c>
      <c r="I6" s="419">
        <v>855.3</v>
      </c>
      <c r="J6" s="419">
        <v>929</v>
      </c>
      <c r="K6" s="419">
        <v>997.69</v>
      </c>
      <c r="L6" s="419">
        <v>1067.6300000000001</v>
      </c>
      <c r="M6" s="419">
        <v>1137.57</v>
      </c>
    </row>
    <row r="7" spans="1:19" ht="15" customHeight="1">
      <c r="A7" s="44" t="s">
        <v>39</v>
      </c>
      <c r="B7" s="371" t="s">
        <v>40</v>
      </c>
      <c r="C7" s="184"/>
      <c r="D7" s="32"/>
      <c r="E7" s="32"/>
      <c r="F7" s="32"/>
      <c r="G7" s="32"/>
      <c r="H7" s="32"/>
      <c r="I7" s="32"/>
      <c r="J7" s="32"/>
      <c r="K7" s="32"/>
      <c r="L7" s="32"/>
      <c r="M7" s="32"/>
      <c r="N7" s="419"/>
      <c r="O7" s="371" t="s">
        <v>41</v>
      </c>
      <c r="P7" s="184"/>
      <c r="Q7" s="184"/>
      <c r="R7" s="184"/>
      <c r="S7" s="184"/>
    </row>
    <row r="8" spans="1:19" ht="15" customHeight="1">
      <c r="B8" s="184"/>
      <c r="C8" s="184"/>
      <c r="D8" s="32"/>
      <c r="E8" s="32"/>
      <c r="F8" s="32"/>
      <c r="G8" s="32"/>
      <c r="H8" s="32"/>
      <c r="I8" s="32"/>
      <c r="J8" s="32"/>
      <c r="K8" s="32"/>
      <c r="L8" s="32"/>
      <c r="M8" s="32"/>
      <c r="N8" s="419"/>
      <c r="O8" s="184"/>
      <c r="P8" s="184"/>
      <c r="Q8" s="184"/>
      <c r="R8" s="184"/>
      <c r="S8" s="184"/>
    </row>
    <row r="9" spans="1:19" ht="15" customHeight="1">
      <c r="B9" s="371" t="s">
        <v>42</v>
      </c>
      <c r="C9" s="32"/>
      <c r="D9" s="449">
        <v>2022</v>
      </c>
      <c r="E9" s="449">
        <f>+D9+1</f>
        <v>2023</v>
      </c>
      <c r="F9" s="449">
        <f>+E9+1</f>
        <v>2024</v>
      </c>
      <c r="G9" s="450">
        <f>+F9+1</f>
        <v>2025</v>
      </c>
      <c r="H9" s="450">
        <f t="shared" ref="H9:K9" si="0">+G9+1</f>
        <v>2026</v>
      </c>
      <c r="I9" s="450">
        <f t="shared" si="0"/>
        <v>2027</v>
      </c>
      <c r="J9" s="450">
        <f t="shared" si="0"/>
        <v>2028</v>
      </c>
      <c r="K9" s="450">
        <f t="shared" si="0"/>
        <v>2029</v>
      </c>
      <c r="L9" s="539"/>
      <c r="M9" s="540" t="str">
        <f>"CAGR "&amp;$G$9&amp;" - "&amp;$K$9</f>
        <v>CAGR 2025 - 2029</v>
      </c>
      <c r="N9" s="541"/>
      <c r="O9" s="32"/>
      <c r="P9" s="32"/>
      <c r="Q9" s="32"/>
      <c r="R9" s="32"/>
      <c r="S9" s="32"/>
    </row>
    <row r="10" spans="1:19" ht="3.95" customHeight="1">
      <c r="B10" s="36"/>
      <c r="C10" s="36"/>
      <c r="D10" s="36"/>
      <c r="E10" s="36"/>
      <c r="F10" s="36"/>
      <c r="G10" s="36"/>
      <c r="H10" s="36"/>
      <c r="I10" s="36"/>
      <c r="J10" s="36"/>
      <c r="K10" s="36"/>
      <c r="L10" s="36"/>
      <c r="M10" s="378"/>
      <c r="O10" s="36"/>
      <c r="P10" s="36"/>
      <c r="Q10" s="36"/>
      <c r="R10" s="36"/>
      <c r="S10" s="36"/>
    </row>
    <row r="11" spans="1:19" ht="3.95" customHeight="1">
      <c r="M11" s="532"/>
    </row>
    <row r="12" spans="1:19" ht="15" customHeight="1">
      <c r="B12" s="853" t="s">
        <v>43</v>
      </c>
      <c r="C12" s="33"/>
      <c r="D12" s="803">
        <v>227.2</v>
      </c>
      <c r="E12" s="803">
        <v>292.60000000000002</v>
      </c>
      <c r="F12" s="803">
        <v>343.4</v>
      </c>
      <c r="G12" s="803">
        <v>380.7</v>
      </c>
      <c r="H12" s="803">
        <v>413.8</v>
      </c>
      <c r="I12" s="803">
        <v>449.8</v>
      </c>
      <c r="J12" s="803">
        <v>488.9</v>
      </c>
      <c r="K12" s="803">
        <v>531.4</v>
      </c>
      <c r="L12" s="537"/>
      <c r="M12" s="542">
        <f>(K12/G12)^(1/5)-1</f>
        <v>6.8975458120435595E-2</v>
      </c>
    </row>
    <row r="13" spans="1:19" ht="15" customHeight="1">
      <c r="B13" s="804" t="s">
        <v>44</v>
      </c>
      <c r="D13" s="725">
        <f>+D21/(D12*1000)</f>
        <v>2.0484154929577463E-3</v>
      </c>
      <c r="E13" s="725">
        <f t="shared" ref="E13:K13" si="1">+E21/(E12*1000)</f>
        <v>2.1408065618591932E-3</v>
      </c>
      <c r="F13" s="725">
        <f t="shared" si="1"/>
        <v>8.9545719277810132E-4</v>
      </c>
      <c r="G13" s="725">
        <f t="shared" si="1"/>
        <v>1.1688993958497505E-3</v>
      </c>
      <c r="H13" s="725">
        <f t="shared" si="1"/>
        <v>7.3350786779159032E-4</v>
      </c>
      <c r="I13" s="725">
        <f t="shared" si="1"/>
        <v>7.5568267348173797E-4</v>
      </c>
      <c r="J13" s="725">
        <f t="shared" si="1"/>
        <v>7.0464845555439715E-4</v>
      </c>
      <c r="K13" s="725">
        <f t="shared" si="1"/>
        <v>6.3907476458411748E-4</v>
      </c>
      <c r="L13" s="537"/>
      <c r="M13" s="548">
        <f>((K13*K12)/(G13*G12))^(1/5)-1</f>
        <v>-5.2623426136089058E-2</v>
      </c>
    </row>
    <row r="14" spans="1:19" ht="15" customHeight="1">
      <c r="B14" s="854" t="s">
        <v>45</v>
      </c>
      <c r="C14" s="33"/>
      <c r="D14" s="803">
        <v>194.7</v>
      </c>
      <c r="E14" s="803">
        <v>195.9</v>
      </c>
      <c r="F14" s="803">
        <v>220</v>
      </c>
      <c r="G14" s="803">
        <v>233.3</v>
      </c>
      <c r="H14" s="803">
        <v>242.7</v>
      </c>
      <c r="I14" s="803">
        <v>252.4</v>
      </c>
      <c r="J14" s="803">
        <v>262.39999999999998</v>
      </c>
      <c r="K14" s="803">
        <v>272.89999999999998</v>
      </c>
      <c r="L14" s="537"/>
      <c r="M14" s="542">
        <f>(K14/G14)^(1/5)-1</f>
        <v>3.1852829418493656E-2</v>
      </c>
    </row>
    <row r="15" spans="1:19" ht="15" customHeight="1">
      <c r="B15" s="804" t="s">
        <v>44</v>
      </c>
      <c r="D15" s="725">
        <f>+D21/(D16*1000)</f>
        <v>3.7065944568333861E-4</v>
      </c>
      <c r="E15" s="725">
        <f t="shared" ref="E15:K15" si="2">+E21/(E16*1000)</f>
        <v>5.0164170737567067E-4</v>
      </c>
      <c r="F15" s="725">
        <f t="shared" si="2"/>
        <v>2.218294618381186E-4</v>
      </c>
      <c r="G15" s="725">
        <f t="shared" si="2"/>
        <v>3.0624182781639254E-4</v>
      </c>
      <c r="H15" s="725">
        <f t="shared" si="2"/>
        <v>2.0319022338476374E-4</v>
      </c>
      <c r="I15" s="725">
        <f t="shared" si="2"/>
        <v>2.213218300117761E-4</v>
      </c>
      <c r="J15" s="725">
        <f t="shared" si="2"/>
        <v>2.1700953065861088E-4</v>
      </c>
      <c r="K15" s="725">
        <f t="shared" si="2"/>
        <v>2.0930929423728815E-4</v>
      </c>
      <c r="L15" s="537"/>
      <c r="M15" s="548">
        <f>((K15*K14)/(G15*G14))^(1/5)-1</f>
        <v>-4.3769569296899125E-2</v>
      </c>
    </row>
    <row r="16" spans="1:19" ht="15" customHeight="1">
      <c r="B16" s="854" t="s">
        <v>46</v>
      </c>
      <c r="C16" s="33"/>
      <c r="D16" s="547">
        <v>1255.5999999999999</v>
      </c>
      <c r="E16" s="547">
        <v>1248.7</v>
      </c>
      <c r="F16" s="547">
        <v>1386.2</v>
      </c>
      <c r="G16" s="547">
        <v>1453.1</v>
      </c>
      <c r="H16" s="547">
        <v>1493.8</v>
      </c>
      <c r="I16" s="547">
        <v>1535.8</v>
      </c>
      <c r="J16" s="547">
        <v>1587.5</v>
      </c>
      <c r="K16" s="547">
        <v>1622.5</v>
      </c>
      <c r="L16" s="537"/>
      <c r="M16" s="542">
        <f>(K16/G16)^(1/5)-1</f>
        <v>2.2298775356370815E-2</v>
      </c>
    </row>
    <row r="17" spans="1:22" ht="15" customHeight="1">
      <c r="B17" s="804" t="s">
        <v>44</v>
      </c>
      <c r="D17" s="725">
        <f>+D21/(D16*1000)</f>
        <v>3.7065944568333861E-4</v>
      </c>
      <c r="E17" s="725">
        <f t="shared" ref="E17:K17" si="3">+E21/(E16*1000)</f>
        <v>5.0164170737567067E-4</v>
      </c>
      <c r="F17" s="725">
        <f t="shared" si="3"/>
        <v>2.218294618381186E-4</v>
      </c>
      <c r="G17" s="725">
        <f t="shared" si="3"/>
        <v>3.0624182781639254E-4</v>
      </c>
      <c r="H17" s="725">
        <f t="shared" si="3"/>
        <v>2.0319022338476374E-4</v>
      </c>
      <c r="I17" s="725">
        <f t="shared" si="3"/>
        <v>2.213218300117761E-4</v>
      </c>
      <c r="J17" s="725">
        <f t="shared" si="3"/>
        <v>2.1700953065861088E-4</v>
      </c>
      <c r="K17" s="725">
        <f t="shared" si="3"/>
        <v>2.0930929423728815E-4</v>
      </c>
      <c r="L17" s="537"/>
      <c r="M17" s="548">
        <f>((K17*K16)/(G17*G16))^(1/5)-1</f>
        <v>-5.2623426136089058E-2</v>
      </c>
    </row>
    <row r="18" spans="1:22" ht="15" customHeight="1">
      <c r="B18" s="805"/>
      <c r="C18" s="33"/>
      <c r="D18" s="547"/>
      <c r="E18" s="547"/>
      <c r="F18" s="547"/>
      <c r="G18" s="547"/>
      <c r="H18" s="547"/>
      <c r="I18" s="547"/>
      <c r="J18" s="547"/>
      <c r="K18" s="547"/>
      <c r="L18" s="537"/>
      <c r="M18" s="542"/>
    </row>
    <row r="19" spans="1:22" ht="15" customHeight="1">
      <c r="B19" s="809" t="s">
        <v>47</v>
      </c>
      <c r="D19" s="725">
        <f>+AVERAGE(D13,D15,D17)</f>
        <v>9.2991146144147439E-4</v>
      </c>
      <c r="E19" s="725">
        <f t="shared" ref="E19:K19" si="4">+AVERAGE(E13,E15,E17)</f>
        <v>1.0480299922035116E-3</v>
      </c>
      <c r="F19" s="725">
        <f t="shared" si="4"/>
        <v>4.4637203881811279E-4</v>
      </c>
      <c r="G19" s="725">
        <f t="shared" si="4"/>
        <v>5.9379435049417852E-4</v>
      </c>
      <c r="H19" s="725">
        <f t="shared" si="4"/>
        <v>3.7996277152037256E-4</v>
      </c>
      <c r="I19" s="725">
        <f t="shared" si="4"/>
        <v>3.9944211116843005E-4</v>
      </c>
      <c r="J19" s="725">
        <f t="shared" si="4"/>
        <v>3.7955583895720634E-4</v>
      </c>
      <c r="K19" s="725">
        <f t="shared" si="4"/>
        <v>3.5256445101956461E-4</v>
      </c>
      <c r="L19" s="548"/>
    </row>
    <row r="20" spans="1:22" ht="15" customHeight="1">
      <c r="B20" s="806" t="s">
        <v>48</v>
      </c>
      <c r="C20" s="33"/>
      <c r="D20" s="810">
        <f>+MEDIAN(D17,D15,D13)</f>
        <v>3.7065944568333861E-4</v>
      </c>
      <c r="E20" s="810">
        <f t="shared" ref="E20:K20" si="5">+MEDIAN(E17,E15,E13)</f>
        <v>5.0164170737567067E-4</v>
      </c>
      <c r="F20" s="810">
        <f t="shared" si="5"/>
        <v>2.218294618381186E-4</v>
      </c>
      <c r="G20" s="810">
        <f t="shared" si="5"/>
        <v>3.0624182781639254E-4</v>
      </c>
      <c r="H20" s="810">
        <f t="shared" si="5"/>
        <v>2.0319022338476374E-4</v>
      </c>
      <c r="I20" s="810">
        <f t="shared" si="5"/>
        <v>2.213218300117761E-4</v>
      </c>
      <c r="J20" s="810">
        <f t="shared" si="5"/>
        <v>2.1700953065861088E-4</v>
      </c>
      <c r="K20" s="810">
        <f t="shared" si="5"/>
        <v>2.0930929423728815E-4</v>
      </c>
      <c r="L20" s="542"/>
    </row>
    <row r="21" spans="1:22" ht="15" customHeight="1">
      <c r="B21" s="546"/>
      <c r="D21" s="807">
        <v>465.4</v>
      </c>
      <c r="E21" s="807">
        <v>626.4</v>
      </c>
      <c r="F21" s="807">
        <v>307.5</v>
      </c>
      <c r="G21" s="807">
        <v>445</v>
      </c>
      <c r="H21" s="808">
        <v>303.52555569216008</v>
      </c>
      <c r="I21" s="808">
        <v>339.90606653208573</v>
      </c>
      <c r="J21" s="808">
        <v>344.50262992054479</v>
      </c>
      <c r="K21" s="808">
        <v>339.60432990000004</v>
      </c>
      <c r="L21" s="548"/>
      <c r="V21" s="23" t="s">
        <v>49</v>
      </c>
    </row>
    <row r="22" spans="1:22" ht="15" customHeight="1">
      <c r="B22"/>
      <c r="E22" s="538"/>
    </row>
    <row r="23" spans="1:22" ht="15" customHeight="1">
      <c r="A23" s="44" t="s">
        <v>39</v>
      </c>
      <c r="B23" s="32"/>
      <c r="C23" s="32"/>
      <c r="D23" s="32"/>
      <c r="E23" s="32"/>
      <c r="F23" s="32"/>
      <c r="G23" s="32"/>
      <c r="H23" s="32"/>
      <c r="I23" s="32"/>
      <c r="J23" s="32"/>
      <c r="K23" s="32"/>
      <c r="L23" s="32"/>
      <c r="M23" s="32"/>
      <c r="O23" s="32"/>
      <c r="P23" s="32"/>
      <c r="Q23" s="32"/>
      <c r="R23" s="32"/>
      <c r="S23" s="32"/>
    </row>
    <row r="24" spans="1:22" ht="15" customHeight="1">
      <c r="B24" s="32"/>
      <c r="C24" s="32"/>
      <c r="D24" s="32"/>
      <c r="E24" s="32"/>
      <c r="F24" s="32"/>
      <c r="G24" s="32"/>
      <c r="H24" s="32"/>
      <c r="I24" s="32"/>
      <c r="J24" s="32"/>
      <c r="K24" s="32"/>
      <c r="L24" s="32"/>
      <c r="M24" s="32"/>
      <c r="O24" s="32"/>
      <c r="P24" s="32"/>
      <c r="Q24" s="32"/>
      <c r="R24" s="32"/>
      <c r="S24" s="32"/>
    </row>
    <row r="25" spans="1:22" s="419" customFormat="1" ht="15" customHeight="1">
      <c r="B25" s="371" t="s">
        <v>50</v>
      </c>
      <c r="C25" s="32"/>
      <c r="D25" s="371" t="s">
        <v>51</v>
      </c>
      <c r="E25" s="32"/>
      <c r="F25" s="32"/>
      <c r="G25" s="32"/>
      <c r="H25" s="32"/>
      <c r="I25" s="32"/>
      <c r="J25" s="32"/>
      <c r="K25" s="32"/>
      <c r="L25" s="32"/>
      <c r="M25" s="32"/>
      <c r="O25" s="371" t="s">
        <v>52</v>
      </c>
      <c r="P25" s="32"/>
      <c r="Q25" s="32"/>
      <c r="R25" s="32"/>
      <c r="S25" s="32"/>
    </row>
    <row r="26" spans="1:22" ht="3.95" customHeight="1">
      <c r="B26" s="36"/>
      <c r="C26" s="36"/>
      <c r="D26" s="36"/>
      <c r="E26" s="36"/>
      <c r="F26" s="36"/>
      <c r="G26" s="36"/>
      <c r="H26" s="36"/>
      <c r="I26" s="36"/>
      <c r="J26" s="36"/>
      <c r="K26" s="36"/>
      <c r="L26" s="36"/>
      <c r="M26" s="36"/>
      <c r="O26" s="36"/>
      <c r="P26" s="36"/>
      <c r="Q26" s="36"/>
      <c r="R26" s="36"/>
      <c r="S26" s="36"/>
    </row>
    <row r="27" spans="1:22" ht="69" customHeight="1">
      <c r="B27" s="851" t="s">
        <v>53</v>
      </c>
      <c r="C27" s="543"/>
      <c r="D27" s="911" t="s">
        <v>54</v>
      </c>
      <c r="E27" s="912"/>
      <c r="F27" s="912"/>
      <c r="G27" s="912"/>
      <c r="H27" s="912"/>
      <c r="I27" s="912"/>
      <c r="J27" s="912"/>
      <c r="K27" s="912"/>
      <c r="L27" s="912"/>
      <c r="M27" s="912"/>
    </row>
    <row r="28" spans="1:22" ht="60" customHeight="1">
      <c r="B28" s="855" t="s">
        <v>55</v>
      </c>
      <c r="C28" s="543"/>
      <c r="D28" s="912" t="s">
        <v>56</v>
      </c>
      <c r="E28" s="912"/>
      <c r="F28" s="912"/>
      <c r="G28" s="912"/>
      <c r="H28" s="912"/>
      <c r="I28" s="912"/>
      <c r="J28" s="912"/>
      <c r="K28" s="912"/>
      <c r="L28" s="912"/>
      <c r="M28" s="912"/>
    </row>
    <row r="29" spans="1:22" ht="60" customHeight="1">
      <c r="B29" s="851" t="s">
        <v>57</v>
      </c>
      <c r="C29" s="543"/>
      <c r="D29" s="912" t="s">
        <v>58</v>
      </c>
      <c r="E29" s="912"/>
      <c r="F29" s="912"/>
      <c r="G29" s="912"/>
      <c r="H29" s="912"/>
      <c r="I29" s="912"/>
      <c r="J29" s="912"/>
      <c r="K29" s="912"/>
      <c r="L29" s="912"/>
      <c r="M29" s="912"/>
    </row>
    <row r="30" spans="1:22" ht="60" customHeight="1">
      <c r="C30" s="543"/>
    </row>
    <row r="31" spans="1:22" ht="60" customHeight="1">
      <c r="B31" s="545"/>
      <c r="C31" s="543"/>
      <c r="D31" s="913"/>
      <c r="E31" s="913"/>
      <c r="F31" s="913"/>
      <c r="G31" s="913"/>
      <c r="H31" s="913"/>
      <c r="I31" s="913"/>
      <c r="J31" s="913"/>
      <c r="K31" s="913"/>
      <c r="L31" s="913"/>
      <c r="M31" s="913"/>
    </row>
    <row r="32" spans="1:22" ht="15" customHeight="1">
      <c r="O32" s="374" t="s">
        <v>59</v>
      </c>
      <c r="R32" s="544">
        <v>4.5</v>
      </c>
    </row>
    <row r="33" spans="15:18" ht="15" customHeight="1">
      <c r="O33" s="374" t="s">
        <v>60</v>
      </c>
      <c r="R33" s="544">
        <v>2</v>
      </c>
    </row>
    <row r="34" spans="15:18" ht="15" customHeight="1">
      <c r="O34" s="374" t="s">
        <v>61</v>
      </c>
      <c r="R34" s="544">
        <v>3</v>
      </c>
    </row>
    <row r="35" spans="15:18" ht="15" customHeight="1">
      <c r="O35" s="374" t="s">
        <v>62</v>
      </c>
      <c r="R35" s="544">
        <v>2</v>
      </c>
    </row>
    <row r="36" spans="15:18" ht="15" customHeight="1">
      <c r="O36" s="374" t="s">
        <v>63</v>
      </c>
      <c r="R36" s="544">
        <v>3.8</v>
      </c>
    </row>
  </sheetData>
  <mergeCells count="4">
    <mergeCell ref="D27:M27"/>
    <mergeCell ref="D28:M28"/>
    <mergeCell ref="D29:M29"/>
    <mergeCell ref="D31:M31"/>
  </mergeCells>
  <hyperlinks>
    <hyperlink ref="B16" r:id="rId1" xr:uid="{C172EB06-BE51-4556-8FE8-AE113997BE07}"/>
    <hyperlink ref="B12" r:id="rId2" xr:uid="{1998E36E-4782-4A26-B9D0-28FFA6A262D5}"/>
    <hyperlink ref="B14" r:id="rId3" xr:uid="{C1BB9B1C-EC24-4629-A198-5FFEDA50EE30}"/>
  </hyperlinks>
  <pageMargins left="0.7" right="0.7" top="0.75" bottom="0.75" header="0.3" footer="0.3"/>
  <pageSetup paperSize="9" orientation="portrait" r:id="rId4"/>
  <drawing r:id="rId5"/>
  <extLst>
    <ext xmlns:x14="http://schemas.microsoft.com/office/spreadsheetml/2009/9/main" uri="{05C60535-1F16-4fd2-B633-F4F36F0B64E0}">
      <x14:sparklineGroups xmlns:xm="http://schemas.microsoft.com/office/excel/2006/main">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A68" zoomScale="59" zoomScaleNormal="100" workbookViewId="0">
      <selection activeCell="I39" sqref="I39:I40"/>
    </sheetView>
  </sheetViews>
  <sheetFormatPr defaultColWidth="7.625" defaultRowHeight="15" customHeight="1"/>
  <cols>
    <col min="1" max="1" width="2" style="376" customWidth="1"/>
    <col min="2" max="2" width="29.625" style="376" customWidth="1"/>
    <col min="3" max="3" width="17.5" style="376" customWidth="1"/>
    <col min="4" max="4" width="9.125" style="376" customWidth="1"/>
    <col min="5" max="5" width="9.125" style="377" customWidth="1"/>
    <col min="6" max="6" width="1.625" style="376" customWidth="1"/>
    <col min="7" max="7" width="24.125" style="376" customWidth="1"/>
    <col min="8" max="8" width="11" style="376" customWidth="1"/>
    <col min="9" max="9" width="25" style="376" customWidth="1"/>
    <col min="10" max="10" width="34.625" style="376" customWidth="1"/>
    <col min="11" max="11" width="75.5" style="376" customWidth="1"/>
    <col min="12" max="16384" width="7.625" style="376"/>
  </cols>
  <sheetData>
    <row r="1" spans="1:11" s="587" customFormat="1" ht="15" customHeight="1">
      <c r="A1" s="586"/>
      <c r="E1" s="586"/>
    </row>
    <row r="2" spans="1:11" s="587" customFormat="1" ht="15" customHeight="1">
      <c r="E2" s="586"/>
    </row>
    <row r="3" spans="1:11" s="587" customFormat="1" ht="15" customHeight="1">
      <c r="E3" s="586"/>
    </row>
    <row r="4" spans="1:11" s="587" customFormat="1" ht="15" customHeight="1">
      <c r="E4" s="586"/>
    </row>
    <row r="5" spans="1:11" s="391" customFormat="1" ht="3.95" customHeight="1">
      <c r="E5" s="392"/>
    </row>
    <row r="7" spans="1:11" s="96" customFormat="1" ht="15" customHeight="1">
      <c r="A7" s="379" t="s">
        <v>39</v>
      </c>
      <c r="B7" s="380" t="s">
        <v>64</v>
      </c>
      <c r="C7" s="380"/>
      <c r="D7" s="380"/>
      <c r="E7" s="32"/>
      <c r="F7" s="336"/>
      <c r="G7" s="336"/>
      <c r="H7" s="336"/>
      <c r="I7" s="32"/>
      <c r="J7" s="336"/>
      <c r="K7" s="336"/>
    </row>
    <row r="8" spans="1:11" s="96" customFormat="1" ht="15" customHeight="1">
      <c r="B8" s="381"/>
      <c r="C8" s="381"/>
      <c r="D8" s="381"/>
      <c r="E8" s="32"/>
      <c r="F8" s="382"/>
      <c r="G8" s="382"/>
      <c r="H8" s="382"/>
      <c r="I8" s="383"/>
      <c r="J8" s="382"/>
      <c r="K8" s="382"/>
    </row>
    <row r="9" spans="1:11" s="96" customFormat="1" ht="14.25" customHeight="1">
      <c r="B9" s="381"/>
      <c r="C9" s="381"/>
      <c r="D9" s="381"/>
      <c r="E9" s="32"/>
      <c r="F9" s="384"/>
      <c r="G9" s="384"/>
      <c r="H9" s="384"/>
      <c r="I9" s="382"/>
      <c r="J9" s="384"/>
      <c r="K9" s="384"/>
    </row>
    <row r="10" spans="1:11" s="96" customFormat="1" ht="3.95" customHeight="1">
      <c r="A10" s="55"/>
      <c r="B10" s="385"/>
      <c r="C10" s="385"/>
      <c r="D10" s="385"/>
      <c r="E10" s="386"/>
      <c r="F10" s="387"/>
      <c r="G10" s="387"/>
      <c r="H10" s="387"/>
      <c r="I10" s="388"/>
      <c r="J10" s="387"/>
      <c r="K10" s="387"/>
    </row>
    <row r="11" spans="1:11" s="23" customFormat="1" ht="15" customHeight="1"/>
    <row r="12" spans="1:11" s="23" customFormat="1" ht="15" customHeight="1">
      <c r="B12" s="371" t="s">
        <v>65</v>
      </c>
      <c r="C12" s="371"/>
      <c r="D12" s="371"/>
      <c r="E12" s="389"/>
      <c r="F12" s="390"/>
      <c r="G12" s="380" t="s">
        <v>66</v>
      </c>
      <c r="H12" s="381"/>
      <c r="I12" s="380"/>
      <c r="J12" s="381"/>
      <c r="K12" s="381"/>
    </row>
    <row r="13" spans="1:11" s="23" customFormat="1" ht="3.95" customHeight="1">
      <c r="B13" s="391"/>
      <c r="C13" s="391"/>
      <c r="D13" s="391"/>
      <c r="E13" s="392"/>
      <c r="F13" s="337"/>
      <c r="G13" s="385"/>
      <c r="H13" s="385"/>
      <c r="I13" s="385"/>
      <c r="J13" s="385"/>
      <c r="K13" s="385"/>
    </row>
    <row r="14" spans="1:11" s="23" customFormat="1" ht="3.95" customHeight="1">
      <c r="B14" s="376"/>
      <c r="C14" s="376"/>
      <c r="D14" s="376"/>
      <c r="E14" s="377"/>
      <c r="F14" s="337"/>
      <c r="G14" s="337"/>
      <c r="H14" s="337"/>
      <c r="I14" s="337"/>
      <c r="J14" s="337"/>
    </row>
    <row r="15" spans="1:11" ht="15" customHeight="1">
      <c r="B15" s="372" t="s">
        <v>67</v>
      </c>
      <c r="C15" s="372"/>
      <c r="D15" s="930"/>
      <c r="E15" s="930"/>
      <c r="H15" s="531"/>
      <c r="I15" s="531"/>
      <c r="J15" s="531"/>
    </row>
    <row r="16" spans="1:11" ht="15" customHeight="1">
      <c r="B16" s="398" t="s">
        <v>68</v>
      </c>
      <c r="C16" s="374"/>
      <c r="D16" s="830"/>
      <c r="E16" s="830"/>
      <c r="G16" s="372"/>
      <c r="H16" s="941"/>
      <c r="I16" s="941"/>
      <c r="J16" s="941"/>
    </row>
    <row r="17" spans="2:11" ht="15" customHeight="1">
      <c r="B17" s="398" t="s">
        <v>69</v>
      </c>
      <c r="C17" s="374"/>
      <c r="D17" s="829"/>
      <c r="E17" s="829"/>
      <c r="H17" s="941"/>
      <c r="I17" s="941"/>
      <c r="J17" s="941"/>
      <c r="K17" s="373"/>
    </row>
    <row r="18" spans="2:11" ht="15" customHeight="1">
      <c r="B18" s="398" t="s">
        <v>70</v>
      </c>
      <c r="C18" s="374"/>
      <c r="D18" s="828"/>
      <c r="E18" s="828"/>
      <c r="G18" s="372"/>
      <c r="H18" s="941"/>
      <c r="I18" s="941"/>
      <c r="J18" s="941"/>
      <c r="K18" s="373"/>
    </row>
    <row r="19" spans="2:11" ht="15" customHeight="1">
      <c r="H19" s="941"/>
      <c r="I19" s="941"/>
      <c r="J19" s="941"/>
      <c r="K19" s="373"/>
    </row>
    <row r="20" spans="2:11" ht="15" customHeight="1">
      <c r="B20" s="372" t="s">
        <v>71</v>
      </c>
      <c r="C20" s="372"/>
      <c r="D20" s="929">
        <v>29</v>
      </c>
      <c r="E20" s="929"/>
      <c r="G20" s="372"/>
      <c r="H20" s="941"/>
      <c r="I20" s="941"/>
      <c r="J20" s="941"/>
      <c r="K20" s="373"/>
    </row>
    <row r="21" spans="2:11" ht="15" customHeight="1">
      <c r="B21" s="398"/>
      <c r="C21" s="374"/>
      <c r="D21" s="931"/>
      <c r="E21" s="931"/>
      <c r="H21" s="941"/>
      <c r="I21" s="941"/>
      <c r="J21" s="941"/>
      <c r="K21" s="373"/>
    </row>
    <row r="22" spans="2:11" ht="15" customHeight="1">
      <c r="B22" s="398"/>
      <c r="C22" s="374"/>
      <c r="D22" s="931"/>
      <c r="E22" s="931"/>
      <c r="G22" s="372"/>
      <c r="H22" s="941"/>
      <c r="I22" s="941"/>
      <c r="J22" s="941"/>
      <c r="K22" s="373"/>
    </row>
    <row r="23" spans="2:11" ht="15" customHeight="1">
      <c r="B23" s="372"/>
      <c r="C23" s="372"/>
      <c r="D23" s="928"/>
      <c r="E23" s="928"/>
      <c r="H23" s="941"/>
      <c r="I23" s="941"/>
      <c r="J23" s="941"/>
      <c r="K23" s="373"/>
    </row>
    <row r="24" spans="2:11" ht="15" customHeight="1">
      <c r="B24" s="372"/>
      <c r="C24" s="372"/>
      <c r="D24" s="928"/>
      <c r="E24" s="928"/>
    </row>
    <row r="25" spans="2:11" ht="15" customHeight="1">
      <c r="B25" s="398"/>
      <c r="C25" s="374"/>
      <c r="D25" s="931"/>
      <c r="E25" s="931"/>
      <c r="G25" s="33"/>
      <c r="H25" s="33"/>
      <c r="I25" s="33"/>
      <c r="K25" s="33"/>
    </row>
    <row r="26" spans="2:11" ht="15" customHeight="1">
      <c r="B26" s="398"/>
      <c r="C26" s="374"/>
      <c r="D26" s="931"/>
      <c r="E26" s="931"/>
      <c r="G26" s="372"/>
      <c r="H26" s="941"/>
      <c r="I26" s="941"/>
      <c r="J26" s="941"/>
      <c r="K26" s="372"/>
    </row>
    <row r="27" spans="2:11" ht="15" customHeight="1">
      <c r="B27" s="372"/>
      <c r="C27" s="372"/>
      <c r="D27" s="928"/>
      <c r="E27" s="928"/>
      <c r="H27" s="941"/>
      <c r="I27" s="941"/>
      <c r="J27" s="941"/>
      <c r="K27" s="531"/>
    </row>
    <row r="28" spans="2:11" ht="15" customHeight="1">
      <c r="E28" s="376"/>
      <c r="G28" s="372"/>
      <c r="H28" s="941"/>
      <c r="I28" s="941"/>
      <c r="J28" s="941"/>
      <c r="K28" s="531"/>
    </row>
    <row r="29" spans="2:11" ht="15" customHeight="1">
      <c r="E29" s="376"/>
      <c r="H29" s="941"/>
      <c r="I29" s="941"/>
      <c r="J29" s="941"/>
      <c r="K29" s="531"/>
    </row>
    <row r="30" spans="2:11" ht="15" customHeight="1">
      <c r="B30" s="371" t="s">
        <v>72</v>
      </c>
      <c r="C30" s="371"/>
      <c r="D30" s="371"/>
      <c r="E30" s="371"/>
      <c r="G30" s="371" t="s">
        <v>73</v>
      </c>
      <c r="H30" s="371"/>
      <c r="I30" s="371"/>
      <c r="J30" s="371"/>
      <c r="K30" s="371"/>
    </row>
    <row r="31" spans="2:11" s="23" customFormat="1" ht="3.95" customHeight="1">
      <c r="B31" s="36"/>
      <c r="C31" s="36"/>
      <c r="D31" s="36"/>
      <c r="E31" s="36"/>
      <c r="F31" s="376"/>
      <c r="G31" s="36"/>
      <c r="H31" s="36"/>
      <c r="I31" s="36"/>
      <c r="J31" s="36"/>
      <c r="K31" s="36"/>
    </row>
    <row r="32" spans="2:11" ht="15" customHeight="1" thickBot="1">
      <c r="B32" s="393"/>
      <c r="C32" s="393"/>
      <c r="D32" s="393"/>
      <c r="E32" s="393"/>
      <c r="G32" s="393"/>
      <c r="H32" s="394" t="s">
        <v>74</v>
      </c>
      <c r="I32" s="394" t="s">
        <v>75</v>
      </c>
      <c r="J32" s="394" t="s">
        <v>76</v>
      </c>
      <c r="K32" s="394" t="s">
        <v>77</v>
      </c>
    </row>
    <row r="33" spans="2:11" ht="15" customHeight="1">
      <c r="B33" s="400" t="s">
        <v>78</v>
      </c>
      <c r="C33" s="914" t="s">
        <v>79</v>
      </c>
      <c r="D33" s="914"/>
      <c r="E33" s="914"/>
      <c r="G33" s="937" t="s">
        <v>80</v>
      </c>
      <c r="H33" s="940"/>
      <c r="I33" s="934" t="s">
        <v>81</v>
      </c>
      <c r="J33" s="933" t="s">
        <v>82</v>
      </c>
      <c r="K33" s="933" t="s">
        <v>83</v>
      </c>
    </row>
    <row r="34" spans="2:11" ht="15" customHeight="1">
      <c r="B34" s="400" t="s">
        <v>84</v>
      </c>
      <c r="C34" s="914" t="s">
        <v>85</v>
      </c>
      <c r="D34" s="914"/>
      <c r="E34" s="914"/>
      <c r="G34" s="937"/>
      <c r="H34" s="940"/>
      <c r="I34" s="934"/>
      <c r="J34" s="933"/>
      <c r="K34" s="933"/>
    </row>
    <row r="35" spans="2:11" ht="15" customHeight="1">
      <c r="B35" s="400" t="s">
        <v>86</v>
      </c>
      <c r="C35" s="914" t="s">
        <v>85</v>
      </c>
      <c r="D35" s="914"/>
      <c r="E35" s="914"/>
      <c r="G35" s="937" t="s">
        <v>87</v>
      </c>
      <c r="H35" s="935"/>
      <c r="I35" s="934" t="s">
        <v>88</v>
      </c>
      <c r="J35" s="933" t="s">
        <v>89</v>
      </c>
      <c r="K35" s="933" t="s">
        <v>90</v>
      </c>
    </row>
    <row r="36" spans="2:11" ht="15" customHeight="1">
      <c r="B36" s="400" t="s">
        <v>91</v>
      </c>
      <c r="C36" s="914" t="s">
        <v>92</v>
      </c>
      <c r="D36" s="914"/>
      <c r="E36" s="914"/>
      <c r="G36" s="937"/>
      <c r="H36" s="935"/>
      <c r="I36" s="934"/>
      <c r="J36" s="933"/>
      <c r="K36" s="933"/>
    </row>
    <row r="37" spans="2:11" ht="15" customHeight="1">
      <c r="C37" s="932"/>
      <c r="D37" s="932"/>
      <c r="E37" s="932"/>
      <c r="G37" s="937" t="s">
        <v>93</v>
      </c>
      <c r="H37" s="940"/>
      <c r="I37" s="934" t="s">
        <v>94</v>
      </c>
      <c r="J37" s="933" t="s">
        <v>95</v>
      </c>
      <c r="K37" s="933" t="s">
        <v>96</v>
      </c>
    </row>
    <row r="38" spans="2:11" ht="15" customHeight="1">
      <c r="B38" s="400" t="s">
        <v>97</v>
      </c>
      <c r="C38" s="914" t="s">
        <v>98</v>
      </c>
      <c r="D38" s="914"/>
      <c r="E38" s="914"/>
      <c r="G38" s="937"/>
      <c r="H38" s="940"/>
      <c r="I38" s="934"/>
      <c r="J38" s="933"/>
      <c r="K38" s="933"/>
    </row>
    <row r="39" spans="2:11" ht="15" customHeight="1">
      <c r="B39" s="400" t="s">
        <v>99</v>
      </c>
      <c r="C39" s="936"/>
      <c r="D39" s="914"/>
      <c r="E39" s="914"/>
      <c r="G39" s="937" t="s">
        <v>100</v>
      </c>
      <c r="H39" s="940"/>
      <c r="I39" s="934" t="s">
        <v>101</v>
      </c>
      <c r="J39" s="933" t="s">
        <v>102</v>
      </c>
      <c r="K39" s="933" t="s">
        <v>103</v>
      </c>
    </row>
    <row r="40" spans="2:11" ht="15" customHeight="1">
      <c r="C40" s="402"/>
      <c r="D40" s="533"/>
      <c r="E40" s="533"/>
      <c r="G40" s="937"/>
      <c r="H40" s="940"/>
      <c r="I40" s="934"/>
      <c r="J40" s="933"/>
      <c r="K40" s="933"/>
    </row>
    <row r="41" spans="2:11" ht="15" customHeight="1">
      <c r="B41" s="372" t="s">
        <v>104</v>
      </c>
      <c r="C41" s="914"/>
      <c r="D41" s="914"/>
      <c r="E41" s="914"/>
      <c r="G41" s="943"/>
      <c r="H41" s="942"/>
      <c r="I41" s="934"/>
      <c r="J41" s="933"/>
      <c r="K41" s="933"/>
    </row>
    <row r="42" spans="2:11" ht="15" customHeight="1">
      <c r="B42" s="372" t="s">
        <v>105</v>
      </c>
      <c r="C42" s="914"/>
      <c r="D42" s="914"/>
      <c r="E42" s="914"/>
      <c r="G42" s="943"/>
      <c r="H42" s="942"/>
      <c r="I42" s="934"/>
      <c r="J42" s="933"/>
      <c r="K42" s="933"/>
    </row>
    <row r="43" spans="2:11" ht="15" customHeight="1">
      <c r="C43" s="401"/>
      <c r="D43" s="401"/>
      <c r="E43" s="401"/>
      <c r="G43" s="375"/>
      <c r="H43" s="395"/>
      <c r="I43" s="396"/>
      <c r="J43" s="397"/>
      <c r="K43" s="397"/>
    </row>
    <row r="44" spans="2:11" ht="15" customHeight="1">
      <c r="B44" s="371" t="s">
        <v>106</v>
      </c>
      <c r="C44" s="371"/>
      <c r="D44" s="371"/>
      <c r="E44" s="371"/>
      <c r="G44" s="371" t="s">
        <v>107</v>
      </c>
      <c r="H44" s="371"/>
      <c r="I44" s="371"/>
      <c r="J44" s="371"/>
      <c r="K44" s="371"/>
    </row>
    <row r="45" spans="2:11" s="23" customFormat="1" ht="3.95" customHeight="1">
      <c r="B45" s="36"/>
      <c r="C45" s="36"/>
      <c r="D45" s="36"/>
      <c r="E45" s="36"/>
      <c r="F45" s="376"/>
      <c r="G45" s="36"/>
      <c r="H45" s="36"/>
      <c r="I45" s="36"/>
      <c r="J45" s="36"/>
      <c r="K45" s="36"/>
    </row>
    <row r="46" spans="2:11" ht="15" customHeight="1" thickBot="1">
      <c r="B46" s="376" t="s">
        <v>108</v>
      </c>
      <c r="E46" s="376"/>
      <c r="G46" s="393"/>
      <c r="H46" s="394" t="s">
        <v>74</v>
      </c>
      <c r="I46" s="394" t="s">
        <v>75</v>
      </c>
      <c r="J46" s="394" t="s">
        <v>76</v>
      </c>
      <c r="K46" s="394" t="s">
        <v>77</v>
      </c>
    </row>
    <row r="47" spans="2:11" ht="15" customHeight="1">
      <c r="B47" s="919" t="s">
        <v>109</v>
      </c>
      <c r="C47" s="920"/>
      <c r="D47" s="920"/>
      <c r="E47" s="921"/>
      <c r="G47" s="937" t="s">
        <v>110</v>
      </c>
      <c r="H47" s="939"/>
      <c r="I47" s="934" t="s">
        <v>82</v>
      </c>
      <c r="J47" s="933" t="s">
        <v>111</v>
      </c>
      <c r="K47" s="933" t="s">
        <v>112</v>
      </c>
    </row>
    <row r="48" spans="2:11" ht="15" customHeight="1">
      <c r="B48" s="922" t="s">
        <v>113</v>
      </c>
      <c r="C48" s="923"/>
      <c r="D48" s="923"/>
      <c r="E48" s="924"/>
      <c r="G48" s="937"/>
      <c r="H48" s="939"/>
      <c r="I48" s="934"/>
      <c r="J48" s="933"/>
      <c r="K48" s="933"/>
    </row>
    <row r="49" spans="2:11" ht="60" customHeight="1">
      <c r="B49" s="925" t="s">
        <v>114</v>
      </c>
      <c r="C49" s="923"/>
      <c r="D49" s="923"/>
      <c r="E49" s="924"/>
      <c r="G49" s="937" t="s">
        <v>115</v>
      </c>
      <c r="H49" s="935"/>
      <c r="I49" s="934" t="s">
        <v>116</v>
      </c>
      <c r="J49" s="933" t="s">
        <v>117</v>
      </c>
      <c r="K49" s="933" t="s">
        <v>118</v>
      </c>
    </row>
    <row r="50" spans="2:11" ht="15" customHeight="1">
      <c r="B50" s="916"/>
      <c r="C50" s="916"/>
      <c r="D50" s="916"/>
      <c r="E50" s="916"/>
      <c r="G50" s="937"/>
      <c r="H50" s="935"/>
      <c r="I50" s="934"/>
      <c r="J50" s="933"/>
      <c r="K50" s="933"/>
    </row>
    <row r="51" spans="2:11" ht="15" customHeight="1">
      <c r="B51" s="916"/>
      <c r="C51" s="916"/>
      <c r="D51" s="916"/>
      <c r="E51" s="916"/>
      <c r="G51" s="937" t="s">
        <v>119</v>
      </c>
      <c r="H51" s="935"/>
      <c r="I51" s="934" t="s">
        <v>120</v>
      </c>
      <c r="J51" s="933" t="s">
        <v>121</v>
      </c>
      <c r="K51" s="933" t="s">
        <v>122</v>
      </c>
    </row>
    <row r="52" spans="2:11" ht="15" customHeight="1">
      <c r="B52" s="916"/>
      <c r="C52" s="916"/>
      <c r="D52" s="916"/>
      <c r="E52" s="916"/>
      <c r="G52" s="937"/>
      <c r="H52" s="935"/>
      <c r="I52" s="934"/>
      <c r="J52" s="933"/>
      <c r="K52" s="933"/>
    </row>
    <row r="53" spans="2:11" ht="15" customHeight="1">
      <c r="B53" s="926"/>
      <c r="C53" s="927"/>
      <c r="D53" s="927"/>
      <c r="E53" s="927"/>
      <c r="G53" s="937" t="s">
        <v>123</v>
      </c>
      <c r="H53" s="940"/>
      <c r="I53" s="934" t="s">
        <v>124</v>
      </c>
      <c r="J53" s="933" t="s">
        <v>125</v>
      </c>
      <c r="K53" s="933" t="s">
        <v>126</v>
      </c>
    </row>
    <row r="54" spans="2:11" ht="15" customHeight="1">
      <c r="B54" s="927"/>
      <c r="C54" s="927"/>
      <c r="D54" s="927"/>
      <c r="E54" s="927"/>
      <c r="G54" s="937"/>
      <c r="H54" s="940"/>
      <c r="I54" s="934"/>
      <c r="J54" s="933"/>
      <c r="K54" s="933"/>
    </row>
    <row r="55" spans="2:11" ht="15" customHeight="1">
      <c r="B55" s="927"/>
      <c r="C55" s="927"/>
      <c r="D55" s="927"/>
      <c r="E55" s="927"/>
      <c r="G55" s="937" t="s">
        <v>127</v>
      </c>
      <c r="H55" s="935"/>
      <c r="I55" s="934" t="s">
        <v>120</v>
      </c>
      <c r="J55" s="933" t="s">
        <v>128</v>
      </c>
      <c r="K55" s="933" t="s">
        <v>129</v>
      </c>
    </row>
    <row r="56" spans="2:11" ht="15" customHeight="1">
      <c r="B56" s="927"/>
      <c r="C56" s="927"/>
      <c r="D56" s="927"/>
      <c r="E56" s="927"/>
      <c r="G56" s="937"/>
      <c r="H56" s="935"/>
      <c r="I56" s="934"/>
      <c r="J56" s="933"/>
      <c r="K56" s="933"/>
    </row>
    <row r="57" spans="2:11" ht="27" customHeight="1">
      <c r="B57" s="927"/>
      <c r="C57" s="927"/>
      <c r="D57" s="927"/>
      <c r="E57" s="927"/>
      <c r="G57" s="937" t="s">
        <v>130</v>
      </c>
      <c r="H57" s="940"/>
      <c r="I57" s="934" t="s">
        <v>120</v>
      </c>
      <c r="J57" s="933" t="s">
        <v>82</v>
      </c>
      <c r="K57" s="933" t="s">
        <v>131</v>
      </c>
    </row>
    <row r="58" spans="2:11" ht="19.5" customHeight="1">
      <c r="G58" s="937"/>
      <c r="H58" s="940"/>
      <c r="I58" s="934"/>
      <c r="J58" s="933"/>
      <c r="K58" s="933"/>
    </row>
    <row r="59" spans="2:11" ht="33.75" customHeight="1">
      <c r="G59" s="937" t="s">
        <v>132</v>
      </c>
      <c r="H59" s="935"/>
      <c r="I59" s="934" t="s">
        <v>120</v>
      </c>
      <c r="J59" s="933" t="s">
        <v>82</v>
      </c>
      <c r="K59" s="933" t="s">
        <v>133</v>
      </c>
    </row>
    <row r="60" spans="2:11" ht="15" customHeight="1">
      <c r="G60" s="937"/>
      <c r="H60" s="935"/>
      <c r="I60" s="934"/>
      <c r="J60" s="933"/>
      <c r="K60" s="933"/>
    </row>
    <row r="61" spans="2:11" ht="36" customHeight="1">
      <c r="G61" s="937" t="s">
        <v>134</v>
      </c>
      <c r="H61" s="935"/>
      <c r="I61" s="934" t="s">
        <v>135</v>
      </c>
      <c r="J61" s="933" t="s">
        <v>82</v>
      </c>
      <c r="K61" s="933" t="s">
        <v>136</v>
      </c>
    </row>
    <row r="62" spans="2:11" ht="15" customHeight="1">
      <c r="G62" s="937"/>
      <c r="H62" s="935"/>
      <c r="I62" s="934"/>
      <c r="J62" s="933"/>
      <c r="K62" s="933"/>
    </row>
    <row r="63" spans="2:11" ht="34.5" customHeight="1">
      <c r="B63" s="916"/>
      <c r="C63" s="916"/>
      <c r="D63" s="916"/>
      <c r="E63" s="916"/>
      <c r="G63" s="937" t="s">
        <v>137</v>
      </c>
      <c r="H63" s="935"/>
      <c r="I63" s="934" t="s">
        <v>138</v>
      </c>
      <c r="J63" s="933" t="s">
        <v>139</v>
      </c>
      <c r="K63" s="933" t="s">
        <v>140</v>
      </c>
    </row>
    <row r="64" spans="2:11" ht="15" customHeight="1">
      <c r="B64" s="916"/>
      <c r="C64" s="916"/>
      <c r="D64" s="916"/>
      <c r="E64" s="916"/>
      <c r="G64" s="937"/>
      <c r="H64" s="935"/>
      <c r="I64" s="934"/>
      <c r="J64" s="933"/>
      <c r="K64" s="933"/>
    </row>
    <row r="65" spans="2:11" ht="15" customHeight="1">
      <c r="B65" s="916"/>
      <c r="C65" s="916"/>
      <c r="D65" s="916"/>
      <c r="E65" s="916"/>
      <c r="G65" s="937" t="s">
        <v>141</v>
      </c>
      <c r="H65" s="940"/>
      <c r="I65" s="934" t="s">
        <v>120</v>
      </c>
      <c r="J65" s="933" t="s">
        <v>82</v>
      </c>
      <c r="K65" s="933" t="s">
        <v>142</v>
      </c>
    </row>
    <row r="66" spans="2:11" ht="15" customHeight="1">
      <c r="B66" s="916"/>
      <c r="C66" s="916"/>
      <c r="D66" s="916"/>
      <c r="E66" s="916"/>
      <c r="G66" s="937"/>
      <c r="H66" s="940"/>
      <c r="I66" s="934"/>
      <c r="J66" s="933"/>
      <c r="K66" s="933"/>
    </row>
    <row r="67" spans="2:11" ht="15" customHeight="1">
      <c r="B67" s="916"/>
      <c r="C67" s="916"/>
      <c r="D67" s="916"/>
      <c r="E67" s="916"/>
      <c r="G67" s="937" t="s">
        <v>143</v>
      </c>
      <c r="H67" s="940"/>
      <c r="I67" s="934" t="s">
        <v>144</v>
      </c>
      <c r="J67" s="933" t="s">
        <v>82</v>
      </c>
      <c r="K67" s="933" t="s">
        <v>145</v>
      </c>
    </row>
    <row r="68" spans="2:11" ht="15" customHeight="1">
      <c r="B68" s="916"/>
      <c r="C68" s="916"/>
      <c r="D68" s="916"/>
      <c r="E68" s="916"/>
      <c r="G68" s="937"/>
      <c r="H68" s="940"/>
      <c r="I68" s="934"/>
      <c r="J68" s="933"/>
      <c r="K68" s="933"/>
    </row>
    <row r="69" spans="2:11" ht="15" customHeight="1">
      <c r="G69" s="375"/>
      <c r="H69" s="395"/>
      <c r="I69" s="396"/>
      <c r="J69" s="397"/>
      <c r="K69" s="397"/>
    </row>
    <row r="70" spans="2:11" ht="15" customHeight="1">
      <c r="B70" s="380" t="s">
        <v>146</v>
      </c>
      <c r="C70" s="380"/>
      <c r="D70" s="380"/>
      <c r="E70" s="381"/>
      <c r="G70" s="371" t="s">
        <v>147</v>
      </c>
      <c r="H70" s="371"/>
      <c r="I70" s="371"/>
      <c r="J70" s="371"/>
      <c r="K70" s="371"/>
    </row>
    <row r="71" spans="2:11" s="23" customFormat="1" ht="3.95" customHeight="1">
      <c r="B71" s="385"/>
      <c r="C71" s="385"/>
      <c r="D71" s="385"/>
      <c r="E71" s="385"/>
      <c r="F71" s="376"/>
      <c r="G71" s="36"/>
      <c r="H71" s="36"/>
      <c r="I71" s="36"/>
      <c r="J71" s="36"/>
      <c r="K71" s="36"/>
    </row>
    <row r="72" spans="2:11" ht="15" customHeight="1" thickBot="1">
      <c r="B72" s="394" t="s">
        <v>148</v>
      </c>
      <c r="C72" s="399" t="s">
        <v>149</v>
      </c>
      <c r="D72" s="399"/>
      <c r="E72" s="399" t="s">
        <v>150</v>
      </c>
      <c r="G72" s="393"/>
      <c r="H72" s="394" t="s">
        <v>74</v>
      </c>
      <c r="I72" s="394" t="s">
        <v>75</v>
      </c>
      <c r="J72" s="394" t="s">
        <v>76</v>
      </c>
      <c r="K72" s="394" t="s">
        <v>77</v>
      </c>
    </row>
    <row r="73" spans="2:11" ht="15" customHeight="1">
      <c r="B73" s="376" t="s">
        <v>151</v>
      </c>
      <c r="C73" s="917" t="s">
        <v>152</v>
      </c>
      <c r="D73" s="917"/>
      <c r="E73" s="376" t="s">
        <v>153</v>
      </c>
      <c r="G73" s="937" t="s">
        <v>154</v>
      </c>
      <c r="H73" s="945"/>
      <c r="I73" s="934" t="s">
        <v>120</v>
      </c>
      <c r="J73" s="933" t="s">
        <v>155</v>
      </c>
      <c r="K73" s="933" t="s">
        <v>156</v>
      </c>
    </row>
    <row r="74" spans="2:11" ht="15" customHeight="1">
      <c r="B74" s="376" t="s">
        <v>157</v>
      </c>
      <c r="C74" s="915" t="s">
        <v>158</v>
      </c>
      <c r="D74" s="915"/>
      <c r="E74" s="376" t="s">
        <v>159</v>
      </c>
      <c r="G74" s="937"/>
      <c r="H74" s="945"/>
      <c r="I74" s="934"/>
      <c r="J74" s="933"/>
      <c r="K74" s="933"/>
    </row>
    <row r="75" spans="2:11" ht="15" customHeight="1">
      <c r="B75" s="376" t="s">
        <v>160</v>
      </c>
      <c r="C75" s="915" t="s">
        <v>161</v>
      </c>
      <c r="D75" s="915"/>
      <c r="E75" s="376" t="s">
        <v>162</v>
      </c>
      <c r="G75" s="937" t="s">
        <v>163</v>
      </c>
      <c r="H75" s="946"/>
      <c r="I75" s="938" t="s">
        <v>164</v>
      </c>
      <c r="J75" s="933" t="s">
        <v>82</v>
      </c>
      <c r="K75" s="933" t="s">
        <v>165</v>
      </c>
    </row>
    <row r="76" spans="2:11" ht="15" customHeight="1">
      <c r="B76" s="376" t="s">
        <v>166</v>
      </c>
      <c r="C76" s="915" t="s">
        <v>161</v>
      </c>
      <c r="D76" s="915"/>
      <c r="E76" s="376" t="s">
        <v>167</v>
      </c>
      <c r="G76" s="937"/>
      <c r="H76" s="946"/>
      <c r="I76" s="934"/>
      <c r="J76" s="933"/>
      <c r="K76" s="933"/>
    </row>
    <row r="77" spans="2:11" ht="15" customHeight="1">
      <c r="B77" s="793" t="s">
        <v>168</v>
      </c>
      <c r="C77" s="915" t="s">
        <v>161</v>
      </c>
      <c r="D77" s="915"/>
      <c r="E77" s="793" t="s">
        <v>169</v>
      </c>
      <c r="G77" s="937" t="s">
        <v>170</v>
      </c>
      <c r="H77" s="944"/>
      <c r="I77" s="934" t="s">
        <v>171</v>
      </c>
      <c r="J77" s="933" t="s">
        <v>171</v>
      </c>
      <c r="K77" s="933">
        <f>+AVERAGE(5.2, 1.5, 5.2, 5.2, 5.2)</f>
        <v>4.46</v>
      </c>
    </row>
    <row r="78" spans="2:11" ht="15" customHeight="1">
      <c r="C78" s="915"/>
      <c r="D78" s="915"/>
      <c r="E78" s="376"/>
      <c r="G78" s="937"/>
      <c r="H78" s="944"/>
      <c r="I78" s="934"/>
      <c r="J78" s="933"/>
      <c r="K78" s="933"/>
    </row>
    <row r="79" spans="2:11" ht="15" customHeight="1">
      <c r="B79" s="843" t="s">
        <v>172</v>
      </c>
      <c r="C79" s="918"/>
      <c r="D79" s="918"/>
      <c r="E79" s="587"/>
      <c r="G79" s="937" t="s">
        <v>173</v>
      </c>
      <c r="H79" s="944"/>
      <c r="I79" s="934" t="s">
        <v>82</v>
      </c>
      <c r="J79" s="933" t="s">
        <v>82</v>
      </c>
      <c r="K79" s="933" t="s">
        <v>174</v>
      </c>
    </row>
    <row r="80" spans="2:11" ht="15" customHeight="1">
      <c r="B80" s="846" t="s">
        <v>148</v>
      </c>
      <c r="C80" s="847"/>
      <c r="D80" s="847"/>
      <c r="E80" s="846" t="s">
        <v>175</v>
      </c>
      <c r="G80" s="937"/>
      <c r="H80" s="944"/>
      <c r="I80" s="934"/>
      <c r="J80" s="933"/>
      <c r="K80" s="933"/>
    </row>
    <row r="81" spans="2:11" ht="15" customHeight="1">
      <c r="B81" s="376" t="s">
        <v>176</v>
      </c>
      <c r="C81" s="915"/>
      <c r="D81" s="915"/>
      <c r="E81" s="844">
        <v>0.49</v>
      </c>
      <c r="G81" s="937" t="s">
        <v>177</v>
      </c>
      <c r="H81" s="947"/>
      <c r="I81" s="934" t="s">
        <v>178</v>
      </c>
      <c r="J81" s="933" t="s">
        <v>82</v>
      </c>
      <c r="K81" s="933" t="s">
        <v>179</v>
      </c>
    </row>
    <row r="82" spans="2:11" ht="15" customHeight="1">
      <c r="B82" s="376" t="s">
        <v>180</v>
      </c>
      <c r="C82" s="395"/>
      <c r="D82" s="395"/>
      <c r="E82" s="845">
        <v>0.47299999999999998</v>
      </c>
      <c r="G82" s="937"/>
      <c r="H82" s="947"/>
      <c r="I82" s="934"/>
      <c r="J82" s="933"/>
      <c r="K82" s="933"/>
    </row>
    <row r="83" spans="2:11" ht="15" customHeight="1">
      <c r="B83" s="376" t="s">
        <v>157</v>
      </c>
      <c r="C83" s="395"/>
      <c r="D83" s="395"/>
      <c r="E83" s="845">
        <v>3.4599999999999999E-2</v>
      </c>
      <c r="G83" s="937" t="s">
        <v>181</v>
      </c>
      <c r="H83" s="946"/>
      <c r="I83" s="934"/>
      <c r="J83" s="933"/>
      <c r="K83" s="933" t="s">
        <v>182</v>
      </c>
    </row>
    <row r="84" spans="2:11" ht="15" customHeight="1">
      <c r="B84" s="376" t="s">
        <v>183</v>
      </c>
      <c r="C84" s="395"/>
      <c r="D84" s="395"/>
      <c r="E84" s="845">
        <v>2.3999999999999998E-3</v>
      </c>
      <c r="G84" s="937"/>
      <c r="H84" s="946"/>
      <c r="I84" s="934"/>
      <c r="J84" s="933"/>
      <c r="K84" s="933"/>
    </row>
    <row r="85" spans="2:11" ht="15" customHeight="1">
      <c r="C85" s="915"/>
      <c r="D85" s="915"/>
      <c r="E85" s="376"/>
      <c r="G85" s="937" t="s">
        <v>184</v>
      </c>
      <c r="H85" s="944"/>
      <c r="I85" s="934" t="s">
        <v>82</v>
      </c>
      <c r="J85" s="933" t="s">
        <v>82</v>
      </c>
      <c r="K85" s="933" t="s">
        <v>185</v>
      </c>
    </row>
    <row r="86" spans="2:11" ht="15" customHeight="1">
      <c r="C86" s="915"/>
      <c r="D86" s="915"/>
      <c r="E86" s="376"/>
      <c r="G86" s="937"/>
      <c r="H86" s="944"/>
      <c r="I86" s="934"/>
      <c r="J86" s="933"/>
      <c r="K86" s="933"/>
    </row>
    <row r="87" spans="2:11" ht="15" customHeight="1">
      <c r="C87" s="915"/>
      <c r="D87" s="915"/>
      <c r="E87" s="376"/>
      <c r="G87" s="937" t="s">
        <v>186</v>
      </c>
      <c r="H87" s="944"/>
      <c r="I87" s="934" t="s">
        <v>82</v>
      </c>
      <c r="J87" s="934" t="s">
        <v>82</v>
      </c>
      <c r="K87" s="933" t="s">
        <v>187</v>
      </c>
    </row>
    <row r="88" spans="2:11" ht="15" customHeight="1">
      <c r="C88" s="915"/>
      <c r="D88" s="915"/>
      <c r="E88" s="376"/>
      <c r="G88" s="937"/>
      <c r="H88" s="944"/>
      <c r="I88" s="934"/>
      <c r="J88" s="934"/>
      <c r="K88" s="933"/>
    </row>
    <row r="89" spans="2:11" ht="15" customHeight="1">
      <c r="C89" s="915"/>
      <c r="D89" s="915"/>
      <c r="E89" s="376"/>
      <c r="G89" s="937" t="s">
        <v>188</v>
      </c>
      <c r="H89" s="944"/>
      <c r="I89" s="934" t="s">
        <v>189</v>
      </c>
      <c r="J89" s="933" t="s">
        <v>82</v>
      </c>
      <c r="K89" s="933" t="s">
        <v>190</v>
      </c>
    </row>
    <row r="90" spans="2:11" ht="15" customHeight="1">
      <c r="C90" s="915"/>
      <c r="D90" s="915"/>
      <c r="E90" s="376"/>
      <c r="G90" s="937"/>
      <c r="H90" s="944"/>
      <c r="I90" s="934"/>
      <c r="J90" s="933"/>
      <c r="K90" s="933"/>
    </row>
    <row r="91" spans="2:11" ht="15" customHeight="1">
      <c r="C91" s="915"/>
      <c r="D91" s="915"/>
      <c r="E91" s="376"/>
      <c r="G91" s="937" t="s">
        <v>191</v>
      </c>
      <c r="H91" s="948"/>
      <c r="I91" s="934" t="s">
        <v>82</v>
      </c>
      <c r="J91" s="934" t="s">
        <v>82</v>
      </c>
      <c r="K91" s="933" t="s">
        <v>192</v>
      </c>
    </row>
    <row r="92" spans="2:11" ht="15" customHeight="1">
      <c r="C92" s="915"/>
      <c r="D92" s="915"/>
      <c r="E92" s="376"/>
      <c r="G92" s="937"/>
      <c r="H92" s="948"/>
      <c r="I92" s="934"/>
      <c r="J92" s="934"/>
      <c r="K92" s="933"/>
    </row>
    <row r="93" spans="2:11" ht="15" customHeight="1">
      <c r="C93" s="915"/>
      <c r="D93" s="915"/>
      <c r="E93" s="376"/>
      <c r="G93" s="937" t="s">
        <v>193</v>
      </c>
      <c r="H93" s="946"/>
      <c r="I93" s="934" t="s">
        <v>82</v>
      </c>
      <c r="J93" s="934" t="s">
        <v>82</v>
      </c>
      <c r="K93" s="933" t="s">
        <v>194</v>
      </c>
    </row>
    <row r="94" spans="2:11" ht="15" customHeight="1">
      <c r="G94" s="937"/>
      <c r="H94" s="946"/>
      <c r="I94" s="934"/>
      <c r="J94" s="934"/>
      <c r="K94" s="933"/>
    </row>
  </sheetData>
  <mergeCells count="193">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D27:E27"/>
    <mergeCell ref="D23:E23"/>
    <mergeCell ref="D24:E24"/>
    <mergeCell ref="D20:E20"/>
    <mergeCell ref="D15:E15"/>
    <mergeCell ref="D21:E21"/>
    <mergeCell ref="D22:E22"/>
    <mergeCell ref="D25:E25"/>
    <mergeCell ref="D26:E26"/>
    <mergeCell ref="C90:D90"/>
    <mergeCell ref="C91:D91"/>
    <mergeCell ref="C92:D92"/>
    <mergeCell ref="C93:D93"/>
    <mergeCell ref="B47:E47"/>
    <mergeCell ref="B48:E48"/>
    <mergeCell ref="B49:E49"/>
    <mergeCell ref="B50:E50"/>
    <mergeCell ref="B51:E51"/>
    <mergeCell ref="B52:E52"/>
    <mergeCell ref="B53:E53"/>
    <mergeCell ref="B54:E54"/>
    <mergeCell ref="B55:E55"/>
    <mergeCell ref="B56:E56"/>
    <mergeCell ref="B57:E57"/>
    <mergeCell ref="B63:E63"/>
    <mergeCell ref="B64:E64"/>
    <mergeCell ref="C42:E42"/>
    <mergeCell ref="C89:D89"/>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1:D81"/>
  </mergeCells>
  <dataValidations disablePrompts="1"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60"/>
  <sheetViews>
    <sheetView showGridLines="0" topLeftCell="A4" zoomScaleNormal="100" workbookViewId="0">
      <selection activeCell="BA14" sqref="BA14"/>
    </sheetView>
  </sheetViews>
  <sheetFormatPr defaultColWidth="9" defaultRowHeight="15" customHeight="1" outlineLevelCol="1"/>
  <cols>
    <col min="1" max="1" width="2.125" style="96" customWidth="1"/>
    <col min="2" max="2" width="21.375" style="96" customWidth="1"/>
    <col min="3" max="3" width="3.375" style="23" customWidth="1"/>
    <col min="4" max="7" width="9.625" style="96" hidden="1" customWidth="1" outlineLevel="1"/>
    <col min="8" max="8" width="11.625" style="96" customWidth="1" collapsed="1"/>
    <col min="9" max="9" width="1.625" style="23" customWidth="1"/>
    <col min="10" max="13" width="9.625" style="96" hidden="1" customWidth="1" outlineLevel="1"/>
    <col min="14" max="14" width="11.625" style="96" customWidth="1" collapsed="1"/>
    <col min="15" max="15" width="1.625" style="23" customWidth="1"/>
    <col min="16" max="19" width="9.625" style="96" hidden="1" customWidth="1" outlineLevel="1"/>
    <col min="20" max="20" width="11.625" style="96" customWidth="1" collapsed="1"/>
    <col min="21" max="21" width="1.625" style="23" customWidth="1"/>
    <col min="22" max="25" width="9.625" style="96" hidden="1" customWidth="1" outlineLevel="1"/>
    <col min="26" max="26" width="11.625" style="96" customWidth="1" collapsed="1"/>
    <col min="27" max="27" width="1.625" style="23" customWidth="1"/>
    <col min="28" max="31" width="9.625" style="96" hidden="1" customWidth="1" outlineLevel="1"/>
    <col min="32" max="32" width="11.625" style="96" customWidth="1" collapsed="1"/>
    <col min="33" max="33" width="1.625" style="23" customWidth="1"/>
    <col min="34" max="37" width="9.625" style="96" hidden="1" customWidth="1" outlineLevel="1"/>
    <col min="38" max="38" width="11.625" style="96" customWidth="1" collapsed="1"/>
    <col min="39" max="39" width="1.625" style="23" customWidth="1"/>
    <col min="40" max="43" width="9.625" style="96" hidden="1" customWidth="1" outlineLevel="1"/>
    <col min="44" max="44" width="11.625" style="96" customWidth="1" collapsed="1"/>
    <col min="45" max="45" width="1.625" style="23" customWidth="1"/>
    <col min="46" max="46" width="11.625" style="96" customWidth="1"/>
    <col min="47" max="47" width="1.625" style="23" customWidth="1"/>
    <col min="48" max="48" width="11.625" style="103" customWidth="1"/>
    <col min="49" max="49" width="1.625" style="23" customWidth="1"/>
    <col min="50" max="50" width="11.625" style="96" customWidth="1"/>
    <col min="51" max="51" width="1.625" style="96" customWidth="1"/>
    <col min="52" max="52" width="9" style="96"/>
    <col min="53" max="53" width="9" style="96" customWidth="1"/>
    <col min="54" max="16384" width="9" style="96"/>
  </cols>
  <sheetData>
    <row r="1" spans="1:59" s="574" customFormat="1" ht="15" customHeight="1"/>
    <row r="2" spans="1:59" s="574" customFormat="1" ht="15" customHeight="1"/>
    <row r="3" spans="1:59" s="574" customFormat="1" ht="15" customHeight="1"/>
    <row r="4" spans="1:59" s="574" customFormat="1" ht="15" customHeight="1"/>
    <row r="5" spans="1:59" s="286" customFormat="1" ht="3.95" customHeight="1">
      <c r="C5" s="36"/>
      <c r="I5" s="36"/>
      <c r="O5" s="36"/>
      <c r="U5" s="36"/>
      <c r="AA5" s="36"/>
      <c r="AG5" s="36"/>
      <c r="AM5" s="36"/>
      <c r="AS5" s="36"/>
      <c r="AU5" s="36"/>
      <c r="AV5" s="287"/>
      <c r="AW5" s="36"/>
    </row>
    <row r="7" spans="1:59" s="41" customFormat="1" ht="15" customHeight="1">
      <c r="A7" s="44" t="s">
        <v>39</v>
      </c>
      <c r="B7" s="159" t="s">
        <v>195</v>
      </c>
      <c r="C7" s="18"/>
      <c r="D7" s="200">
        <f>F7</f>
        <v>2020</v>
      </c>
      <c r="E7" s="200">
        <f>F7</f>
        <v>2020</v>
      </c>
      <c r="F7" s="200">
        <v>2020</v>
      </c>
      <c r="G7" s="200">
        <f>F7</f>
        <v>2020</v>
      </c>
      <c r="H7" s="200">
        <f>F7</f>
        <v>2020</v>
      </c>
      <c r="I7" s="18"/>
      <c r="J7" s="200">
        <f>L7</f>
        <v>2021</v>
      </c>
      <c r="K7" s="200">
        <f>L7</f>
        <v>2021</v>
      </c>
      <c r="L7" s="200">
        <v>2021</v>
      </c>
      <c r="M7" s="200">
        <f>L7</f>
        <v>2021</v>
      </c>
      <c r="N7" s="200">
        <f>L7</f>
        <v>2021</v>
      </c>
      <c r="O7" s="167"/>
      <c r="P7" s="200">
        <f>R7</f>
        <v>2022</v>
      </c>
      <c r="Q7" s="200">
        <f>R7</f>
        <v>2022</v>
      </c>
      <c r="R7" s="200">
        <v>2022</v>
      </c>
      <c r="S7" s="200">
        <f>R7</f>
        <v>2022</v>
      </c>
      <c r="T7" s="200">
        <f>R7</f>
        <v>2022</v>
      </c>
      <c r="U7" s="167"/>
      <c r="V7" s="200">
        <f>X7</f>
        <v>2023</v>
      </c>
      <c r="W7" s="200">
        <f>X7</f>
        <v>2023</v>
      </c>
      <c r="X7" s="200">
        <v>2023</v>
      </c>
      <c r="Y7" s="200">
        <f>X7</f>
        <v>2023</v>
      </c>
      <c r="Z7" s="200">
        <f>X7</f>
        <v>2023</v>
      </c>
      <c r="AA7" s="168"/>
      <c r="AB7" s="200">
        <f>AD7</f>
        <v>2024</v>
      </c>
      <c r="AC7" s="200">
        <f>AD7</f>
        <v>2024</v>
      </c>
      <c r="AD7" s="200">
        <v>2024</v>
      </c>
      <c r="AE7" s="200">
        <f>AD7</f>
        <v>2024</v>
      </c>
      <c r="AF7" s="200">
        <f>AD7</f>
        <v>2024</v>
      </c>
      <c r="AG7" s="168"/>
      <c r="AH7" s="200">
        <f>AJ7</f>
        <v>2025</v>
      </c>
      <c r="AI7" s="200">
        <f>AJ7</f>
        <v>2025</v>
      </c>
      <c r="AJ7" s="201">
        <v>2025</v>
      </c>
      <c r="AK7" s="200">
        <f>AJ7</f>
        <v>2025</v>
      </c>
      <c r="AL7" s="200">
        <f>AJ7</f>
        <v>2025</v>
      </c>
      <c r="AM7" s="169"/>
      <c r="AN7" s="200">
        <f>AP7</f>
        <v>2025</v>
      </c>
      <c r="AO7" s="200">
        <f>AP7</f>
        <v>2025</v>
      </c>
      <c r="AP7" s="201">
        <v>2025</v>
      </c>
      <c r="AQ7" s="200">
        <f>AP7</f>
        <v>2025</v>
      </c>
      <c r="AR7" s="200">
        <f>AP7</f>
        <v>2025</v>
      </c>
      <c r="AS7" s="18"/>
      <c r="AT7" s="160"/>
      <c r="AU7" s="18"/>
      <c r="AV7" s="161"/>
      <c r="AW7" s="18"/>
      <c r="AX7" s="161"/>
      <c r="AY7" s="161"/>
      <c r="AZ7" s="161"/>
      <c r="BA7" s="692"/>
      <c r="BB7" s="691"/>
      <c r="BC7" s="691"/>
      <c r="BD7" s="691"/>
      <c r="BE7" s="691"/>
      <c r="BF7" s="691"/>
      <c r="BG7" s="691"/>
    </row>
    <row r="8" spans="1:59" s="41" customFormat="1" ht="15" customHeight="1">
      <c r="B8" s="162"/>
      <c r="C8" s="18"/>
      <c r="D8" s="950">
        <v>2020</v>
      </c>
      <c r="E8" s="950"/>
      <c r="F8" s="950"/>
      <c r="G8" s="950"/>
      <c r="H8" s="950"/>
      <c r="I8" s="167"/>
      <c r="J8" s="950">
        <f>D8+1</f>
        <v>2021</v>
      </c>
      <c r="K8" s="950"/>
      <c r="L8" s="950"/>
      <c r="M8" s="950"/>
      <c r="N8" s="950"/>
      <c r="O8" s="167"/>
      <c r="P8" s="950">
        <f>J8+1</f>
        <v>2022</v>
      </c>
      <c r="Q8" s="950"/>
      <c r="R8" s="950"/>
      <c r="S8" s="950"/>
      <c r="T8" s="950"/>
      <c r="U8" s="167"/>
      <c r="V8" s="950">
        <f>P8+1</f>
        <v>2023</v>
      </c>
      <c r="W8" s="950"/>
      <c r="X8" s="950"/>
      <c r="Y8" s="950"/>
      <c r="Z8" s="950"/>
      <c r="AA8" s="167"/>
      <c r="AB8" s="950">
        <f>V8+1</f>
        <v>2024</v>
      </c>
      <c r="AC8" s="950"/>
      <c r="AD8" s="950"/>
      <c r="AE8" s="950"/>
      <c r="AF8" s="950"/>
      <c r="AG8" s="167"/>
      <c r="AH8" s="949">
        <f>AB8+1</f>
        <v>2025</v>
      </c>
      <c r="AI8" s="949"/>
      <c r="AJ8" s="949"/>
      <c r="AK8" s="949"/>
      <c r="AL8" s="949"/>
      <c r="AM8" s="167"/>
      <c r="AN8" s="949">
        <f>AH8+1</f>
        <v>2026</v>
      </c>
      <c r="AO8" s="949"/>
      <c r="AP8" s="949"/>
      <c r="AQ8" s="949"/>
      <c r="AR8" s="949"/>
      <c r="AS8" s="169"/>
      <c r="AT8" s="164">
        <f>AN8+1</f>
        <v>2027</v>
      </c>
      <c r="AU8" s="165"/>
      <c r="AV8" s="164">
        <f>+AT8+1</f>
        <v>2028</v>
      </c>
      <c r="AW8" s="165"/>
      <c r="AX8" s="164">
        <f>+AV8+1</f>
        <v>2029</v>
      </c>
      <c r="AY8" s="161"/>
      <c r="AZ8" s="164" t="s">
        <v>196</v>
      </c>
      <c r="BA8" s="692"/>
      <c r="BB8" s="691"/>
      <c r="BC8" s="691"/>
      <c r="BD8" s="691"/>
      <c r="BE8" s="691"/>
      <c r="BF8" s="691"/>
      <c r="BG8" s="691"/>
    </row>
    <row r="9" spans="1:59" s="41" customFormat="1" ht="15" customHeight="1">
      <c r="B9" s="162"/>
      <c r="C9" s="18"/>
      <c r="D9" s="166" t="s">
        <v>197</v>
      </c>
      <c r="E9" s="166" t="s">
        <v>198</v>
      </c>
      <c r="F9" s="166" t="s">
        <v>199</v>
      </c>
      <c r="G9" s="166" t="s">
        <v>200</v>
      </c>
      <c r="H9" s="166" t="s">
        <v>201</v>
      </c>
      <c r="I9" s="18"/>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197</v>
      </c>
      <c r="AI9" s="166" t="s">
        <v>198</v>
      </c>
      <c r="AJ9" s="166" t="s">
        <v>199</v>
      </c>
      <c r="AK9" s="166" t="s">
        <v>200</v>
      </c>
      <c r="AL9" s="166" t="s">
        <v>201</v>
      </c>
      <c r="AM9" s="163"/>
      <c r="AN9" s="166" t="s">
        <v>197</v>
      </c>
      <c r="AO9" s="166" t="s">
        <v>198</v>
      </c>
      <c r="AP9" s="166" t="s">
        <v>199</v>
      </c>
      <c r="AQ9" s="166" t="s">
        <v>200</v>
      </c>
      <c r="AR9" s="166" t="s">
        <v>201</v>
      </c>
      <c r="AS9" s="163"/>
      <c r="AT9" s="166" t="s">
        <v>201</v>
      </c>
      <c r="AU9" s="163"/>
      <c r="AV9" s="166" t="s">
        <v>201</v>
      </c>
      <c r="AW9" s="163"/>
      <c r="AX9" s="166" t="s">
        <v>201</v>
      </c>
      <c r="AY9" s="161"/>
      <c r="AZ9" s="901" t="s">
        <v>202</v>
      </c>
      <c r="BA9" s="692"/>
      <c r="BB9" s="691"/>
      <c r="BC9" s="691"/>
      <c r="BD9" s="691"/>
      <c r="BE9" s="691"/>
      <c r="BF9" s="691"/>
      <c r="BG9" s="691"/>
    </row>
    <row r="10" spans="1:59" s="41" customFormat="1" ht="3" customHeight="1">
      <c r="A10" s="43"/>
      <c r="B10" s="174"/>
      <c r="C10" s="35"/>
      <c r="D10" s="175"/>
      <c r="E10" s="175"/>
      <c r="F10" s="175"/>
      <c r="G10" s="175"/>
      <c r="H10" s="175"/>
      <c r="I10" s="35"/>
      <c r="J10" s="175"/>
      <c r="K10" s="175"/>
      <c r="L10" s="175"/>
      <c r="M10" s="175"/>
      <c r="N10" s="175"/>
      <c r="O10" s="176"/>
      <c r="P10" s="175"/>
      <c r="Q10" s="175"/>
      <c r="R10" s="175"/>
      <c r="S10" s="175"/>
      <c r="T10" s="175"/>
      <c r="U10" s="176"/>
      <c r="V10" s="175"/>
      <c r="W10" s="175"/>
      <c r="X10" s="175"/>
      <c r="Y10" s="175"/>
      <c r="Z10" s="175"/>
      <c r="AA10" s="176"/>
      <c r="AB10" s="175"/>
      <c r="AC10" s="175"/>
      <c r="AD10" s="175"/>
      <c r="AE10" s="175"/>
      <c r="AF10" s="175"/>
      <c r="AG10" s="176"/>
      <c r="AH10" s="175"/>
      <c r="AI10" s="175"/>
      <c r="AJ10" s="175"/>
      <c r="AK10" s="175"/>
      <c r="AL10" s="177"/>
      <c r="AM10" s="178"/>
      <c r="AN10" s="177"/>
      <c r="AO10" s="177"/>
      <c r="AP10" s="177"/>
      <c r="AQ10" s="177"/>
      <c r="AR10" s="177"/>
      <c r="AS10" s="178"/>
      <c r="AT10" s="177"/>
      <c r="AU10" s="178"/>
      <c r="AV10" s="177"/>
      <c r="AW10" s="178"/>
      <c r="AX10" s="177"/>
      <c r="AY10" s="177"/>
      <c r="AZ10" s="177"/>
      <c r="BA10" s="900"/>
      <c r="BB10" s="692"/>
      <c r="BC10" s="692"/>
      <c r="BD10" s="692"/>
      <c r="BE10" s="692"/>
      <c r="BF10" s="692"/>
      <c r="BG10" s="692"/>
    </row>
    <row r="11" spans="1:59" s="41" customFormat="1" ht="4.9000000000000004" customHeight="1">
      <c r="A11" s="43"/>
      <c r="B11" s="170"/>
      <c r="C11" s="19"/>
      <c r="D11" s="171"/>
      <c r="E11" s="171"/>
      <c r="F11" s="171"/>
      <c r="G11" s="171"/>
      <c r="H11" s="171"/>
      <c r="I11" s="19"/>
      <c r="J11" s="171"/>
      <c r="K11" s="171"/>
      <c r="L11" s="171"/>
      <c r="M11" s="171"/>
      <c r="N11" s="171"/>
      <c r="O11" s="172"/>
      <c r="P11" s="171"/>
      <c r="Q11" s="171"/>
      <c r="R11" s="171"/>
      <c r="S11" s="171"/>
      <c r="T11" s="171"/>
      <c r="U11" s="172"/>
      <c r="V11" s="171"/>
      <c r="W11" s="171"/>
      <c r="X11" s="171"/>
      <c r="Y11" s="171"/>
      <c r="Z11" s="171"/>
      <c r="AA11" s="172"/>
      <c r="AB11" s="171"/>
      <c r="AC11" s="171"/>
      <c r="AD11" s="171"/>
      <c r="AE11" s="171"/>
      <c r="AF11" s="171"/>
      <c r="AG11" s="202"/>
      <c r="AH11" s="171"/>
      <c r="AI11" s="171"/>
      <c r="AJ11" s="171"/>
      <c r="AK11" s="171"/>
      <c r="AL11" s="173"/>
      <c r="AM11" s="34"/>
      <c r="AN11" s="173"/>
      <c r="AO11" s="173"/>
      <c r="AP11" s="173"/>
      <c r="AQ11" s="173"/>
      <c r="AR11" s="173"/>
      <c r="AS11" s="34"/>
      <c r="AT11" s="173"/>
      <c r="AU11" s="34"/>
      <c r="AV11" s="173"/>
      <c r="AW11" s="34"/>
      <c r="AX11" s="173"/>
      <c r="AZ11" s="693"/>
      <c r="BA11" s="693"/>
      <c r="BB11" s="693"/>
      <c r="BC11" s="693"/>
      <c r="BD11" s="693"/>
      <c r="BE11" s="693"/>
      <c r="BF11" s="693"/>
      <c r="BG11" s="693"/>
    </row>
    <row r="12" spans="1:59" s="54" customFormat="1" ht="15" customHeight="1">
      <c r="B12" s="45" t="s">
        <v>203</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c r="AZ12" s="694"/>
      <c r="BA12" s="694"/>
      <c r="BB12" s="694"/>
      <c r="BC12" s="694"/>
      <c r="BD12" s="694"/>
      <c r="BE12" s="694"/>
      <c r="BF12" s="694"/>
      <c r="BG12" s="694"/>
    </row>
    <row r="13" spans="1:59" s="54" customFormat="1" ht="15" customHeight="1">
      <c r="A13" s="55"/>
      <c r="B13" s="56" t="s">
        <v>204</v>
      </c>
      <c r="C13" s="23"/>
      <c r="D13" s="46"/>
      <c r="E13" s="46"/>
      <c r="F13" s="46"/>
      <c r="G13" s="46"/>
      <c r="H13" s="47">
        <f>IS!H13</f>
        <v>12513</v>
      </c>
      <c r="I13" s="47"/>
      <c r="J13" s="47">
        <f>IS!J13</f>
        <v>0</v>
      </c>
      <c r="K13" s="47">
        <f>IS!K13</f>
        <v>0</v>
      </c>
      <c r="L13" s="47">
        <f>IS!L13</f>
        <v>0</v>
      </c>
      <c r="M13" s="47">
        <f>IS!M13</f>
        <v>0</v>
      </c>
      <c r="N13" s="47">
        <f>IS!N13</f>
        <v>11799</v>
      </c>
      <c r="O13" s="47"/>
      <c r="P13" s="47">
        <f>IS!P13</f>
        <v>3799</v>
      </c>
      <c r="Q13" s="47">
        <f>IS!Q13</f>
        <v>4345</v>
      </c>
      <c r="R13" s="47">
        <f>IS!R13</f>
        <v>4263</v>
      </c>
      <c r="S13" s="47">
        <f>IS!S13</f>
        <v>4845</v>
      </c>
      <c r="T13" s="47">
        <f>IS!T13</f>
        <v>17252</v>
      </c>
      <c r="U13" s="47"/>
      <c r="V13" s="47">
        <f>IS!V13</f>
        <v>5383</v>
      </c>
      <c r="W13" s="47">
        <f>IS!W13</f>
        <v>6445</v>
      </c>
      <c r="X13" s="47">
        <f>IS!X13</f>
        <v>4847</v>
      </c>
      <c r="Y13" s="47">
        <f>IS!Y13</f>
        <v>5228</v>
      </c>
      <c r="Z13" s="47">
        <f>IS!Z13</f>
        <v>21903</v>
      </c>
      <c r="AA13" s="47"/>
      <c r="AB13" s="47">
        <f>IS!AB13</f>
        <v>5301</v>
      </c>
      <c r="AC13" s="47">
        <f>IS!AC13</f>
        <v>5429</v>
      </c>
      <c r="AD13" s="47">
        <f>IS!AD13</f>
        <v>6314</v>
      </c>
      <c r="AE13" s="47">
        <f>IS!AE13</f>
        <v>6552</v>
      </c>
      <c r="AF13" s="47">
        <f>IS!AF13</f>
        <v>23596</v>
      </c>
      <c r="AG13" s="49"/>
      <c r="AH13" s="46"/>
      <c r="AI13" s="46"/>
      <c r="AJ13" s="50"/>
      <c r="AK13" s="50"/>
      <c r="AL13" s="47">
        <f>IS!AL13</f>
        <v>34497.741699999999</v>
      </c>
      <c r="AM13" s="51"/>
      <c r="AN13" s="50"/>
      <c r="AO13" s="50"/>
      <c r="AP13" s="50"/>
      <c r="AQ13" s="50"/>
      <c r="AR13" s="47">
        <f>IS!AR13</f>
        <v>43401.726714450873</v>
      </c>
      <c r="AS13" s="51"/>
      <c r="AT13" s="47">
        <f>IS!AT13</f>
        <v>53812.75</v>
      </c>
      <c r="AU13" s="51"/>
      <c r="AV13" s="47">
        <f>IS!AV13</f>
        <v>62636.800000000003</v>
      </c>
      <c r="AW13" s="51"/>
      <c r="AX13" s="47">
        <f>IS!AX13</f>
        <v>71316.84</v>
      </c>
      <c r="AZ13" s="899">
        <f>+_xlfn.RRI(5, AL13,AX13)</f>
        <v>0.15632598466057757</v>
      </c>
      <c r="BA13" s="694"/>
      <c r="BB13" s="694"/>
      <c r="BC13" s="694"/>
      <c r="BD13" s="694"/>
      <c r="BE13" s="694"/>
      <c r="BF13" s="694"/>
      <c r="BG13" s="694"/>
    </row>
    <row r="14" spans="1:59" s="54" customFormat="1" ht="15" customHeight="1">
      <c r="A14" s="55"/>
      <c r="B14" s="56" t="s">
        <v>205</v>
      </c>
      <c r="C14" s="23"/>
      <c r="D14" s="46"/>
      <c r="E14" s="46"/>
      <c r="F14" s="46"/>
      <c r="G14" s="46"/>
      <c r="H14" s="47">
        <f>IS!H14</f>
        <v>24451</v>
      </c>
      <c r="I14" s="47"/>
      <c r="J14" s="47">
        <f>IS!J14</f>
        <v>0</v>
      </c>
      <c r="K14" s="47">
        <f>IS!K14</f>
        <v>0</v>
      </c>
      <c r="L14" s="47">
        <f>IS!L14</f>
        <v>0</v>
      </c>
      <c r="M14" s="47">
        <f>IS!M14</f>
        <v>0</v>
      </c>
      <c r="N14" s="47">
        <f>IS!N14</f>
        <v>8417</v>
      </c>
      <c r="O14" s="47"/>
      <c r="P14" s="47">
        <f>IS!P14</f>
        <v>7737</v>
      </c>
      <c r="Q14" s="47">
        <f>IS!Q14</f>
        <v>7647</v>
      </c>
      <c r="R14" s="47">
        <f>IS!R14</f>
        <v>7466</v>
      </c>
      <c r="S14" s="47">
        <f>IS!S14</f>
        <v>7646</v>
      </c>
      <c r="T14" s="47">
        <f>IS!T14</f>
        <v>30496</v>
      </c>
      <c r="U14" s="47"/>
      <c r="V14" s="47">
        <f>IS!V14</f>
        <v>7690</v>
      </c>
      <c r="W14" s="47">
        <f>IS!W14</f>
        <v>7832</v>
      </c>
      <c r="X14" s="47">
        <f>IS!X14</f>
        <v>7788</v>
      </c>
      <c r="Y14" s="47">
        <f>IS!Y14</f>
        <v>7804</v>
      </c>
      <c r="Z14" s="47">
        <f>IS!Z14</f>
        <v>31114</v>
      </c>
      <c r="AA14" s="47"/>
      <c r="AB14" s="47">
        <f>IS!AB14</f>
        <v>7785</v>
      </c>
      <c r="AC14" s="47">
        <f>IS!AC14</f>
        <v>7733</v>
      </c>
      <c r="AD14" s="47">
        <f>IS!AD14</f>
        <v>8071</v>
      </c>
      <c r="AE14" s="47">
        <f>IS!AE14</f>
        <v>8466</v>
      </c>
      <c r="AF14" s="47">
        <f>IS!AF14</f>
        <v>32055</v>
      </c>
      <c r="AG14" s="49"/>
      <c r="AH14" s="46"/>
      <c r="AI14" s="46"/>
      <c r="AJ14" s="50"/>
      <c r="AK14" s="50"/>
      <c r="AL14" s="47">
        <f>IS!AL14</f>
        <v>48450.1656</v>
      </c>
      <c r="AM14" s="51"/>
      <c r="AN14" s="50"/>
      <c r="AO14" s="50"/>
      <c r="AP14" s="50"/>
      <c r="AQ14" s="50"/>
      <c r="AR14" s="47">
        <f>IS!AR14</f>
        <v>57549.104310271898</v>
      </c>
      <c r="AS14" s="51"/>
      <c r="AT14" s="47">
        <f>IS!AT14</f>
        <v>69390.125</v>
      </c>
      <c r="AU14" s="51"/>
      <c r="AV14" s="47">
        <f>IS!AV14</f>
        <v>78296</v>
      </c>
      <c r="AW14" s="51"/>
      <c r="AX14" s="47">
        <f>IS!AX14</f>
        <v>86599.02</v>
      </c>
      <c r="AZ14" s="899">
        <f>+_xlfn.RRI(5, AL14,AX14)</f>
        <v>0.12316495027599528</v>
      </c>
    </row>
    <row r="15" spans="1:59" s="54" customFormat="1" ht="15" customHeight="1">
      <c r="A15" s="55"/>
      <c r="B15" s="56" t="s">
        <v>206</v>
      </c>
      <c r="C15" s="23"/>
      <c r="D15" s="46"/>
      <c r="E15" s="46"/>
      <c r="F15" s="46"/>
      <c r="G15" s="46"/>
      <c r="H15" s="47">
        <f>IS!H15</f>
        <v>31749</v>
      </c>
      <c r="I15" s="47"/>
      <c r="J15" s="47">
        <f>IS!J15</f>
        <v>0</v>
      </c>
      <c r="K15" s="47">
        <f>IS!K15</f>
        <v>0</v>
      </c>
      <c r="L15" s="47">
        <f>IS!L15</f>
        <v>0</v>
      </c>
      <c r="M15" s="47">
        <f>IS!M15</f>
        <v>0</v>
      </c>
      <c r="N15" s="47">
        <f>IS!N15</f>
        <v>37328</v>
      </c>
      <c r="O15" s="47"/>
      <c r="P15" s="47">
        <f>IS!P15</f>
        <v>15286</v>
      </c>
      <c r="Q15" s="47">
        <f>IS!Q15</f>
        <v>12965</v>
      </c>
      <c r="R15" s="47">
        <f>IS!R15</f>
        <v>13301</v>
      </c>
      <c r="S15" s="47">
        <f>IS!S15</f>
        <v>14842</v>
      </c>
      <c r="T15" s="47">
        <f>IS!T15</f>
        <v>56394</v>
      </c>
      <c r="U15" s="47"/>
      <c r="V15" s="47">
        <f>IS!V15</f>
        <v>12871</v>
      </c>
      <c r="W15" s="47">
        <f>IS!W15</f>
        <v>12671</v>
      </c>
      <c r="X15" s="47">
        <f>IS!X15</f>
        <v>14359</v>
      </c>
      <c r="Y15" s="47">
        <f>IS!Y15</f>
        <v>15805</v>
      </c>
      <c r="Z15" s="47">
        <f>IS!Z15</f>
        <v>55706</v>
      </c>
      <c r="AA15" s="47"/>
      <c r="AB15" s="47">
        <f>IS!AB15</f>
        <v>14831</v>
      </c>
      <c r="AC15" s="47">
        <f>IS!AC15</f>
        <v>14262</v>
      </c>
      <c r="AD15" s="47">
        <f>IS!AD15</f>
        <v>14908</v>
      </c>
      <c r="AE15" s="47">
        <f>IS!AE15</f>
        <v>17113</v>
      </c>
      <c r="AF15" s="47">
        <f>IS!AF15</f>
        <v>61114</v>
      </c>
      <c r="AG15" s="49"/>
      <c r="AH15" s="46"/>
      <c r="AI15" s="46"/>
      <c r="AJ15" s="50"/>
      <c r="AK15" s="50"/>
      <c r="AL15" s="47">
        <f>IS!AL15</f>
        <v>88525.715799999991</v>
      </c>
      <c r="AM15" s="51"/>
      <c r="AN15" s="50"/>
      <c r="AO15" s="50"/>
      <c r="AP15" s="50"/>
      <c r="AQ15" s="50"/>
      <c r="AR15" s="47">
        <f>IS!AR15</f>
        <v>86818.453428901747</v>
      </c>
      <c r="AS15" s="51"/>
      <c r="AT15" s="47">
        <f>IS!AT15</f>
        <v>92048.125</v>
      </c>
      <c r="AU15" s="51"/>
      <c r="AV15" s="47">
        <f>IS!AV15</f>
        <v>100218.88</v>
      </c>
      <c r="AW15" s="51"/>
      <c r="AX15" s="47">
        <f>IS!AX15</f>
        <v>106975.26</v>
      </c>
      <c r="AZ15" s="899">
        <f>+_xlfn.RRI(5, AL15,AX15)</f>
        <v>3.8586757273295191E-2</v>
      </c>
    </row>
    <row r="16" spans="1:59" s="54" customFormat="1" ht="15" customHeight="1">
      <c r="A16" s="55"/>
      <c r="B16" s="56" t="s">
        <v>207</v>
      </c>
      <c r="C16" s="23"/>
      <c r="D16" s="46"/>
      <c r="E16" s="46"/>
      <c r="F16" s="46"/>
      <c r="G16" s="46"/>
      <c r="H16" s="47">
        <f>IS!H16</f>
        <v>8620</v>
      </c>
      <c r="I16" s="47"/>
      <c r="J16" s="47">
        <f>IS!J16</f>
        <v>0</v>
      </c>
      <c r="K16" s="47">
        <f>IS!K16</f>
        <v>0</v>
      </c>
      <c r="L16" s="47">
        <f>IS!L16</f>
        <v>0</v>
      </c>
      <c r="M16" s="47">
        <f>IS!M16</f>
        <v>0</v>
      </c>
      <c r="N16" s="47">
        <f>IS!N16</f>
        <v>30358</v>
      </c>
      <c r="O16" s="47"/>
      <c r="P16" s="47">
        <f>IS!P16</f>
        <v>9452</v>
      </c>
      <c r="Q16" s="47">
        <f>IS!Q16</f>
        <v>10696</v>
      </c>
      <c r="R16" s="47">
        <f>IS!R16</f>
        <v>10820</v>
      </c>
      <c r="S16" s="47">
        <f>IS!S16</f>
        <v>11947</v>
      </c>
      <c r="T16" s="47">
        <f>IS!T16</f>
        <v>42915</v>
      </c>
      <c r="U16" s="47"/>
      <c r="V16" s="47">
        <f>IS!V16</f>
        <v>11741</v>
      </c>
      <c r="W16" s="47">
        <f>IS!W16</f>
        <v>12755</v>
      </c>
      <c r="X16" s="47">
        <f>IS!X16</f>
        <v>13022</v>
      </c>
      <c r="Y16" s="47">
        <f>IS!Y16</f>
        <v>12095</v>
      </c>
      <c r="Z16" s="47">
        <f>IS!Z16</f>
        <v>49613</v>
      </c>
      <c r="AA16" s="47"/>
      <c r="AB16" s="47">
        <f>IS!AB16</f>
        <v>11281</v>
      </c>
      <c r="AC16" s="47">
        <f>IS!AC16</f>
        <v>13239</v>
      </c>
      <c r="AD16" s="47">
        <f>IS!AD16</f>
        <v>13432</v>
      </c>
      <c r="AE16" s="47">
        <f>IS!AE16</f>
        <v>13363</v>
      </c>
      <c r="AF16" s="47">
        <f>IS!AF16</f>
        <v>51315</v>
      </c>
      <c r="AG16" s="49"/>
      <c r="AH16" s="46"/>
      <c r="AI16" s="46"/>
      <c r="AJ16" s="50"/>
      <c r="AK16" s="50"/>
      <c r="AL16" s="724">
        <f>IS!AL16</f>
        <v>71918.279299999995</v>
      </c>
      <c r="AM16" s="51"/>
      <c r="AN16" s="50"/>
      <c r="AO16" s="50"/>
      <c r="AP16" s="50"/>
      <c r="AQ16" s="50"/>
      <c r="AR16" s="724">
        <f>IS!AR16</f>
        <v>65918.91834416613</v>
      </c>
      <c r="AS16" s="51"/>
      <c r="AT16" s="724">
        <f>IS!AT16</f>
        <v>65141.75</v>
      </c>
      <c r="AU16" s="51"/>
      <c r="AV16" s="724">
        <f>IS!AV16</f>
        <v>68900.479999999996</v>
      </c>
      <c r="AW16" s="51"/>
      <c r="AX16" s="724">
        <f>IS!AX16</f>
        <v>71316.84</v>
      </c>
      <c r="AZ16" s="899">
        <f>+_xlfn.RRI(5, AL16,AX16)</f>
        <v>-1.6781862712673679E-3</v>
      </c>
    </row>
    <row r="17" spans="2:52" s="54" customFormat="1" ht="15" customHeight="1">
      <c r="B17" s="56" t="s">
        <v>208</v>
      </c>
      <c r="C17" s="23"/>
      <c r="D17" s="46"/>
      <c r="E17" s="46"/>
      <c r="F17" s="46"/>
      <c r="G17" s="46"/>
      <c r="H17" s="47">
        <f>IS!H17</f>
        <v>0</v>
      </c>
      <c r="I17" s="47"/>
      <c r="J17" s="47">
        <f>IS!J17</f>
        <v>0</v>
      </c>
      <c r="K17" s="47">
        <f>IS!K17</f>
        <v>0</v>
      </c>
      <c r="L17" s="47">
        <f>IS!L17</f>
        <v>0</v>
      </c>
      <c r="M17" s="47">
        <f>IS!M17</f>
        <v>0</v>
      </c>
      <c r="N17" s="47">
        <f>IS!N17</f>
        <v>0</v>
      </c>
      <c r="O17" s="47"/>
      <c r="P17" s="47">
        <f>IS!P17</f>
        <v>1139</v>
      </c>
      <c r="Q17" s="47">
        <f>IS!Q17</f>
        <v>1164</v>
      </c>
      <c r="R17" s="47">
        <f>IS!R17</f>
        <v>1034</v>
      </c>
      <c r="S17" s="47">
        <f>IS!S17</f>
        <v>1046</v>
      </c>
      <c r="T17" s="47">
        <f>IS!T17</f>
        <v>4383</v>
      </c>
      <c r="U17" s="47"/>
      <c r="V17" s="47">
        <f>IS!V17</f>
        <v>1037</v>
      </c>
      <c r="W17" s="47">
        <f>IS!W17</f>
        <v>980</v>
      </c>
      <c r="X17" s="47">
        <f>IS!X17</f>
        <v>995</v>
      </c>
      <c r="Y17" s="47">
        <f>IS!Y17</f>
        <v>997</v>
      </c>
      <c r="Z17" s="47">
        <f>IS!Z17</f>
        <v>4009</v>
      </c>
      <c r="AA17" s="47"/>
      <c r="AB17" s="47">
        <f>IS!AB17</f>
        <v>809</v>
      </c>
      <c r="AC17" s="47">
        <f>IS!AC17</f>
        <v>1187</v>
      </c>
      <c r="AD17" s="47">
        <f>IS!AD17</f>
        <v>1001</v>
      </c>
      <c r="AE17" s="47">
        <f>IS!AE17</f>
        <v>1099</v>
      </c>
      <c r="AF17" s="47">
        <f>IS!AF17</f>
        <v>4096</v>
      </c>
      <c r="AG17" s="49"/>
      <c r="AH17" s="46"/>
      <c r="AI17" s="46"/>
      <c r="AJ17" s="50"/>
      <c r="AK17" s="50"/>
      <c r="AL17" s="724">
        <f>IS!AL17</f>
        <v>5113.5516000000007</v>
      </c>
      <c r="AM17" s="51"/>
      <c r="AN17" s="50"/>
      <c r="AO17" s="50"/>
      <c r="AP17" s="50"/>
      <c r="AQ17" s="50"/>
      <c r="AR17" s="724">
        <f>IS!AR17</f>
        <v>5144.5009439349178</v>
      </c>
      <c r="AS17" s="51"/>
      <c r="AT17" s="724">
        <f>IS!AT17</f>
        <v>5381.2749999999996</v>
      </c>
      <c r="AU17" s="51"/>
      <c r="AV17" s="724">
        <f>IS!AV17</f>
        <v>5950.4960000000001</v>
      </c>
      <c r="AW17" s="51"/>
      <c r="AX17" s="724">
        <f>IS!AX17</f>
        <v>6452.4759999999997</v>
      </c>
      <c r="AZ17" s="899">
        <f>+_xlfn.RRI(5, AL17,AX17)</f>
        <v>4.7612691270920493E-2</v>
      </c>
    </row>
    <row r="18" spans="2:52" s="54" customFormat="1" ht="15" customHeight="1">
      <c r="B18" s="59" t="s">
        <v>209</v>
      </c>
      <c r="C18" s="23"/>
      <c r="D18" s="62">
        <f>IS!D18</f>
        <v>19810</v>
      </c>
      <c r="E18" s="62">
        <f>IS!E18</f>
        <v>18309</v>
      </c>
      <c r="F18" s="62">
        <f>IS!F18</f>
        <v>20789</v>
      </c>
      <c r="G18" s="62">
        <f>IS!G18</f>
        <v>21861</v>
      </c>
      <c r="H18" s="63">
        <f>IS!H18</f>
        <v>77333</v>
      </c>
      <c r="I18" s="95"/>
      <c r="J18" s="62">
        <f>IS!J18</f>
        <v>19127</v>
      </c>
      <c r="K18" s="62">
        <f>IS!K18</f>
        <v>17498</v>
      </c>
      <c r="L18" s="62">
        <f>IS!L18</f>
        <v>22105</v>
      </c>
      <c r="M18" s="62">
        <f>IS!M18</f>
        <v>47678</v>
      </c>
      <c r="N18" s="63">
        <f>IS!N18</f>
        <v>87902</v>
      </c>
      <c r="O18" s="52"/>
      <c r="P18" s="62">
        <f>IS!P18</f>
        <v>34134</v>
      </c>
      <c r="Q18" s="62">
        <f>IS!Q18</f>
        <v>34302</v>
      </c>
      <c r="R18" s="62">
        <f>IS!R18</f>
        <v>34378</v>
      </c>
      <c r="S18" s="62">
        <f>IS!S18</f>
        <v>38052</v>
      </c>
      <c r="T18" s="63">
        <f>IS!T18</f>
        <v>140866</v>
      </c>
      <c r="U18" s="52"/>
      <c r="V18" s="62">
        <f>IS!V18</f>
        <v>52729</v>
      </c>
      <c r="W18" s="62">
        <f>IS!W18</f>
        <v>39112</v>
      </c>
      <c r="X18" s="62">
        <f>IS!X18</f>
        <v>38430</v>
      </c>
      <c r="Y18" s="62">
        <f>IS!Y18</f>
        <v>23111</v>
      </c>
      <c r="Z18" s="63">
        <f>IS!Z18</f>
        <v>153382</v>
      </c>
      <c r="AA18" s="52"/>
      <c r="AB18" s="62">
        <f>IS!AB18</f>
        <v>37691</v>
      </c>
      <c r="AC18" s="62">
        <f>IS!AC18</f>
        <v>39774</v>
      </c>
      <c r="AD18" s="62">
        <f>IS!AD18</f>
        <v>41539</v>
      </c>
      <c r="AE18" s="62">
        <f>IS!AE18</f>
        <v>43978</v>
      </c>
      <c r="AF18" s="63">
        <f>IS!AF18</f>
        <v>162982</v>
      </c>
      <c r="AG18" s="536"/>
      <c r="AH18" s="62">
        <f>IS!AH18</f>
        <v>45846</v>
      </c>
      <c r="AI18" s="62">
        <f>IS!AI18</f>
        <v>63997</v>
      </c>
      <c r="AJ18" s="62">
        <f>IS!AJ18</f>
        <v>58154.6</v>
      </c>
      <c r="AK18" s="62">
        <f>IS!AK18</f>
        <v>81089.399999999994</v>
      </c>
      <c r="AL18" s="63">
        <f>IS!AL18</f>
        <v>249087</v>
      </c>
      <c r="AM18" s="53"/>
      <c r="AN18" s="62">
        <f>IS!AN18</f>
        <v>64306.261799186461</v>
      </c>
      <c r="AO18" s="62">
        <f>IS!AO18</f>
        <v>64306.261799186461</v>
      </c>
      <c r="AP18" s="62">
        <f>IS!AP18</f>
        <v>65306.261799186497</v>
      </c>
      <c r="AQ18" s="62">
        <f>IS!AQ18</f>
        <v>63306.261799186497</v>
      </c>
      <c r="AR18" s="63">
        <f>IS!AR18</f>
        <v>257225</v>
      </c>
      <c r="AS18" s="53"/>
      <c r="AT18" s="63">
        <f>IS!AT18</f>
        <v>283225</v>
      </c>
      <c r="AU18" s="53"/>
      <c r="AV18" s="63">
        <f>IS!AV18</f>
        <v>313184</v>
      </c>
      <c r="AW18" s="53"/>
      <c r="AX18" s="63">
        <f>IS!AX18</f>
        <v>339604</v>
      </c>
    </row>
    <row r="19" spans="2:52" ht="15" customHeight="1">
      <c r="AG19" s="203"/>
    </row>
    <row r="20" spans="2:52" ht="15" customHeight="1">
      <c r="B20" s="159" t="s">
        <v>210</v>
      </c>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row>
    <row r="21" spans="2:52" ht="15" customHeight="1">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row>
    <row r="22" spans="2:52" ht="15" customHeight="1">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row>
    <row r="23" spans="2:52" ht="15" customHeight="1">
      <c r="B23" s="174"/>
      <c r="C23" s="174"/>
      <c r="D23" s="174"/>
      <c r="E23" s="174"/>
      <c r="F23" s="174"/>
      <c r="G23" s="174"/>
      <c r="H23" s="174"/>
      <c r="I23" s="174"/>
      <c r="J23" s="174"/>
      <c r="K23" s="174"/>
      <c r="L23" s="174"/>
      <c r="M23" s="174"/>
      <c r="N23" s="174"/>
      <c r="O23" s="174"/>
      <c r="P23" s="174"/>
      <c r="Q23" s="174"/>
      <c r="R23" s="174"/>
      <c r="S23" s="174"/>
      <c r="T23" s="174"/>
      <c r="U23" s="174"/>
      <c r="V23" s="174"/>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row>
    <row r="24" spans="2:52" ht="15" customHeight="1">
      <c r="B24" s="790"/>
      <c r="C24" s="964"/>
      <c r="D24" s="965"/>
      <c r="E24" s="965"/>
      <c r="F24" s="965"/>
      <c r="G24" s="965"/>
      <c r="H24" s="965"/>
      <c r="I24" s="965"/>
      <c r="J24" s="965"/>
      <c r="K24" s="965"/>
      <c r="L24" s="965"/>
      <c r="M24" s="965"/>
      <c r="N24" s="965"/>
      <c r="O24" s="965"/>
      <c r="P24" s="965"/>
      <c r="Q24" s="965"/>
      <c r="R24" s="965"/>
      <c r="S24" s="965"/>
      <c r="T24" s="965"/>
      <c r="U24" s="965"/>
      <c r="V24" s="965"/>
      <c r="W24" s="965"/>
      <c r="X24" s="965"/>
      <c r="Y24" s="965"/>
      <c r="Z24" s="965"/>
      <c r="AA24" s="965"/>
      <c r="AB24" s="965"/>
      <c r="AC24" s="965"/>
      <c r="AD24" s="965"/>
      <c r="AE24" s="965"/>
      <c r="AF24" s="965"/>
      <c r="AG24" s="965"/>
      <c r="AH24" s="965"/>
      <c r="AI24" s="965"/>
      <c r="AJ24" s="965"/>
      <c r="AK24" s="965"/>
      <c r="AL24" s="965"/>
      <c r="AM24" s="965"/>
      <c r="AN24" s="965"/>
      <c r="AO24" s="965"/>
      <c r="AP24" s="965"/>
      <c r="AQ24" s="965"/>
      <c r="AR24" s="965"/>
      <c r="AS24" s="965"/>
      <c r="AT24" s="965"/>
      <c r="AU24" s="965"/>
      <c r="AV24" s="965"/>
      <c r="AW24" s="965"/>
      <c r="AX24" s="965"/>
    </row>
    <row r="25" spans="2:52" ht="15" customHeight="1">
      <c r="C25" s="953" t="s">
        <v>211</v>
      </c>
      <c r="D25" s="941"/>
      <c r="E25" s="941"/>
      <c r="F25" s="941"/>
      <c r="G25" s="941"/>
      <c r="H25" s="941"/>
      <c r="I25" s="941"/>
      <c r="J25" s="941"/>
      <c r="K25" s="941"/>
      <c r="L25" s="941"/>
      <c r="M25" s="941"/>
      <c r="N25" s="941"/>
      <c r="O25" s="941"/>
      <c r="P25" s="941"/>
      <c r="Q25" s="941"/>
      <c r="R25" s="941"/>
      <c r="S25" s="941"/>
      <c r="T25" s="941"/>
      <c r="U25" s="941"/>
      <c r="V25" s="941"/>
      <c r="W25" s="941"/>
      <c r="X25" s="941"/>
      <c r="Y25" s="941"/>
      <c r="Z25" s="941"/>
      <c r="AA25" s="941"/>
      <c r="AB25" s="941"/>
      <c r="AC25" s="941"/>
      <c r="AD25" s="941"/>
      <c r="AE25" s="941"/>
      <c r="AF25" s="941"/>
      <c r="AG25" s="941"/>
      <c r="AH25" s="941"/>
      <c r="AI25" s="941"/>
      <c r="AJ25" s="941"/>
      <c r="AK25" s="941"/>
      <c r="AL25" s="941"/>
      <c r="AM25" s="941"/>
      <c r="AN25" s="941"/>
      <c r="AO25" s="941"/>
      <c r="AP25" s="941"/>
      <c r="AQ25" s="941"/>
      <c r="AR25" s="941"/>
      <c r="AS25" s="941"/>
      <c r="AT25" s="941"/>
      <c r="AU25" s="941"/>
      <c r="AV25" s="941"/>
      <c r="AW25" s="941"/>
      <c r="AX25" s="941"/>
    </row>
    <row r="26" spans="2:52" ht="15" customHeight="1">
      <c r="B26" s="787" t="s">
        <v>205</v>
      </c>
      <c r="C26" s="951" t="s">
        <v>212</v>
      </c>
      <c r="D26" s="952"/>
      <c r="E26" s="952"/>
      <c r="F26" s="952"/>
      <c r="G26" s="952"/>
      <c r="H26" s="952"/>
      <c r="I26" s="952"/>
      <c r="J26" s="952"/>
      <c r="K26" s="952"/>
      <c r="L26" s="952"/>
      <c r="M26" s="952"/>
      <c r="N26" s="952"/>
      <c r="O26" s="952"/>
      <c r="P26" s="952"/>
      <c r="Q26" s="952"/>
      <c r="R26" s="952"/>
      <c r="S26" s="952"/>
      <c r="T26" s="952"/>
      <c r="U26" s="952"/>
      <c r="V26" s="952"/>
      <c r="W26" s="952"/>
      <c r="X26" s="952"/>
      <c r="Y26" s="952"/>
      <c r="Z26" s="952"/>
      <c r="AA26" s="952"/>
      <c r="AB26" s="952"/>
      <c r="AC26" s="952"/>
      <c r="AD26" s="952"/>
      <c r="AE26" s="952"/>
      <c r="AF26" s="952"/>
      <c r="AG26" s="952"/>
      <c r="AH26" s="952"/>
      <c r="AI26" s="952"/>
      <c r="AJ26" s="952"/>
      <c r="AK26" s="952"/>
      <c r="AL26" s="952"/>
      <c r="AM26" s="952"/>
      <c r="AN26" s="952"/>
      <c r="AO26" s="952"/>
      <c r="AP26" s="952"/>
      <c r="AQ26" s="952"/>
      <c r="AR26" s="952"/>
      <c r="AS26" s="952"/>
      <c r="AT26" s="952"/>
      <c r="AU26" s="952"/>
      <c r="AV26" s="952"/>
      <c r="AW26" s="952"/>
      <c r="AX26" s="952"/>
    </row>
    <row r="27" spans="2:52" ht="15" customHeight="1">
      <c r="B27" s="790"/>
      <c r="C27" s="955" t="s">
        <v>213</v>
      </c>
      <c r="D27" s="954"/>
      <c r="E27" s="954"/>
      <c r="F27" s="954"/>
      <c r="G27" s="954"/>
      <c r="H27" s="954"/>
      <c r="I27" s="954"/>
      <c r="J27" s="954"/>
      <c r="K27" s="954"/>
      <c r="L27" s="954"/>
      <c r="M27" s="954"/>
      <c r="N27" s="954"/>
      <c r="O27" s="954"/>
      <c r="P27" s="954"/>
      <c r="Q27" s="954"/>
      <c r="R27" s="954"/>
      <c r="S27" s="954"/>
      <c r="T27" s="954"/>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R27" s="954"/>
      <c r="AS27" s="954"/>
      <c r="AT27" s="954"/>
      <c r="AU27" s="954"/>
      <c r="AV27" s="954"/>
      <c r="AW27" s="954"/>
      <c r="AX27" s="954"/>
    </row>
    <row r="28" spans="2:52" ht="15" customHeight="1">
      <c r="B28" s="790"/>
      <c r="C28" s="957"/>
      <c r="D28" s="956"/>
      <c r="E28" s="956"/>
      <c r="F28" s="956"/>
      <c r="G28" s="956"/>
      <c r="H28" s="956"/>
      <c r="I28" s="956"/>
      <c r="J28" s="956"/>
      <c r="K28" s="956"/>
      <c r="L28" s="956"/>
      <c r="M28" s="956"/>
      <c r="N28" s="956"/>
      <c r="O28" s="956"/>
      <c r="P28" s="956"/>
      <c r="Q28" s="956"/>
      <c r="R28" s="956"/>
      <c r="S28" s="956"/>
      <c r="T28" s="956"/>
      <c r="U28" s="956"/>
      <c r="V28" s="956"/>
      <c r="W28" s="956"/>
      <c r="X28" s="956"/>
      <c r="Y28" s="956"/>
      <c r="Z28" s="956"/>
      <c r="AA28" s="956"/>
      <c r="AB28" s="956"/>
      <c r="AC28" s="956"/>
      <c r="AD28" s="956"/>
      <c r="AE28" s="956"/>
      <c r="AF28" s="956"/>
      <c r="AG28" s="956"/>
      <c r="AH28" s="956"/>
      <c r="AI28" s="956"/>
      <c r="AJ28" s="956"/>
      <c r="AK28" s="956"/>
      <c r="AL28" s="956"/>
      <c r="AM28" s="956"/>
      <c r="AN28" s="956"/>
      <c r="AO28" s="956"/>
      <c r="AP28" s="956"/>
      <c r="AQ28" s="956"/>
      <c r="AR28" s="956"/>
      <c r="AS28" s="956"/>
      <c r="AT28" s="956"/>
      <c r="AU28" s="956"/>
      <c r="AV28" s="956"/>
      <c r="AW28" s="956"/>
      <c r="AX28" s="956"/>
    </row>
    <row r="29" spans="2:52" ht="15" customHeight="1">
      <c r="B29" s="790"/>
      <c r="C29" s="957"/>
      <c r="D29" s="956"/>
      <c r="E29" s="956"/>
      <c r="F29" s="956"/>
      <c r="G29" s="956"/>
      <c r="H29" s="956"/>
      <c r="I29" s="956"/>
      <c r="J29" s="956"/>
      <c r="K29" s="956"/>
      <c r="L29" s="956"/>
      <c r="M29" s="956"/>
      <c r="N29" s="956"/>
      <c r="O29" s="956"/>
      <c r="P29" s="956"/>
      <c r="Q29" s="956"/>
      <c r="R29" s="956"/>
      <c r="S29" s="956"/>
      <c r="T29" s="956"/>
      <c r="U29" s="956"/>
      <c r="V29" s="956"/>
      <c r="W29" s="956"/>
      <c r="X29" s="956"/>
      <c r="Y29" s="956"/>
      <c r="Z29" s="956"/>
      <c r="AA29" s="956"/>
      <c r="AB29" s="956"/>
      <c r="AC29" s="956"/>
      <c r="AD29" s="956"/>
      <c r="AE29" s="956"/>
      <c r="AF29" s="956"/>
      <c r="AG29" s="956"/>
      <c r="AH29" s="956"/>
      <c r="AI29" s="956"/>
      <c r="AJ29" s="956"/>
      <c r="AK29" s="956"/>
      <c r="AL29" s="956"/>
      <c r="AM29" s="956"/>
      <c r="AN29" s="956"/>
      <c r="AO29" s="956"/>
      <c r="AP29" s="956"/>
      <c r="AQ29" s="956"/>
      <c r="AR29" s="956"/>
      <c r="AS29" s="956"/>
      <c r="AT29" s="956"/>
      <c r="AU29" s="956"/>
      <c r="AV29" s="956"/>
      <c r="AW29" s="956"/>
      <c r="AX29" s="956"/>
    </row>
    <row r="30" spans="2:52" ht="15" customHeight="1">
      <c r="C30" s="955" t="s">
        <v>214</v>
      </c>
      <c r="D30" s="954"/>
      <c r="E30" s="954"/>
      <c r="F30" s="954"/>
      <c r="G30" s="954"/>
      <c r="H30" s="954"/>
      <c r="I30" s="954"/>
      <c r="J30" s="954"/>
      <c r="K30" s="954"/>
      <c r="L30" s="954"/>
      <c r="M30" s="954"/>
      <c r="N30" s="954"/>
      <c r="O30" s="954"/>
      <c r="P30" s="954"/>
      <c r="Q30" s="954"/>
      <c r="R30" s="954"/>
      <c r="S30" s="954"/>
      <c r="T30" s="954"/>
      <c r="U30" s="954"/>
      <c r="V30" s="954"/>
      <c r="W30" s="954"/>
      <c r="X30" s="954"/>
      <c r="Y30" s="954"/>
      <c r="Z30" s="954"/>
      <c r="AA30" s="954"/>
      <c r="AB30" s="954"/>
      <c r="AC30" s="954"/>
      <c r="AD30" s="954"/>
      <c r="AE30" s="954"/>
      <c r="AF30" s="954"/>
      <c r="AG30" s="954"/>
      <c r="AH30" s="954"/>
      <c r="AI30" s="954"/>
      <c r="AJ30" s="954"/>
      <c r="AK30" s="954"/>
      <c r="AL30" s="954"/>
      <c r="AM30" s="954"/>
      <c r="AN30" s="954"/>
      <c r="AO30" s="954"/>
      <c r="AP30" s="954"/>
      <c r="AQ30" s="954"/>
      <c r="AR30" s="954"/>
      <c r="AS30" s="954"/>
      <c r="AT30" s="954"/>
      <c r="AU30" s="954"/>
      <c r="AV30" s="954"/>
      <c r="AW30" s="954"/>
      <c r="AX30" s="954"/>
    </row>
    <row r="31" spans="2:52" ht="15" customHeight="1">
      <c r="B31" s="787" t="s">
        <v>206</v>
      </c>
      <c r="C31" s="958" t="s">
        <v>215</v>
      </c>
      <c r="D31" s="959"/>
      <c r="E31" s="959"/>
      <c r="F31" s="959"/>
      <c r="G31" s="959"/>
      <c r="H31" s="959"/>
      <c r="I31" s="959"/>
      <c r="J31" s="959"/>
      <c r="K31" s="959"/>
      <c r="L31" s="959"/>
      <c r="M31" s="959"/>
      <c r="N31" s="959"/>
      <c r="O31" s="959"/>
      <c r="P31" s="959"/>
      <c r="Q31" s="959"/>
      <c r="R31" s="959"/>
      <c r="S31" s="959"/>
      <c r="T31" s="959"/>
      <c r="U31" s="959"/>
      <c r="V31" s="959"/>
      <c r="W31" s="959"/>
      <c r="X31" s="959"/>
      <c r="Y31" s="959"/>
      <c r="Z31" s="959"/>
      <c r="AA31" s="959"/>
      <c r="AB31" s="959"/>
      <c r="AC31" s="959"/>
      <c r="AD31" s="959"/>
      <c r="AE31" s="959"/>
      <c r="AF31" s="959"/>
      <c r="AG31" s="959"/>
      <c r="AH31" s="959"/>
      <c r="AI31" s="959"/>
      <c r="AJ31" s="959"/>
      <c r="AK31" s="959"/>
      <c r="AL31" s="959"/>
      <c r="AM31" s="959"/>
      <c r="AN31" s="959"/>
      <c r="AO31" s="959"/>
      <c r="AP31" s="959"/>
      <c r="AQ31" s="959"/>
      <c r="AR31" s="959"/>
      <c r="AS31" s="959"/>
      <c r="AT31" s="959"/>
      <c r="AU31" s="959"/>
      <c r="AV31" s="959"/>
      <c r="AW31" s="959"/>
      <c r="AX31" s="959"/>
    </row>
    <row r="32" spans="2:52" ht="15" customHeight="1">
      <c r="B32" s="790"/>
      <c r="C32" s="958" t="s">
        <v>216</v>
      </c>
      <c r="D32" s="959"/>
      <c r="E32" s="959"/>
      <c r="F32" s="959"/>
      <c r="G32" s="959"/>
      <c r="H32" s="959"/>
      <c r="I32" s="959"/>
      <c r="J32" s="959"/>
      <c r="K32" s="959"/>
      <c r="L32" s="959"/>
      <c r="M32" s="959"/>
      <c r="N32" s="959"/>
      <c r="O32" s="959"/>
      <c r="P32" s="959"/>
      <c r="Q32" s="959"/>
      <c r="R32" s="959"/>
      <c r="S32" s="959"/>
      <c r="T32" s="959"/>
      <c r="U32" s="959"/>
      <c r="V32" s="959"/>
      <c r="W32" s="959"/>
      <c r="X32" s="959"/>
      <c r="Y32" s="959"/>
      <c r="Z32" s="959"/>
      <c r="AA32" s="959"/>
      <c r="AB32" s="959"/>
      <c r="AC32" s="959"/>
      <c r="AD32" s="959"/>
      <c r="AE32" s="959"/>
      <c r="AF32" s="959"/>
      <c r="AG32" s="959"/>
      <c r="AH32" s="959"/>
      <c r="AI32" s="959"/>
      <c r="AJ32" s="959"/>
      <c r="AK32" s="959"/>
      <c r="AL32" s="959"/>
      <c r="AM32" s="959"/>
      <c r="AN32" s="959"/>
      <c r="AO32" s="959"/>
      <c r="AP32" s="959"/>
      <c r="AQ32" s="959"/>
      <c r="AR32" s="959"/>
      <c r="AS32" s="959"/>
      <c r="AT32" s="959"/>
      <c r="AU32" s="959"/>
      <c r="AV32" s="959"/>
      <c r="AW32" s="959"/>
      <c r="AX32" s="959"/>
    </row>
    <row r="33" spans="2:55" ht="15" customHeight="1">
      <c r="B33" s="790"/>
      <c r="C33" s="957"/>
      <c r="D33" s="956"/>
      <c r="E33" s="956"/>
      <c r="F33" s="956"/>
      <c r="G33" s="956"/>
      <c r="H33" s="956"/>
      <c r="I33" s="956"/>
      <c r="J33" s="956"/>
      <c r="K33" s="956"/>
      <c r="L33" s="956"/>
      <c r="M33" s="956"/>
      <c r="N33" s="956"/>
      <c r="O33" s="956"/>
      <c r="P33" s="956"/>
      <c r="Q33" s="956"/>
      <c r="R33" s="956"/>
      <c r="S33" s="956"/>
      <c r="T33" s="956"/>
      <c r="U33" s="956"/>
      <c r="V33" s="956"/>
      <c r="W33" s="956"/>
      <c r="X33" s="956"/>
      <c r="Y33" s="956"/>
      <c r="Z33" s="956"/>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row>
    <row r="34" spans="2:55" ht="15" customHeight="1">
      <c r="B34" s="790"/>
      <c r="C34" s="957"/>
      <c r="D34" s="956"/>
      <c r="E34" s="956"/>
      <c r="F34" s="956"/>
      <c r="G34" s="956"/>
      <c r="H34" s="956"/>
      <c r="I34" s="956"/>
      <c r="J34" s="956"/>
      <c r="K34" s="956"/>
      <c r="L34" s="956"/>
      <c r="M34" s="956"/>
      <c r="N34" s="956"/>
      <c r="O34" s="956"/>
      <c r="P34" s="956"/>
      <c r="Q34" s="956"/>
      <c r="R34" s="956"/>
      <c r="S34" s="956"/>
      <c r="T34" s="956"/>
      <c r="U34" s="956"/>
      <c r="V34" s="956"/>
      <c r="W34" s="956"/>
      <c r="X34" s="956"/>
      <c r="Y34" s="956"/>
      <c r="Z34" s="956"/>
      <c r="AA34" s="956"/>
      <c r="AB34" s="956"/>
      <c r="AC34" s="956"/>
      <c r="AD34" s="956"/>
      <c r="AE34" s="956"/>
      <c r="AF34" s="956"/>
      <c r="AG34" s="956"/>
      <c r="AH34" s="956"/>
      <c r="AI34" s="956"/>
      <c r="AJ34" s="956"/>
      <c r="AK34" s="956"/>
      <c r="AL34" s="956"/>
      <c r="AM34" s="956"/>
      <c r="AN34" s="956"/>
      <c r="AO34" s="956"/>
      <c r="AP34" s="956"/>
      <c r="AQ34" s="956"/>
      <c r="AR34" s="956"/>
      <c r="AS34" s="956"/>
      <c r="AT34" s="956"/>
      <c r="AU34" s="956"/>
      <c r="AV34" s="956"/>
      <c r="AW34" s="956"/>
      <c r="AX34" s="956"/>
    </row>
    <row r="35" spans="2:55" ht="15" customHeight="1">
      <c r="C35" s="955" t="s">
        <v>217</v>
      </c>
      <c r="D35" s="954"/>
      <c r="E35" s="954"/>
      <c r="F35" s="954"/>
      <c r="G35" s="954"/>
      <c r="H35" s="954"/>
      <c r="I35" s="954"/>
      <c r="J35" s="954"/>
      <c r="K35" s="954"/>
      <c r="L35" s="954"/>
      <c r="M35" s="954"/>
      <c r="N35" s="954"/>
      <c r="O35" s="954"/>
      <c r="P35" s="954"/>
      <c r="Q35" s="954"/>
      <c r="R35" s="954"/>
      <c r="S35" s="954"/>
      <c r="T35" s="954"/>
      <c r="U35" s="954"/>
      <c r="V35" s="954"/>
      <c r="W35" s="954"/>
      <c r="X35" s="954"/>
      <c r="Y35" s="954"/>
      <c r="Z35" s="954"/>
      <c r="AA35" s="954"/>
      <c r="AB35" s="954"/>
      <c r="AC35" s="954"/>
      <c r="AD35" s="954"/>
      <c r="AE35" s="954"/>
      <c r="AF35" s="954"/>
      <c r="AG35" s="954"/>
      <c r="AH35" s="954"/>
      <c r="AI35" s="954"/>
      <c r="AJ35" s="954"/>
      <c r="AK35" s="954"/>
      <c r="AL35" s="954"/>
      <c r="AM35" s="954"/>
      <c r="AN35" s="954"/>
      <c r="AO35" s="954"/>
      <c r="AP35" s="954"/>
      <c r="AQ35" s="954"/>
      <c r="AR35" s="954"/>
      <c r="AS35" s="954"/>
      <c r="AT35" s="954"/>
      <c r="AU35" s="954"/>
      <c r="AV35" s="954"/>
      <c r="AW35" s="954"/>
      <c r="AX35" s="954"/>
    </row>
    <row r="36" spans="2:55" ht="15" customHeight="1">
      <c r="B36" s="787" t="s">
        <v>204</v>
      </c>
      <c r="C36" s="953" t="s">
        <v>218</v>
      </c>
      <c r="D36" s="941"/>
      <c r="E36" s="941"/>
      <c r="F36" s="941"/>
      <c r="G36" s="941"/>
      <c r="H36" s="941"/>
      <c r="I36" s="941"/>
      <c r="J36" s="941"/>
      <c r="K36" s="941"/>
      <c r="L36" s="941"/>
      <c r="M36" s="941"/>
      <c r="N36" s="941"/>
      <c r="O36" s="941"/>
      <c r="P36" s="941"/>
      <c r="Q36" s="941"/>
      <c r="R36" s="941"/>
      <c r="S36" s="941"/>
      <c r="T36" s="941"/>
      <c r="U36" s="941"/>
      <c r="V36" s="941"/>
      <c r="W36" s="941"/>
      <c r="X36" s="941"/>
      <c r="Y36" s="941"/>
      <c r="Z36" s="941"/>
      <c r="AA36" s="941"/>
      <c r="AB36" s="941"/>
      <c r="AC36" s="941"/>
      <c r="AD36" s="941"/>
      <c r="AE36" s="941"/>
      <c r="AF36" s="941"/>
      <c r="AG36" s="941"/>
      <c r="AH36" s="941"/>
      <c r="AI36" s="941"/>
      <c r="AJ36" s="941"/>
      <c r="AK36" s="941"/>
      <c r="AL36" s="941"/>
      <c r="AM36" s="941"/>
      <c r="AN36" s="941"/>
      <c r="AO36" s="941"/>
      <c r="AP36" s="941"/>
      <c r="AQ36" s="941"/>
      <c r="AR36" s="941"/>
      <c r="AS36" s="941"/>
      <c r="AT36" s="941"/>
      <c r="AU36" s="941"/>
      <c r="AV36" s="941"/>
      <c r="AW36" s="941"/>
      <c r="AX36" s="941"/>
    </row>
    <row r="37" spans="2:55" ht="15" customHeight="1">
      <c r="B37" s="790"/>
      <c r="C37" s="953" t="s">
        <v>219</v>
      </c>
      <c r="D37" s="941"/>
      <c r="E37" s="941"/>
      <c r="F37" s="941"/>
      <c r="G37" s="941"/>
      <c r="H37" s="941"/>
      <c r="I37" s="941"/>
      <c r="J37" s="941"/>
      <c r="K37" s="941"/>
      <c r="L37" s="941"/>
      <c r="M37" s="941"/>
      <c r="N37" s="941"/>
      <c r="O37" s="941"/>
      <c r="P37" s="941"/>
      <c r="Q37" s="941"/>
      <c r="R37" s="941"/>
      <c r="S37" s="941"/>
      <c r="T37" s="941"/>
      <c r="U37" s="941"/>
      <c r="V37" s="941"/>
      <c r="W37" s="941"/>
      <c r="X37" s="941"/>
      <c r="Y37" s="941"/>
      <c r="Z37" s="941"/>
      <c r="AA37" s="941"/>
      <c r="AB37" s="941"/>
      <c r="AC37" s="941"/>
      <c r="AD37" s="941"/>
      <c r="AE37" s="941"/>
      <c r="AF37" s="941"/>
      <c r="AG37" s="941"/>
      <c r="AH37" s="941"/>
      <c r="AI37" s="941"/>
      <c r="AJ37" s="941"/>
      <c r="AK37" s="941"/>
      <c r="AL37" s="941"/>
      <c r="AM37" s="941"/>
      <c r="AN37" s="941"/>
      <c r="AO37" s="941"/>
      <c r="AP37" s="941"/>
      <c r="AQ37" s="941"/>
      <c r="AR37" s="941"/>
      <c r="AS37" s="941"/>
      <c r="AT37" s="941"/>
      <c r="AU37" s="941"/>
      <c r="AV37" s="941"/>
      <c r="AW37" s="941"/>
      <c r="AX37" s="941"/>
    </row>
    <row r="38" spans="2:55" ht="15" customHeight="1">
      <c r="B38" s="790"/>
      <c r="C38" s="951" t="s">
        <v>220</v>
      </c>
      <c r="D38" s="952"/>
      <c r="E38" s="952"/>
      <c r="F38" s="952"/>
      <c r="G38" s="952"/>
      <c r="H38" s="952"/>
      <c r="I38" s="952"/>
      <c r="J38" s="952"/>
      <c r="K38" s="952"/>
      <c r="L38" s="952"/>
      <c r="M38" s="952"/>
      <c r="N38" s="952"/>
      <c r="O38" s="952"/>
      <c r="P38" s="952"/>
      <c r="Q38" s="952"/>
      <c r="R38" s="952"/>
      <c r="S38" s="952"/>
      <c r="T38" s="952"/>
      <c r="U38" s="952"/>
      <c r="V38" s="952"/>
      <c r="W38" s="952"/>
      <c r="X38" s="952"/>
      <c r="Y38" s="952"/>
      <c r="Z38" s="952"/>
      <c r="AA38" s="952"/>
      <c r="AB38" s="952"/>
      <c r="AC38" s="952"/>
      <c r="AD38" s="952"/>
      <c r="AE38" s="952"/>
      <c r="AF38" s="952"/>
      <c r="AG38" s="952"/>
      <c r="AH38" s="952"/>
      <c r="AI38" s="952"/>
      <c r="AJ38" s="952"/>
      <c r="AK38" s="952"/>
      <c r="AL38" s="952"/>
      <c r="AM38" s="952"/>
      <c r="AN38" s="952"/>
      <c r="AO38" s="952"/>
      <c r="AP38" s="952"/>
      <c r="AQ38" s="952"/>
      <c r="AR38" s="952"/>
      <c r="AS38" s="952"/>
      <c r="AT38" s="952"/>
      <c r="AU38" s="952"/>
      <c r="AV38" s="952"/>
      <c r="AW38" s="952"/>
      <c r="AX38" s="952"/>
    </row>
    <row r="39" spans="2:55" ht="15" customHeight="1">
      <c r="B39" s="790"/>
      <c r="C39" s="957"/>
      <c r="D39" s="956"/>
      <c r="E39" s="956"/>
      <c r="F39" s="956"/>
      <c r="G39" s="956"/>
      <c r="H39" s="956"/>
      <c r="I39" s="956"/>
      <c r="J39" s="956"/>
      <c r="K39" s="956"/>
      <c r="L39" s="956"/>
      <c r="M39" s="956"/>
      <c r="N39" s="956"/>
      <c r="O39" s="956"/>
      <c r="P39" s="956"/>
      <c r="Q39" s="956"/>
      <c r="R39" s="956"/>
      <c r="S39" s="956"/>
      <c r="T39" s="956"/>
      <c r="U39" s="956"/>
      <c r="V39" s="956"/>
      <c r="W39" s="956"/>
      <c r="X39" s="956"/>
      <c r="Y39" s="956"/>
      <c r="Z39" s="956"/>
      <c r="AA39" s="956"/>
      <c r="AB39" s="956"/>
      <c r="AC39" s="956"/>
      <c r="AD39" s="956"/>
      <c r="AE39" s="956"/>
      <c r="AF39" s="956"/>
      <c r="AG39" s="956"/>
      <c r="AH39" s="956"/>
      <c r="AI39" s="956"/>
      <c r="AJ39" s="956"/>
      <c r="AK39" s="956"/>
      <c r="AL39" s="956"/>
      <c r="AM39" s="956"/>
      <c r="AN39" s="956"/>
      <c r="AO39" s="956"/>
      <c r="AP39" s="956"/>
      <c r="AQ39" s="956"/>
      <c r="AR39" s="956"/>
      <c r="AS39" s="956"/>
      <c r="AT39" s="956"/>
      <c r="AU39" s="956"/>
      <c r="AV39" s="956"/>
      <c r="AW39" s="956"/>
      <c r="AX39" s="956"/>
      <c r="AY39" s="550"/>
      <c r="AZ39" s="550"/>
      <c r="BA39" s="550"/>
      <c r="BB39" s="550"/>
      <c r="BC39" s="550"/>
    </row>
    <row r="40" spans="2:55" s="23" customFormat="1" ht="15" customHeight="1">
      <c r="B40" s="790"/>
      <c r="C40" s="957"/>
      <c r="D40" s="956"/>
      <c r="E40" s="956"/>
      <c r="F40" s="956"/>
      <c r="G40" s="956"/>
      <c r="H40" s="956"/>
      <c r="I40" s="956"/>
      <c r="J40" s="956"/>
      <c r="K40" s="956"/>
      <c r="L40" s="956"/>
      <c r="M40" s="956"/>
      <c r="N40" s="956"/>
      <c r="O40" s="956"/>
      <c r="P40" s="956"/>
      <c r="Q40" s="956"/>
      <c r="R40" s="956"/>
      <c r="S40" s="956"/>
      <c r="T40" s="956"/>
      <c r="U40" s="956"/>
      <c r="V40" s="956"/>
      <c r="W40" s="956"/>
      <c r="X40" s="956"/>
      <c r="Y40" s="956"/>
      <c r="Z40" s="956"/>
      <c r="AA40" s="956"/>
      <c r="AB40" s="956"/>
      <c r="AC40" s="956"/>
      <c r="AD40" s="956"/>
      <c r="AE40" s="956"/>
      <c r="AF40" s="956"/>
      <c r="AG40" s="956"/>
      <c r="AH40" s="956"/>
      <c r="AI40" s="956"/>
      <c r="AJ40" s="956"/>
      <c r="AK40" s="956"/>
      <c r="AL40" s="956"/>
      <c r="AM40" s="956"/>
      <c r="AN40" s="956"/>
      <c r="AO40" s="956"/>
      <c r="AP40" s="956"/>
      <c r="AQ40" s="956"/>
      <c r="AR40" s="956"/>
      <c r="AS40" s="956"/>
      <c r="AT40" s="956"/>
      <c r="AU40" s="956"/>
      <c r="AV40" s="956"/>
      <c r="AW40" s="956"/>
      <c r="AX40" s="956"/>
      <c r="AY40" s="550"/>
      <c r="AZ40" s="550"/>
      <c r="BA40" s="550"/>
      <c r="BB40" s="550"/>
      <c r="BC40" s="550"/>
    </row>
    <row r="41" spans="2:55" ht="15" customHeight="1">
      <c r="C41" s="951" t="s">
        <v>221</v>
      </c>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c r="AG41" s="952"/>
      <c r="AH41" s="952"/>
      <c r="AI41" s="952"/>
      <c r="AJ41" s="952"/>
      <c r="AK41" s="952"/>
      <c r="AL41" s="952"/>
      <c r="AM41" s="952"/>
      <c r="AN41" s="952"/>
      <c r="AO41" s="952"/>
      <c r="AP41" s="952"/>
      <c r="AQ41" s="952"/>
      <c r="AR41" s="952"/>
      <c r="AS41" s="952"/>
      <c r="AT41" s="952"/>
      <c r="AU41" s="952"/>
      <c r="AV41" s="952"/>
      <c r="AW41" s="952"/>
      <c r="AX41" s="952"/>
    </row>
    <row r="42" spans="2:55" ht="15" customHeight="1">
      <c r="B42" s="791" t="s">
        <v>207</v>
      </c>
      <c r="C42" s="953" t="s">
        <v>222</v>
      </c>
      <c r="D42" s="941"/>
      <c r="E42" s="941"/>
      <c r="F42" s="941"/>
      <c r="G42" s="941"/>
      <c r="H42" s="941"/>
      <c r="I42" s="941"/>
      <c r="J42" s="941"/>
      <c r="K42" s="941"/>
      <c r="L42" s="941"/>
      <c r="M42" s="941"/>
      <c r="N42" s="941"/>
      <c r="O42" s="941"/>
      <c r="P42" s="941"/>
      <c r="Q42" s="941"/>
      <c r="R42" s="941"/>
      <c r="S42" s="941"/>
      <c r="T42" s="941"/>
      <c r="U42" s="941"/>
      <c r="V42" s="941"/>
      <c r="W42" s="941"/>
      <c r="X42" s="941"/>
      <c r="Y42" s="941"/>
      <c r="Z42" s="941"/>
      <c r="AA42" s="941"/>
      <c r="AB42" s="941"/>
      <c r="AC42" s="941"/>
      <c r="AD42" s="941"/>
      <c r="AE42" s="941"/>
      <c r="AF42" s="941"/>
      <c r="AG42" s="941"/>
      <c r="AH42" s="941"/>
      <c r="AI42" s="941"/>
      <c r="AJ42" s="941"/>
      <c r="AK42" s="941"/>
      <c r="AL42" s="941"/>
      <c r="AM42" s="941"/>
      <c r="AN42" s="941"/>
      <c r="AO42" s="941"/>
      <c r="AP42" s="941"/>
      <c r="AQ42" s="941"/>
      <c r="AR42" s="941"/>
      <c r="AS42" s="941"/>
      <c r="AT42" s="941"/>
      <c r="AU42" s="941"/>
      <c r="AV42" s="941"/>
      <c r="AW42" s="941"/>
      <c r="AX42" s="941"/>
    </row>
    <row r="43" spans="2:55" ht="15" customHeight="1">
      <c r="B43" s="790"/>
      <c r="C43" s="955" t="s">
        <v>223</v>
      </c>
      <c r="D43" s="954"/>
      <c r="E43" s="954"/>
      <c r="F43" s="954"/>
      <c r="G43" s="954"/>
      <c r="H43" s="954"/>
      <c r="I43" s="954"/>
      <c r="J43" s="954"/>
      <c r="K43" s="954"/>
      <c r="L43" s="954"/>
      <c r="M43" s="954"/>
      <c r="N43" s="954"/>
      <c r="O43" s="954"/>
      <c r="P43" s="954"/>
      <c r="Q43" s="954"/>
      <c r="R43" s="954"/>
      <c r="S43" s="954"/>
      <c r="T43" s="954"/>
      <c r="U43" s="954"/>
      <c r="V43" s="954"/>
      <c r="W43" s="954"/>
      <c r="X43" s="954"/>
      <c r="Y43" s="954"/>
      <c r="Z43" s="954"/>
      <c r="AA43" s="954"/>
      <c r="AB43" s="954"/>
      <c r="AC43" s="954"/>
      <c r="AD43" s="954"/>
      <c r="AE43" s="954"/>
      <c r="AF43" s="954"/>
      <c r="AG43" s="954"/>
      <c r="AH43" s="954"/>
      <c r="AI43" s="954"/>
      <c r="AJ43" s="954"/>
      <c r="AK43" s="954"/>
      <c r="AL43" s="954"/>
      <c r="AM43" s="954"/>
      <c r="AN43" s="954"/>
      <c r="AO43" s="954"/>
      <c r="AP43" s="954"/>
      <c r="AQ43" s="954"/>
      <c r="AR43" s="954"/>
      <c r="AS43" s="954"/>
      <c r="AT43" s="954"/>
      <c r="AU43" s="954"/>
      <c r="AV43" s="954"/>
      <c r="AW43" s="954"/>
      <c r="AX43" s="954"/>
    </row>
    <row r="44" spans="2:55" ht="15" customHeight="1">
      <c r="C44" s="956"/>
      <c r="D44" s="956"/>
      <c r="E44" s="956"/>
      <c r="F44" s="956"/>
      <c r="G44" s="956"/>
      <c r="H44" s="956"/>
      <c r="I44" s="956"/>
      <c r="J44" s="956"/>
      <c r="K44" s="956"/>
      <c r="L44" s="956"/>
      <c r="M44" s="956"/>
      <c r="N44" s="956"/>
      <c r="O44" s="956"/>
      <c r="P44" s="956"/>
      <c r="Q44" s="956"/>
      <c r="R44" s="956"/>
      <c r="S44" s="956"/>
      <c r="T44" s="956"/>
      <c r="U44" s="956"/>
      <c r="V44" s="956"/>
      <c r="W44" s="956"/>
      <c r="X44" s="956"/>
      <c r="Y44" s="956"/>
      <c r="Z44" s="956"/>
      <c r="AA44" s="956"/>
      <c r="AB44" s="956"/>
      <c r="AC44" s="956"/>
      <c r="AD44" s="956"/>
      <c r="AE44" s="956"/>
      <c r="AF44" s="956"/>
      <c r="AG44" s="956"/>
      <c r="AH44" s="956"/>
      <c r="AI44" s="956"/>
      <c r="AJ44" s="956"/>
      <c r="AK44" s="956"/>
      <c r="AL44" s="956"/>
      <c r="AM44" s="956"/>
      <c r="AN44" s="956"/>
      <c r="AO44" s="956"/>
      <c r="AP44" s="956"/>
      <c r="AQ44" s="956"/>
      <c r="AR44" s="956"/>
      <c r="AS44" s="956"/>
      <c r="AT44" s="956"/>
      <c r="AU44" s="956"/>
      <c r="AV44" s="956"/>
      <c r="AW44" s="956"/>
      <c r="AX44" s="956"/>
    </row>
    <row r="45" spans="2:55" ht="15" customHeight="1">
      <c r="C45" s="956"/>
      <c r="D45" s="956"/>
      <c r="E45" s="956"/>
      <c r="F45" s="956"/>
      <c r="G45" s="956"/>
      <c r="H45" s="956"/>
      <c r="I45" s="956"/>
      <c r="J45" s="956"/>
      <c r="K45" s="956"/>
      <c r="L45" s="956"/>
      <c r="M45" s="956"/>
      <c r="N45" s="956"/>
      <c r="O45" s="956"/>
      <c r="P45" s="956"/>
      <c r="Q45" s="956"/>
      <c r="R45" s="956"/>
      <c r="S45" s="956"/>
      <c r="T45" s="956"/>
      <c r="U45" s="956"/>
      <c r="V45" s="956"/>
      <c r="W45" s="956"/>
      <c r="X45" s="956"/>
      <c r="Y45" s="956"/>
      <c r="Z45" s="956"/>
      <c r="AA45" s="956"/>
      <c r="AB45" s="956"/>
      <c r="AC45" s="956"/>
      <c r="AD45" s="956"/>
      <c r="AE45" s="956"/>
      <c r="AF45" s="956"/>
      <c r="AG45" s="956"/>
      <c r="AH45" s="956"/>
      <c r="AI45" s="956"/>
      <c r="AJ45" s="956"/>
      <c r="AK45" s="956"/>
      <c r="AL45" s="956"/>
      <c r="AM45" s="956"/>
      <c r="AN45" s="956"/>
      <c r="AO45" s="956"/>
      <c r="AP45" s="956"/>
      <c r="AQ45" s="956"/>
      <c r="AR45" s="956"/>
      <c r="AS45" s="956"/>
      <c r="AT45" s="956"/>
      <c r="AU45" s="956"/>
      <c r="AV45" s="956"/>
      <c r="AW45" s="956"/>
      <c r="AX45" s="956"/>
    </row>
    <row r="46" spans="2:55" ht="15" customHeight="1">
      <c r="C46" s="792"/>
      <c r="D46" s="788"/>
      <c r="E46" s="788"/>
      <c r="F46" s="788"/>
      <c r="G46" s="788"/>
      <c r="H46" s="954"/>
      <c r="I46" s="954"/>
      <c r="J46" s="954"/>
      <c r="K46" s="954"/>
      <c r="L46" s="954"/>
      <c r="M46" s="954"/>
      <c r="N46" s="954"/>
      <c r="O46" s="954"/>
      <c r="P46" s="954"/>
      <c r="Q46" s="954"/>
      <c r="R46" s="954"/>
      <c r="S46" s="954"/>
      <c r="T46" s="954"/>
      <c r="U46" s="954"/>
      <c r="V46" s="954"/>
      <c r="W46" s="954"/>
      <c r="X46" s="954"/>
      <c r="Y46" s="954"/>
      <c r="Z46" s="954"/>
      <c r="AA46" s="954"/>
      <c r="AB46" s="954"/>
      <c r="AC46" s="954"/>
      <c r="AD46" s="954"/>
      <c r="AE46" s="954"/>
      <c r="AF46" s="954"/>
      <c r="AG46" s="954"/>
      <c r="AH46" s="954"/>
      <c r="AI46" s="954"/>
      <c r="AJ46" s="954"/>
      <c r="AK46" s="954"/>
      <c r="AL46" s="954"/>
      <c r="AM46" s="954"/>
      <c r="AN46" s="954"/>
      <c r="AO46" s="954"/>
      <c r="AP46" s="954"/>
      <c r="AQ46" s="954"/>
      <c r="AR46" s="954"/>
      <c r="AS46" s="954"/>
      <c r="AT46" s="954"/>
      <c r="AU46" s="954"/>
      <c r="AV46" s="954"/>
      <c r="AW46" s="954"/>
      <c r="AX46" s="954"/>
    </row>
    <row r="59" spans="3:50" ht="15" customHeight="1">
      <c r="C59" s="792"/>
      <c r="D59" s="788"/>
      <c r="E59" s="788"/>
      <c r="F59" s="788"/>
      <c r="G59" s="788"/>
      <c r="H59" s="788"/>
      <c r="I59" s="792"/>
      <c r="J59" s="788"/>
      <c r="K59" s="788"/>
      <c r="L59" s="788"/>
      <c r="M59" s="788"/>
      <c r="N59" s="788"/>
      <c r="O59" s="792"/>
      <c r="P59" s="788"/>
      <c r="Q59" s="788"/>
      <c r="R59" s="788"/>
      <c r="S59" s="788"/>
      <c r="T59" s="788"/>
      <c r="U59" s="792"/>
      <c r="V59" s="788"/>
      <c r="W59" s="788"/>
      <c r="X59" s="788"/>
      <c r="Y59" s="788"/>
      <c r="Z59" s="788"/>
      <c r="AA59" s="792"/>
      <c r="AB59" s="788"/>
      <c r="AC59" s="788"/>
      <c r="AD59" s="788"/>
      <c r="AE59" s="788"/>
      <c r="AF59" s="788"/>
      <c r="AG59" s="792"/>
      <c r="AH59" s="788"/>
      <c r="AI59" s="788"/>
      <c r="AJ59" s="788"/>
      <c r="AK59" s="788"/>
      <c r="AL59" s="788"/>
      <c r="AM59" s="792"/>
      <c r="AN59" s="788"/>
      <c r="AO59" s="788"/>
      <c r="AP59" s="788"/>
      <c r="AQ59" s="788"/>
      <c r="AR59" s="788"/>
      <c r="AS59" s="792"/>
      <c r="AT59" s="788"/>
      <c r="AU59" s="792"/>
      <c r="AV59" s="789"/>
      <c r="AW59" s="792"/>
      <c r="AX59" s="788"/>
    </row>
    <row r="60" spans="3:50" ht="15" customHeight="1">
      <c r="C60" s="792"/>
      <c r="D60" s="788"/>
      <c r="E60" s="788"/>
      <c r="F60" s="788"/>
      <c r="G60" s="788"/>
      <c r="H60" s="788"/>
      <c r="I60" s="792"/>
      <c r="J60" s="788"/>
      <c r="K60" s="788"/>
      <c r="L60" s="788"/>
      <c r="M60" s="788"/>
      <c r="N60" s="788"/>
      <c r="O60" s="792"/>
      <c r="P60" s="788"/>
      <c r="Q60" s="788"/>
      <c r="R60" s="788"/>
      <c r="S60" s="788"/>
      <c r="T60" s="788"/>
      <c r="U60" s="792"/>
      <c r="V60" s="788"/>
      <c r="W60" s="788"/>
      <c r="X60" s="788"/>
      <c r="Y60" s="788"/>
      <c r="Z60" s="788"/>
      <c r="AA60" s="792"/>
      <c r="AB60" s="788"/>
      <c r="AC60" s="788"/>
      <c r="AD60" s="788"/>
      <c r="AE60" s="788"/>
      <c r="AF60" s="788"/>
      <c r="AG60" s="792"/>
      <c r="AH60" s="788"/>
      <c r="AI60" s="788"/>
      <c r="AJ60" s="788"/>
      <c r="AK60" s="788"/>
      <c r="AL60" s="788"/>
      <c r="AM60" s="792"/>
      <c r="AN60" s="788"/>
      <c r="AO60" s="788"/>
      <c r="AP60" s="788"/>
      <c r="AQ60" s="788"/>
      <c r="AR60" s="788"/>
      <c r="AS60" s="792"/>
      <c r="AT60" s="788"/>
      <c r="AU60" s="792"/>
      <c r="AV60" s="789"/>
      <c r="AW60" s="792"/>
      <c r="AX60" s="788"/>
    </row>
  </sheetData>
  <mergeCells count="30">
    <mergeCell ref="C39:AX39"/>
    <mergeCell ref="C40:AX40"/>
    <mergeCell ref="C34:AX34"/>
    <mergeCell ref="C35:AX35"/>
    <mergeCell ref="C36:AX36"/>
    <mergeCell ref="C37:AX37"/>
    <mergeCell ref="C38:AX38"/>
    <mergeCell ref="C41:AX41"/>
    <mergeCell ref="C25:AX25"/>
    <mergeCell ref="C24:AX24"/>
    <mergeCell ref="H46:AX46"/>
    <mergeCell ref="C42:AX42"/>
    <mergeCell ref="C43:AX43"/>
    <mergeCell ref="C44:AX44"/>
    <mergeCell ref="C45:AX45"/>
    <mergeCell ref="C26:AX26"/>
    <mergeCell ref="C27:AX27"/>
    <mergeCell ref="C28:AX28"/>
    <mergeCell ref="C29:AX29"/>
    <mergeCell ref="C30:AX30"/>
    <mergeCell ref="C31:AX31"/>
    <mergeCell ref="C32:AX32"/>
    <mergeCell ref="C33:AX33"/>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AA109"/>
  <sheetViews>
    <sheetView showGridLines="0" topLeftCell="A65" zoomScale="66" zoomScaleNormal="85" workbookViewId="0">
      <selection activeCell="C60" sqref="C60"/>
    </sheetView>
  </sheetViews>
  <sheetFormatPr defaultColWidth="11.625" defaultRowHeight="15" customHeight="1"/>
  <cols>
    <col min="1" max="1" width="4" style="23" bestFit="1" customWidth="1"/>
    <col min="2" max="2" width="30.125" style="23" bestFit="1" customWidth="1"/>
    <col min="3" max="3" width="17.25" style="23" bestFit="1" customWidth="1"/>
    <col min="4" max="4" width="9.5" style="23" bestFit="1" customWidth="1"/>
    <col min="5" max="5" width="10.375" style="23" bestFit="1" customWidth="1"/>
    <col min="6" max="6" width="17.5" style="23" bestFit="1" customWidth="1"/>
    <col min="7" max="7" width="10.75" style="23" bestFit="1" customWidth="1"/>
    <col min="8" max="8" width="15.75" style="23" bestFit="1" customWidth="1"/>
    <col min="9" max="13" width="23.25" style="23" bestFit="1" customWidth="1"/>
    <col min="14" max="14" width="14.5" style="23" bestFit="1" customWidth="1"/>
    <col min="15" max="15" width="17.25" style="23" bestFit="1" customWidth="1"/>
    <col min="16" max="16" width="17.875" style="23" bestFit="1" customWidth="1"/>
    <col min="17" max="17" width="17.5" style="23" bestFit="1" customWidth="1"/>
    <col min="18" max="18" width="16.125" style="23" bestFit="1" customWidth="1"/>
    <col min="19" max="19" width="11.625" style="23"/>
    <col min="20" max="20" width="12.75" style="23" customWidth="1"/>
    <col min="21" max="21" width="13.25" style="23" customWidth="1"/>
    <col min="22" max="22" width="13.375" style="23" customWidth="1"/>
    <col min="23" max="23" width="17.5" style="23" customWidth="1"/>
    <col min="24" max="24" width="15.75" style="23" customWidth="1"/>
    <col min="25" max="25" width="15" style="23" customWidth="1"/>
    <col min="26" max="26" width="13.25" style="23" customWidth="1"/>
    <col min="27" max="16384" width="11.625" style="23"/>
  </cols>
  <sheetData>
    <row r="1" spans="1:18" s="574" customFormat="1" ht="15" customHeight="1"/>
    <row r="2" spans="1:18" s="574" customFormat="1" ht="15" customHeight="1"/>
    <row r="3" spans="1:18" s="574" customFormat="1" ht="15" customHeight="1"/>
    <row r="4" spans="1:18" s="574" customFormat="1" ht="15" customHeight="1"/>
    <row r="5" spans="1:18" s="36" customFormat="1" ht="3.95" customHeight="1"/>
    <row r="7" spans="1:18" ht="15" customHeight="1">
      <c r="B7" s="584" t="s">
        <v>224</v>
      </c>
      <c r="C7" s="574"/>
      <c r="D7" s="574"/>
      <c r="E7" s="574"/>
      <c r="F7" s="574"/>
      <c r="G7" s="574"/>
      <c r="H7" s="574"/>
      <c r="I7" s="574"/>
      <c r="J7" s="574"/>
      <c r="K7" s="574"/>
      <c r="L7" s="574"/>
      <c r="M7" s="473"/>
      <c r="N7" s="473"/>
      <c r="O7" s="473"/>
      <c r="P7" s="473"/>
      <c r="Q7" s="473"/>
      <c r="R7" s="473"/>
    </row>
    <row r="8" spans="1:18" ht="15" customHeight="1">
      <c r="B8" s="574"/>
      <c r="C8" s="574"/>
      <c r="D8" s="574"/>
      <c r="E8" s="574"/>
      <c r="F8" s="574"/>
      <c r="G8" s="574"/>
      <c r="H8" s="574"/>
      <c r="I8" s="574"/>
      <c r="J8" s="574"/>
      <c r="K8" s="574"/>
      <c r="L8" s="574"/>
      <c r="M8" s="473"/>
      <c r="N8" s="473"/>
      <c r="O8" s="473"/>
      <c r="P8" s="473"/>
      <c r="Q8" s="473"/>
      <c r="R8" s="473"/>
    </row>
    <row r="9" spans="1:18" ht="15" customHeight="1">
      <c r="B9" s="574"/>
      <c r="C9" s="574"/>
      <c r="D9" s="574"/>
      <c r="E9" s="574"/>
      <c r="F9" s="574"/>
      <c r="G9" s="574"/>
      <c r="H9" s="574"/>
      <c r="I9" s="574"/>
      <c r="J9" s="574"/>
      <c r="K9" s="574"/>
      <c r="L9" s="574"/>
      <c r="M9" s="473"/>
      <c r="N9" s="473"/>
      <c r="O9" s="473"/>
      <c r="P9" s="473"/>
      <c r="Q9" s="473"/>
      <c r="R9" s="473"/>
    </row>
    <row r="10" spans="1:18" ht="3.95" customHeight="1">
      <c r="B10" s="36"/>
      <c r="C10" s="36"/>
      <c r="D10" s="36"/>
      <c r="E10" s="36"/>
      <c r="F10" s="36"/>
      <c r="G10" s="36"/>
      <c r="H10" s="36"/>
      <c r="I10" s="36"/>
      <c r="J10" s="36"/>
      <c r="K10" s="36"/>
      <c r="L10" s="36"/>
      <c r="M10" s="473"/>
      <c r="N10" s="473"/>
      <c r="O10" s="473"/>
      <c r="P10" s="473"/>
      <c r="Q10" s="473"/>
      <c r="R10" s="473"/>
    </row>
    <row r="11" spans="1:18" ht="3.95" customHeight="1">
      <c r="M11" s="473"/>
      <c r="N11" s="473"/>
      <c r="O11" s="473"/>
      <c r="P11" s="473"/>
      <c r="Q11" s="473"/>
      <c r="R11" s="473"/>
    </row>
    <row r="12" spans="1:18" ht="15" customHeight="1">
      <c r="A12" s="379" t="s">
        <v>39</v>
      </c>
      <c r="B12" s="589" t="s">
        <v>225</v>
      </c>
      <c r="C12" s="590" t="s">
        <v>226</v>
      </c>
      <c r="D12" s="590" t="s">
        <v>227</v>
      </c>
      <c r="E12" s="590" t="s">
        <v>228</v>
      </c>
      <c r="F12" s="590" t="s">
        <v>229</v>
      </c>
      <c r="G12" s="590" t="s">
        <v>230</v>
      </c>
      <c r="H12" s="590" t="s">
        <v>231</v>
      </c>
      <c r="I12" s="590" t="s">
        <v>232</v>
      </c>
      <c r="J12" s="590" t="s">
        <v>233</v>
      </c>
      <c r="K12" s="590" t="s">
        <v>234</v>
      </c>
      <c r="L12" s="590" t="s">
        <v>235</v>
      </c>
      <c r="M12" s="473"/>
      <c r="N12" s="473"/>
      <c r="O12" s="473"/>
      <c r="P12" s="473"/>
      <c r="Q12" s="473"/>
      <c r="R12" s="473"/>
    </row>
    <row r="13" spans="1:18" ht="3.95" customHeight="1">
      <c r="A13" s="379"/>
      <c r="B13" s="588"/>
      <c r="C13" s="36"/>
      <c r="D13" s="36"/>
      <c r="E13" s="36"/>
      <c r="F13" s="36"/>
      <c r="G13" s="36"/>
      <c r="H13" s="36"/>
      <c r="I13" s="36"/>
      <c r="J13" s="36"/>
      <c r="K13" s="36"/>
      <c r="L13" s="36"/>
      <c r="M13" s="473"/>
      <c r="N13" s="473"/>
      <c r="O13" s="473"/>
      <c r="P13" s="473"/>
      <c r="Q13" s="473"/>
      <c r="R13" s="473"/>
    </row>
    <row r="14" spans="1:18" ht="15" customHeight="1">
      <c r="B14" s="374" t="s">
        <v>236</v>
      </c>
      <c r="C14" s="575">
        <v>0.34870000000000001</v>
      </c>
      <c r="D14" s="575">
        <v>4.4400000000000002E-2</v>
      </c>
      <c r="E14" s="575">
        <v>0.16400000000000001</v>
      </c>
      <c r="F14" s="575">
        <v>6.8500000000000005E-2</v>
      </c>
      <c r="G14" s="575">
        <v>7.6999999999999999E-2</v>
      </c>
      <c r="H14" s="575">
        <v>4.2999999999999997E-2</v>
      </c>
      <c r="I14" s="575">
        <v>0.14099999999999999</v>
      </c>
      <c r="J14" s="575">
        <v>7.0000000000000007E-2</v>
      </c>
      <c r="K14" s="575">
        <v>7.1999999999999995E-2</v>
      </c>
      <c r="L14" s="575">
        <v>0.60399999999999998</v>
      </c>
      <c r="M14" s="473"/>
      <c r="N14" s="473"/>
      <c r="O14" s="473"/>
      <c r="P14" s="473"/>
      <c r="Q14" s="473"/>
      <c r="R14" s="473"/>
    </row>
    <row r="15" spans="1:18" ht="15" customHeight="1">
      <c r="B15" s="374" t="s">
        <v>237</v>
      </c>
      <c r="C15" s="575">
        <v>0.22850000000000001</v>
      </c>
      <c r="D15" s="575">
        <v>0.71599999999999997</v>
      </c>
      <c r="E15" s="575">
        <v>0.23499999999999999</v>
      </c>
      <c r="F15" s="575">
        <v>8.3000000000000004E-2</v>
      </c>
      <c r="G15" s="575">
        <v>0.16400000000000001</v>
      </c>
      <c r="H15" s="575">
        <v>1.03E-2</v>
      </c>
      <c r="I15" s="575">
        <v>0.21</v>
      </c>
      <c r="J15" s="575" t="s">
        <v>238</v>
      </c>
      <c r="K15" s="575" t="s">
        <v>238</v>
      </c>
      <c r="L15" s="575">
        <v>0.39</v>
      </c>
      <c r="M15" s="473"/>
      <c r="N15" s="473"/>
    </row>
    <row r="16" spans="1:18" ht="15" customHeight="1">
      <c r="B16" s="374" t="s">
        <v>239</v>
      </c>
      <c r="C16" s="780">
        <v>7.4499999999999997E-2</v>
      </c>
      <c r="D16" s="575">
        <v>4.4699999999999997E-2</v>
      </c>
      <c r="E16" s="575">
        <v>0.15</v>
      </c>
      <c r="F16" s="575">
        <v>7.1400000000000005E-2</v>
      </c>
      <c r="G16" s="575" t="s">
        <v>238</v>
      </c>
      <c r="H16" s="575">
        <v>9.5000000000000001E-2</v>
      </c>
      <c r="I16" s="575" t="s">
        <v>238</v>
      </c>
      <c r="J16" s="575">
        <v>8.1000000000000003E-2</v>
      </c>
      <c r="K16" s="575">
        <v>8.1000000000000003E-2</v>
      </c>
      <c r="L16" s="575">
        <v>0.84099999999999997</v>
      </c>
      <c r="M16" s="473"/>
      <c r="N16" s="473"/>
    </row>
    <row r="17" spans="1:12" ht="15" customHeight="1">
      <c r="B17" s="374" t="s">
        <v>240</v>
      </c>
      <c r="C17" s="575">
        <f>((IS!AI33+IS!AH33+IS!AE33+IS!AD33)/(IS!AI18+IS!AH18+IS!AE18+IS!AD18))/((IS!AC33+IS!AB33-IS!Y33+IS!X33)/(IS!AC18+IS!AB18+IS!Y18+IS!X18))-1</f>
        <v>5.1218417101426272E-2</v>
      </c>
      <c r="D17" s="575">
        <v>7.2099999999999997E-2</v>
      </c>
      <c r="E17" s="575">
        <v>0.20100000000000001</v>
      </c>
      <c r="F17" s="575">
        <v>9.0200000000000002E-2</v>
      </c>
      <c r="G17" s="575" t="s">
        <v>238</v>
      </c>
      <c r="H17" s="575">
        <v>0.42199999999999999</v>
      </c>
      <c r="I17" s="575">
        <v>0.12709999999999999</v>
      </c>
      <c r="J17" s="575">
        <v>8.8999999999999996E-2</v>
      </c>
      <c r="K17" s="575" t="s">
        <v>238</v>
      </c>
      <c r="L17" s="575">
        <v>4.4999999999999998E-2</v>
      </c>
    </row>
    <row r="18" spans="1:12" ht="15" customHeight="1">
      <c r="B18" s="374" t="s">
        <v>241</v>
      </c>
      <c r="C18" s="575" t="s">
        <v>242</v>
      </c>
      <c r="D18" s="575">
        <v>8.2000000000000003E-2</v>
      </c>
      <c r="E18" s="575">
        <v>0.187</v>
      </c>
      <c r="F18" s="575">
        <v>9.6699999999999994E-2</v>
      </c>
      <c r="G18" s="575">
        <v>0.154</v>
      </c>
      <c r="H18" s="575">
        <v>0.41599999999999998</v>
      </c>
      <c r="I18" s="575">
        <v>0.16900000000000001</v>
      </c>
      <c r="J18" s="575">
        <v>8.5000000000000006E-2</v>
      </c>
      <c r="K18" s="575" t="s">
        <v>238</v>
      </c>
      <c r="L18" s="575">
        <v>4.5999999999999999E-2</v>
      </c>
    </row>
    <row r="19" spans="1:12" ht="15" customHeight="1">
      <c r="B19" s="374" t="s">
        <v>243</v>
      </c>
      <c r="C19" s="575">
        <v>2.9098530019481501E-2</v>
      </c>
      <c r="D19" s="575">
        <v>0.125</v>
      </c>
      <c r="E19" s="575">
        <v>0.35</v>
      </c>
      <c r="F19" s="575">
        <v>5.2299999999999999E-2</v>
      </c>
      <c r="G19" s="575">
        <v>0.23200000000000001</v>
      </c>
      <c r="H19" s="575">
        <v>3.3969999999999998</v>
      </c>
      <c r="I19" s="575">
        <v>0.17899999999999999</v>
      </c>
      <c r="J19" s="575">
        <v>9.4E-2</v>
      </c>
      <c r="K19" s="575" t="s">
        <v>238</v>
      </c>
      <c r="L19" s="575" t="s">
        <v>238</v>
      </c>
    </row>
    <row r="20" spans="1:12" ht="15" customHeight="1">
      <c r="B20" s="374"/>
    </row>
    <row r="21" spans="1:12" ht="15" customHeight="1">
      <c r="A21" s="379" t="s">
        <v>39</v>
      </c>
      <c r="B21" s="589" t="s">
        <v>244</v>
      </c>
      <c r="C21" s="590" t="s">
        <v>226</v>
      </c>
      <c r="D21" s="590" t="s">
        <v>227</v>
      </c>
      <c r="E21" s="590" t="s">
        <v>228</v>
      </c>
      <c r="F21" s="590" t="s">
        <v>229</v>
      </c>
      <c r="G21" s="590" t="s">
        <v>230</v>
      </c>
      <c r="H21" s="590" t="s">
        <v>231</v>
      </c>
      <c r="I21" s="590" t="s">
        <v>232</v>
      </c>
      <c r="J21" s="590" t="s">
        <v>233</v>
      </c>
      <c r="K21" s="590" t="s">
        <v>234</v>
      </c>
      <c r="L21" s="590" t="s">
        <v>235</v>
      </c>
    </row>
    <row r="22" spans="1:12" ht="3.95" customHeight="1">
      <c r="A22" s="379"/>
      <c r="B22" s="588"/>
      <c r="C22" s="36"/>
      <c r="D22" s="36"/>
      <c r="E22" s="36"/>
      <c r="F22" s="36"/>
      <c r="G22" s="36"/>
      <c r="H22" s="36"/>
      <c r="I22" s="36"/>
      <c r="J22" s="36"/>
      <c r="K22" s="36"/>
      <c r="L22" s="36"/>
    </row>
    <row r="23" spans="1:12" ht="15" customHeight="1">
      <c r="B23" s="374" t="s">
        <v>245</v>
      </c>
      <c r="C23" s="575" t="s">
        <v>246</v>
      </c>
      <c r="D23" s="575">
        <v>0.74399999999999999</v>
      </c>
      <c r="E23" s="575">
        <v>0.58899999999999997</v>
      </c>
      <c r="F23" s="575">
        <v>0.83350000000000002</v>
      </c>
      <c r="G23" s="575" t="s">
        <v>238</v>
      </c>
      <c r="H23" s="575">
        <v>0.72050000000000003</v>
      </c>
      <c r="I23" s="575" t="s">
        <v>238</v>
      </c>
      <c r="J23" s="575">
        <v>0.84850000000000003</v>
      </c>
      <c r="K23" s="575">
        <v>0.74270000000000003</v>
      </c>
      <c r="L23" s="575">
        <v>0.28860000000000002</v>
      </c>
    </row>
    <row r="24" spans="1:12" ht="15" customHeight="1">
      <c r="B24" s="374" t="s">
        <v>247</v>
      </c>
      <c r="C24" s="575" t="s">
        <v>248</v>
      </c>
      <c r="D24" s="575">
        <v>0.72</v>
      </c>
      <c r="E24" s="575">
        <v>0.72502017765934357</v>
      </c>
      <c r="F24" s="575">
        <v>0.6718085467989684</v>
      </c>
      <c r="G24" s="575" t="s">
        <v>238</v>
      </c>
      <c r="H24" s="575">
        <v>0.92166395136398405</v>
      </c>
      <c r="I24" s="575">
        <v>0.14143223122575671</v>
      </c>
      <c r="J24" s="575">
        <v>0.55645663681161472</v>
      </c>
      <c r="K24" s="575">
        <v>0.6748598050436293</v>
      </c>
      <c r="L24" s="575" t="s">
        <v>238</v>
      </c>
    </row>
    <row r="25" spans="1:12" ht="15" customHeight="1">
      <c r="B25" s="374" t="s">
        <v>249</v>
      </c>
      <c r="C25" s="575">
        <f>IS!AF34/IS!AF18</f>
        <v>0.58648807843810968</v>
      </c>
      <c r="D25" s="575">
        <v>0.748</v>
      </c>
      <c r="E25" s="575">
        <v>0.77848615192107862</v>
      </c>
      <c r="F25" s="575">
        <v>0.71390297320590301</v>
      </c>
      <c r="G25" s="575">
        <v>0.77500000000000002</v>
      </c>
      <c r="H25" s="575">
        <v>0.72239558506273016</v>
      </c>
      <c r="I25" s="575">
        <v>0.46156628556838486</v>
      </c>
      <c r="J25" s="575">
        <v>0.75980000000000003</v>
      </c>
      <c r="K25" s="575" t="s">
        <v>238</v>
      </c>
      <c r="L25" s="575">
        <v>0.28653701993486441</v>
      </c>
    </row>
    <row r="26" spans="1:12" ht="15" customHeight="1">
      <c r="B26" s="374" t="s">
        <v>250</v>
      </c>
      <c r="C26" s="575">
        <v>0.26929489896848946</v>
      </c>
      <c r="D26" s="575">
        <v>0.378</v>
      </c>
      <c r="E26" s="575">
        <v>0.51233745441288114</v>
      </c>
      <c r="F26" s="575">
        <v>0.52688611904562621</v>
      </c>
      <c r="G26" s="575">
        <v>0.376</v>
      </c>
      <c r="H26" s="575">
        <v>0.72760000000000002</v>
      </c>
      <c r="I26" s="575">
        <v>-7.0503296685646366E-2</v>
      </c>
      <c r="J26" s="575">
        <v>0.37479716345920705</v>
      </c>
      <c r="K26" s="575">
        <v>0.68403146206849796</v>
      </c>
      <c r="L26" s="575" t="s">
        <v>238</v>
      </c>
    </row>
    <row r="27" spans="1:12" ht="15" customHeight="1">
      <c r="B27" s="374" t="s">
        <v>251</v>
      </c>
      <c r="C27" s="575">
        <f>IS!AF27/IS!AF18</f>
        <v>0.29067627099925147</v>
      </c>
      <c r="D27" s="575">
        <v>0.03</v>
      </c>
      <c r="E27" s="575">
        <v>0.08</v>
      </c>
      <c r="F27" s="575">
        <v>9.9500000000000005E-2</v>
      </c>
      <c r="G27" s="575" t="s">
        <v>238</v>
      </c>
      <c r="H27" s="575">
        <v>7.3800000000000004E-2</v>
      </c>
      <c r="I27" s="575" t="s">
        <v>238</v>
      </c>
      <c r="J27" s="575">
        <v>8.8700000000000001E-2</v>
      </c>
      <c r="K27" s="575" t="s">
        <v>238</v>
      </c>
      <c r="L27" s="575" t="s">
        <v>238</v>
      </c>
    </row>
    <row r="28" spans="1:12" ht="15" customHeight="1">
      <c r="B28" s="374"/>
      <c r="C28" s="575"/>
      <c r="D28" s="575"/>
      <c r="E28" s="575"/>
      <c r="F28" s="575"/>
      <c r="G28" s="575"/>
      <c r="H28" s="575"/>
      <c r="I28" s="575"/>
      <c r="J28" s="575"/>
      <c r="K28" s="575"/>
      <c r="L28" s="575"/>
    </row>
    <row r="29" spans="1:12" ht="15" customHeight="1">
      <c r="B29" s="589" t="s">
        <v>252</v>
      </c>
      <c r="C29" s="590" t="s">
        <v>226</v>
      </c>
      <c r="D29" s="590" t="s">
        <v>227</v>
      </c>
      <c r="E29" s="590" t="s">
        <v>228</v>
      </c>
      <c r="F29" s="590" t="s">
        <v>229</v>
      </c>
      <c r="G29" s="590" t="s">
        <v>230</v>
      </c>
      <c r="H29" s="590" t="s">
        <v>231</v>
      </c>
      <c r="I29" s="590" t="s">
        <v>232</v>
      </c>
      <c r="J29" s="590" t="s">
        <v>233</v>
      </c>
      <c r="K29" s="590" t="s">
        <v>234</v>
      </c>
      <c r="L29" s="590" t="s">
        <v>235</v>
      </c>
    </row>
    <row r="30" spans="1:12" ht="10.5" customHeight="1">
      <c r="A30" s="379" t="s">
        <v>39</v>
      </c>
      <c r="B30" s="588"/>
      <c r="C30" s="36"/>
      <c r="D30" s="36"/>
      <c r="E30" s="36"/>
      <c r="F30" s="36"/>
      <c r="G30" s="36"/>
      <c r="H30" s="36"/>
      <c r="I30" s="36"/>
      <c r="J30" s="36"/>
      <c r="K30" s="36"/>
      <c r="L30" s="36"/>
    </row>
    <row r="31" spans="1:12" ht="14.25" customHeight="1">
      <c r="A31" s="379"/>
      <c r="B31" s="374" t="s">
        <v>253</v>
      </c>
      <c r="C31" s="575">
        <v>5.5446469229204799E-2</v>
      </c>
      <c r="D31" s="575">
        <v>0.11799999999999999</v>
      </c>
      <c r="E31" s="575">
        <v>3.9E-2</v>
      </c>
      <c r="F31" s="575">
        <v>0.14442571897646622</v>
      </c>
      <c r="G31" s="575" t="s">
        <v>238</v>
      </c>
      <c r="H31" s="575" t="s">
        <v>238</v>
      </c>
      <c r="I31" s="575" t="s">
        <v>238</v>
      </c>
      <c r="J31" s="575" t="s">
        <v>238</v>
      </c>
      <c r="K31" s="575">
        <v>5.6177833374414378E-2</v>
      </c>
      <c r="L31" s="575" t="s">
        <v>238</v>
      </c>
    </row>
    <row r="32" spans="1:12" ht="15" customHeight="1">
      <c r="B32" s="374" t="s">
        <v>254</v>
      </c>
      <c r="C32" s="575" t="s">
        <v>255</v>
      </c>
      <c r="D32" s="575">
        <v>0.13600000000000001</v>
      </c>
      <c r="E32" s="575">
        <v>3.2000000000000001E-2</v>
      </c>
      <c r="F32" s="575" t="s">
        <v>238</v>
      </c>
      <c r="G32" s="575" t="s">
        <v>238</v>
      </c>
      <c r="H32" s="575" t="s">
        <v>238</v>
      </c>
      <c r="I32" s="575" t="s">
        <v>238</v>
      </c>
      <c r="J32" s="575" t="s">
        <v>238</v>
      </c>
      <c r="K32" s="575" t="s">
        <v>238</v>
      </c>
      <c r="L32" s="575" t="s">
        <v>238</v>
      </c>
    </row>
    <row r="33" spans="1:12" ht="15" customHeight="1">
      <c r="B33" s="374" t="s">
        <v>256</v>
      </c>
      <c r="C33" s="575" t="s">
        <v>257</v>
      </c>
      <c r="D33" s="575">
        <v>0.14499999999999999</v>
      </c>
      <c r="E33" s="575">
        <v>0.14499999999999999</v>
      </c>
      <c r="F33" s="575" t="s">
        <v>238</v>
      </c>
      <c r="G33" s="575" t="s">
        <v>238</v>
      </c>
      <c r="H33" s="575">
        <v>0.08</v>
      </c>
      <c r="I33" s="575" t="s">
        <v>238</v>
      </c>
      <c r="J33" s="575" t="s">
        <v>238</v>
      </c>
      <c r="K33" s="575" t="s">
        <v>238</v>
      </c>
      <c r="L33" s="575">
        <v>0.3745</v>
      </c>
    </row>
    <row r="34" spans="1:12" ht="15" customHeight="1">
      <c r="B34" s="374" t="s">
        <v>258</v>
      </c>
      <c r="C34" s="575">
        <v>9.5972888371000237E-2</v>
      </c>
      <c r="D34" s="575">
        <v>9.1999999999999998E-2</v>
      </c>
      <c r="E34" s="575">
        <v>9.1999999999999998E-2</v>
      </c>
      <c r="F34" s="575" t="s">
        <v>238</v>
      </c>
      <c r="G34" s="575" t="s">
        <v>238</v>
      </c>
      <c r="H34" s="575" t="s">
        <v>238</v>
      </c>
      <c r="I34" s="575" t="s">
        <v>238</v>
      </c>
      <c r="J34" s="575" t="s">
        <v>238</v>
      </c>
      <c r="K34" s="575" t="s">
        <v>238</v>
      </c>
      <c r="L34" s="575" t="s">
        <v>238</v>
      </c>
    </row>
    <row r="35" spans="1:12" ht="15" customHeight="1">
      <c r="B35" s="374" t="s">
        <v>259</v>
      </c>
      <c r="C35" s="575">
        <v>0.04</v>
      </c>
      <c r="D35" s="575">
        <v>9.4E-2</v>
      </c>
      <c r="E35" s="575">
        <v>0.19</v>
      </c>
      <c r="F35" s="575">
        <v>0.19747396294405006</v>
      </c>
      <c r="G35" s="575">
        <v>0.2</v>
      </c>
      <c r="H35" s="575">
        <v>0.1166</v>
      </c>
      <c r="I35" s="575">
        <v>-1.6400000000000001E-2</v>
      </c>
      <c r="J35" s="575">
        <v>7.4200000000000002E-2</v>
      </c>
      <c r="K35" s="575">
        <v>9.7699999999999995E-2</v>
      </c>
      <c r="L35" s="575">
        <v>0.23810000000000001</v>
      </c>
    </row>
    <row r="36" spans="1:12" ht="15" customHeight="1">
      <c r="B36" s="374" t="s">
        <v>260</v>
      </c>
      <c r="C36" s="575" t="s">
        <v>261</v>
      </c>
      <c r="D36" s="575">
        <v>5.7000000000000002E-2</v>
      </c>
      <c r="E36" s="575">
        <v>7.3999999999999996E-2</v>
      </c>
      <c r="F36" s="575">
        <v>0.10749069337389214</v>
      </c>
      <c r="G36" s="575" t="s">
        <v>238</v>
      </c>
      <c r="H36" s="575">
        <v>6.0299999999999999E-2</v>
      </c>
      <c r="I36" s="575">
        <v>-1.8E-3</v>
      </c>
      <c r="J36" s="575">
        <v>3.9399999999999998E-2</v>
      </c>
      <c r="K36" s="575">
        <v>4.8599999999999997E-2</v>
      </c>
      <c r="L36" s="575">
        <v>0.18379999999999999</v>
      </c>
    </row>
    <row r="37" spans="1:12" ht="15" customHeight="1">
      <c r="B37" s="374"/>
    </row>
    <row r="38" spans="1:12" ht="15" customHeight="1">
      <c r="B38" s="589" t="s">
        <v>262</v>
      </c>
      <c r="C38" s="590" t="s">
        <v>226</v>
      </c>
      <c r="D38" s="590" t="s">
        <v>227</v>
      </c>
      <c r="E38" s="590" t="s">
        <v>228</v>
      </c>
      <c r="F38" s="590" t="s">
        <v>229</v>
      </c>
      <c r="G38" s="590" t="s">
        <v>230</v>
      </c>
      <c r="H38" s="590" t="s">
        <v>231</v>
      </c>
      <c r="I38" s="590" t="s">
        <v>232</v>
      </c>
      <c r="J38" s="590" t="s">
        <v>233</v>
      </c>
      <c r="K38" s="590" t="s">
        <v>234</v>
      </c>
      <c r="L38" s="590" t="s">
        <v>235</v>
      </c>
    </row>
    <row r="39" spans="1:12" ht="9.75" customHeight="1">
      <c r="A39" s="379" t="s">
        <v>39</v>
      </c>
      <c r="B39" s="588"/>
      <c r="C39" s="36"/>
      <c r="D39" s="36"/>
      <c r="E39" s="36"/>
      <c r="F39" s="36"/>
      <c r="G39" s="36"/>
      <c r="H39" s="36"/>
      <c r="I39" s="36"/>
      <c r="J39" s="36"/>
      <c r="K39" s="36"/>
      <c r="L39" s="36"/>
    </row>
    <row r="40" spans="1:12" ht="15" customHeight="1">
      <c r="A40" s="379"/>
      <c r="B40" s="374" t="s">
        <v>263</v>
      </c>
      <c r="C40" s="576" t="s">
        <v>264</v>
      </c>
      <c r="D40" s="576">
        <v>0.14000000000000001</v>
      </c>
      <c r="E40" s="576">
        <v>0.12</v>
      </c>
      <c r="F40" s="576">
        <v>0.22500013639819882</v>
      </c>
      <c r="G40" s="576" t="s">
        <v>238</v>
      </c>
      <c r="H40" s="576">
        <v>8.3366620003875569E-2</v>
      </c>
      <c r="I40" s="576">
        <v>0.11</v>
      </c>
      <c r="J40" s="576">
        <v>0.1064262293458678</v>
      </c>
      <c r="K40" s="576">
        <v>7.9963514111824743E-2</v>
      </c>
      <c r="L40" s="576">
        <v>1.4500000000000001E-2</v>
      </c>
    </row>
    <row r="41" spans="1:12" ht="15" customHeight="1">
      <c r="B41" s="374" t="s">
        <v>265</v>
      </c>
      <c r="C41" s="576" t="s">
        <v>266</v>
      </c>
      <c r="D41" s="576">
        <v>0.16</v>
      </c>
      <c r="E41" s="576">
        <v>0.13</v>
      </c>
      <c r="F41" s="576" t="s">
        <v>238</v>
      </c>
      <c r="G41" s="576" t="s">
        <v>238</v>
      </c>
      <c r="H41" s="576" t="s">
        <v>238</v>
      </c>
      <c r="I41" s="576" t="s">
        <v>238</v>
      </c>
      <c r="J41" s="576" t="s">
        <v>238</v>
      </c>
      <c r="K41" s="576" t="s">
        <v>238</v>
      </c>
      <c r="L41" s="576" t="s">
        <v>238</v>
      </c>
    </row>
    <row r="42" spans="1:12" ht="15" customHeight="1">
      <c r="B42" s="374" t="s">
        <v>267</v>
      </c>
      <c r="C42" s="576" t="s">
        <v>268</v>
      </c>
      <c r="D42" s="576">
        <v>0.16</v>
      </c>
      <c r="E42" s="576">
        <v>0.1</v>
      </c>
      <c r="F42" s="576">
        <v>0.28999999999999998</v>
      </c>
      <c r="G42" s="576" t="s">
        <v>238</v>
      </c>
      <c r="H42" s="576">
        <v>0.09</v>
      </c>
      <c r="I42" s="576">
        <v>0.15</v>
      </c>
      <c r="J42" s="576">
        <v>0.11</v>
      </c>
      <c r="K42" s="576" t="s">
        <v>238</v>
      </c>
      <c r="L42" s="576">
        <v>1.7999999999999999E-2</v>
      </c>
    </row>
    <row r="43" spans="1:12" ht="15" customHeight="1">
      <c r="B43" s="374"/>
      <c r="C43" s="577"/>
      <c r="D43" s="577"/>
      <c r="E43" s="577"/>
      <c r="F43" s="577"/>
      <c r="G43" s="577"/>
      <c r="H43" s="577"/>
      <c r="I43" s="577"/>
      <c r="J43" s="577"/>
      <c r="K43" s="577"/>
      <c r="L43" s="577"/>
    </row>
    <row r="44" spans="1:12" ht="15" customHeight="1">
      <c r="B44" s="589" t="s">
        <v>269</v>
      </c>
      <c r="C44" s="590" t="s">
        <v>226</v>
      </c>
      <c r="D44" s="590" t="s">
        <v>227</v>
      </c>
      <c r="E44" s="590" t="s">
        <v>228</v>
      </c>
      <c r="F44" s="590" t="s">
        <v>229</v>
      </c>
      <c r="G44" s="590" t="s">
        <v>230</v>
      </c>
      <c r="H44" s="590" t="s">
        <v>231</v>
      </c>
      <c r="I44" s="590" t="s">
        <v>232</v>
      </c>
      <c r="J44" s="590" t="s">
        <v>233</v>
      </c>
      <c r="K44" s="590" t="s">
        <v>234</v>
      </c>
      <c r="L44" s="590" t="s">
        <v>235</v>
      </c>
    </row>
    <row r="45" spans="1:12" ht="6.75" customHeight="1">
      <c r="B45" s="588"/>
      <c r="C45" s="36"/>
      <c r="D45" s="36"/>
      <c r="E45" s="36"/>
      <c r="F45" s="36"/>
      <c r="G45" s="36"/>
      <c r="H45" s="36"/>
      <c r="I45" s="36"/>
      <c r="J45" s="36"/>
      <c r="K45" s="36"/>
      <c r="L45" s="36"/>
    </row>
    <row r="46" spans="1:12" ht="15" customHeight="1">
      <c r="B46" s="374" t="s">
        <v>270</v>
      </c>
      <c r="C46" s="577">
        <v>25</v>
      </c>
      <c r="D46" s="577">
        <v>23</v>
      </c>
      <c r="E46" s="577">
        <v>25</v>
      </c>
      <c r="F46" s="577">
        <v>107</v>
      </c>
      <c r="G46" s="577" t="s">
        <v>238</v>
      </c>
      <c r="H46" s="577" t="s">
        <v>238</v>
      </c>
      <c r="I46" s="577" t="s">
        <v>238</v>
      </c>
      <c r="J46" s="577" t="s">
        <v>238</v>
      </c>
      <c r="K46" s="577" t="s">
        <v>238</v>
      </c>
      <c r="L46" s="577">
        <v>235</v>
      </c>
    </row>
    <row r="47" spans="1:12" ht="15" customHeight="1">
      <c r="A47" s="379" t="s">
        <v>39</v>
      </c>
      <c r="B47" s="374" t="s">
        <v>271</v>
      </c>
      <c r="C47" s="577">
        <v>0</v>
      </c>
      <c r="D47" s="577">
        <v>0</v>
      </c>
      <c r="E47" s="577">
        <v>0</v>
      </c>
      <c r="F47" s="577" t="s">
        <v>238</v>
      </c>
      <c r="G47" s="577" t="s">
        <v>238</v>
      </c>
      <c r="H47" s="577" t="s">
        <v>238</v>
      </c>
      <c r="I47" s="577" t="s">
        <v>238</v>
      </c>
      <c r="J47" s="577" t="s">
        <v>238</v>
      </c>
      <c r="K47" s="577" t="s">
        <v>238</v>
      </c>
      <c r="L47" s="577" t="s">
        <v>238</v>
      </c>
    </row>
    <row r="48" spans="1:12" ht="14.25" customHeight="1">
      <c r="A48" s="379"/>
      <c r="B48" s="374" t="s">
        <v>272</v>
      </c>
      <c r="C48" s="577">
        <v>45</v>
      </c>
      <c r="D48" s="577">
        <v>47</v>
      </c>
      <c r="E48" s="577">
        <v>50</v>
      </c>
      <c r="F48" s="577" t="s">
        <v>238</v>
      </c>
      <c r="G48" s="577" t="s">
        <v>238</v>
      </c>
      <c r="H48" s="577" t="s">
        <v>238</v>
      </c>
      <c r="I48" s="577" t="s">
        <v>238</v>
      </c>
      <c r="J48" s="577" t="s">
        <v>238</v>
      </c>
      <c r="K48" s="577" t="s">
        <v>238</v>
      </c>
      <c r="L48" s="577">
        <v>1672</v>
      </c>
    </row>
    <row r="49" spans="1:12" ht="14.25" customHeight="1">
      <c r="B49" s="374" t="s">
        <v>273</v>
      </c>
      <c r="C49" s="577">
        <v>20</v>
      </c>
      <c r="D49" s="577" t="s">
        <v>238</v>
      </c>
      <c r="E49" s="577" t="s">
        <v>238</v>
      </c>
      <c r="F49" s="577" t="s">
        <v>238</v>
      </c>
      <c r="G49" s="577" t="s">
        <v>238</v>
      </c>
      <c r="H49" s="577" t="s">
        <v>238</v>
      </c>
      <c r="I49" s="577" t="s">
        <v>238</v>
      </c>
      <c r="J49" s="577" t="s">
        <v>238</v>
      </c>
      <c r="K49" s="577" t="s">
        <v>238</v>
      </c>
      <c r="L49" s="577">
        <v>-1104.5402862690166</v>
      </c>
    </row>
    <row r="50" spans="1:12" ht="15" customHeight="1">
      <c r="B50" s="374" t="s">
        <v>274</v>
      </c>
      <c r="C50" s="575">
        <v>6.8000000000000005E-2</v>
      </c>
      <c r="D50" s="575">
        <v>7.4999999999999997E-2</v>
      </c>
      <c r="E50" s="575" t="s">
        <v>238</v>
      </c>
      <c r="F50" s="575" t="s">
        <v>238</v>
      </c>
      <c r="G50" s="575" t="s">
        <v>238</v>
      </c>
      <c r="H50" s="575" t="s">
        <v>238</v>
      </c>
      <c r="I50" s="575" t="s">
        <v>238</v>
      </c>
      <c r="J50" s="575" t="s">
        <v>238</v>
      </c>
      <c r="K50" s="575" t="s">
        <v>238</v>
      </c>
      <c r="L50" s="575">
        <v>-1.63</v>
      </c>
    </row>
    <row r="51" spans="1:12" ht="15" customHeight="1">
      <c r="B51" s="374" t="s">
        <v>275</v>
      </c>
      <c r="C51" s="576">
        <v>0.92700000000000005</v>
      </c>
      <c r="D51" s="576">
        <v>0.92300000000000004</v>
      </c>
      <c r="E51" s="576">
        <v>0.27292975140310277</v>
      </c>
      <c r="F51" s="576" t="s">
        <v>238</v>
      </c>
      <c r="G51" s="576" t="s">
        <v>238</v>
      </c>
      <c r="H51" s="576" t="s">
        <v>238</v>
      </c>
      <c r="I51" s="576" t="s">
        <v>238</v>
      </c>
      <c r="J51" s="576" t="s">
        <v>238</v>
      </c>
      <c r="K51" s="576" t="s">
        <v>238</v>
      </c>
      <c r="L51" s="576">
        <v>0.26</v>
      </c>
    </row>
    <row r="52" spans="1:12" ht="15" customHeight="1">
      <c r="B52" s="374" t="s">
        <v>276</v>
      </c>
      <c r="C52" s="575">
        <v>0.44700000000000001</v>
      </c>
      <c r="D52" s="575">
        <v>0.66</v>
      </c>
      <c r="E52" s="575">
        <v>0.19787957685079804</v>
      </c>
      <c r="F52" s="575">
        <v>0.53844699894568859</v>
      </c>
      <c r="G52" s="575">
        <v>0.52500000000000002</v>
      </c>
      <c r="H52" s="575">
        <v>0.48071267586573047</v>
      </c>
      <c r="I52" s="575" t="s">
        <v>238</v>
      </c>
      <c r="J52" s="575" t="s">
        <v>238</v>
      </c>
      <c r="K52" s="575" t="s">
        <v>238</v>
      </c>
      <c r="L52" s="575">
        <v>5.86</v>
      </c>
    </row>
    <row r="54" spans="1:12" ht="15" customHeight="1">
      <c r="B54" s="589" t="s">
        <v>277</v>
      </c>
      <c r="C54" s="590" t="s">
        <v>226</v>
      </c>
      <c r="D54" s="590" t="s">
        <v>227</v>
      </c>
      <c r="E54" s="590" t="s">
        <v>228</v>
      </c>
      <c r="F54" s="590" t="s">
        <v>229</v>
      </c>
      <c r="G54" s="590" t="s">
        <v>230</v>
      </c>
      <c r="H54" s="590" t="s">
        <v>231</v>
      </c>
      <c r="I54" s="590" t="s">
        <v>232</v>
      </c>
      <c r="J54" s="590" t="s">
        <v>233</v>
      </c>
      <c r="K54" s="590" t="s">
        <v>234</v>
      </c>
      <c r="L54" s="590" t="s">
        <v>235</v>
      </c>
    </row>
    <row r="55" spans="1:12" ht="6" customHeight="1">
      <c r="B55" s="588"/>
      <c r="C55" s="36"/>
      <c r="D55" s="36"/>
      <c r="E55" s="36"/>
      <c r="F55" s="36"/>
      <c r="G55" s="36"/>
      <c r="H55" s="36"/>
      <c r="I55" s="36"/>
      <c r="J55" s="36"/>
      <c r="K55" s="36"/>
      <c r="L55" s="36"/>
    </row>
    <row r="56" spans="1:12" ht="13.5" customHeight="1">
      <c r="B56" s="374" t="s">
        <v>278</v>
      </c>
      <c r="C56" s="576">
        <v>5.4678149642800546</v>
      </c>
      <c r="D56" s="576">
        <v>3.45</v>
      </c>
      <c r="E56" s="576">
        <v>1.86</v>
      </c>
      <c r="F56" s="576">
        <v>2.31</v>
      </c>
      <c r="G56" s="576">
        <v>1.84</v>
      </c>
      <c r="H56" s="576">
        <v>5.25</v>
      </c>
      <c r="I56" s="576">
        <v>6.07</v>
      </c>
      <c r="J56" s="576">
        <v>5.2620323897623491</v>
      </c>
      <c r="K56" s="576">
        <v>8.09</v>
      </c>
      <c r="L56" s="576">
        <v>0.28999999999999998</v>
      </c>
    </row>
    <row r="57" spans="1:12" ht="15" customHeight="1">
      <c r="A57" s="379" t="s">
        <v>39</v>
      </c>
      <c r="B57" s="374" t="s">
        <v>279</v>
      </c>
      <c r="C57" s="576">
        <v>9.1</v>
      </c>
      <c r="D57" s="576">
        <v>5.17</v>
      </c>
      <c r="E57" s="576">
        <v>7.6</v>
      </c>
      <c r="F57" s="576">
        <v>6.25</v>
      </c>
      <c r="G57" s="576">
        <v>2.71</v>
      </c>
      <c r="H57" s="576">
        <v>17.597718459395352</v>
      </c>
      <c r="I57" s="576">
        <v>9.8699999999999992</v>
      </c>
      <c r="J57" s="576">
        <v>7.01</v>
      </c>
      <c r="K57" s="576" t="s">
        <v>238</v>
      </c>
      <c r="L57" s="576">
        <v>8.26</v>
      </c>
    </row>
    <row r="58" spans="1:12" ht="12.75" customHeight="1">
      <c r="A58" s="379"/>
      <c r="B58" s="374" t="s">
        <v>280</v>
      </c>
      <c r="C58" s="576">
        <v>0.5</v>
      </c>
      <c r="D58" s="576">
        <v>3</v>
      </c>
      <c r="E58" s="576">
        <v>3</v>
      </c>
      <c r="F58" s="576">
        <v>4.5999999999999996</v>
      </c>
      <c r="G58" s="576" t="s">
        <v>238</v>
      </c>
      <c r="H58" s="576">
        <v>4.0999999999999996</v>
      </c>
      <c r="I58" s="576">
        <v>2.8</v>
      </c>
      <c r="J58" s="576">
        <v>4.5</v>
      </c>
      <c r="K58" s="576">
        <v>3.107184654811276</v>
      </c>
      <c r="L58" s="576">
        <v>11.2</v>
      </c>
    </row>
    <row r="59" spans="1:12" ht="15" customHeight="1">
      <c r="B59" s="374" t="s">
        <v>281</v>
      </c>
      <c r="C59" s="575">
        <v>0.56999999999999995</v>
      </c>
      <c r="D59" s="575">
        <v>0.39400000000000002</v>
      </c>
      <c r="E59" s="575">
        <v>0.39</v>
      </c>
      <c r="F59" s="575">
        <v>0.49191878431330915</v>
      </c>
      <c r="G59" s="575" t="s">
        <v>238</v>
      </c>
      <c r="H59" s="575">
        <v>0.4298063499049426</v>
      </c>
      <c r="I59" s="575">
        <v>4.5999999999999999E-3</v>
      </c>
      <c r="J59" s="575">
        <v>0.33</v>
      </c>
      <c r="K59" s="575">
        <v>0.43203985242693427</v>
      </c>
      <c r="L59" s="575">
        <v>0.1103031442746375</v>
      </c>
    </row>
    <row r="60" spans="1:12" ht="15" customHeight="1">
      <c r="B60" s="374" t="s">
        <v>282</v>
      </c>
      <c r="C60" s="575">
        <v>0.25</v>
      </c>
      <c r="D60" s="575">
        <v>0.14199999999999999</v>
      </c>
      <c r="E60" s="575">
        <v>0.25</v>
      </c>
      <c r="F60" s="575" t="s">
        <v>238</v>
      </c>
      <c r="G60" s="575" t="s">
        <v>238</v>
      </c>
      <c r="H60" s="575" t="s">
        <v>238</v>
      </c>
      <c r="I60" s="575" t="s">
        <v>238</v>
      </c>
      <c r="J60" s="575">
        <v>4.0000000000000001E-3</v>
      </c>
      <c r="K60" s="575" t="s">
        <v>238</v>
      </c>
      <c r="L60" s="575">
        <v>1.5E-3</v>
      </c>
    </row>
    <row r="61" spans="1:12" ht="15" customHeight="1">
      <c r="B61" s="374"/>
    </row>
    <row r="62" spans="1:12" ht="15" customHeight="1">
      <c r="B62" s="589" t="s">
        <v>283</v>
      </c>
      <c r="C62" s="590" t="s">
        <v>226</v>
      </c>
      <c r="D62" s="590" t="s">
        <v>227</v>
      </c>
      <c r="E62" s="590" t="s">
        <v>228</v>
      </c>
      <c r="F62" s="590" t="s">
        <v>229</v>
      </c>
      <c r="G62" s="590" t="s">
        <v>230</v>
      </c>
      <c r="H62" s="590" t="s">
        <v>231</v>
      </c>
      <c r="I62" s="590" t="s">
        <v>232</v>
      </c>
      <c r="J62" s="590" t="s">
        <v>233</v>
      </c>
      <c r="K62" s="590" t="s">
        <v>234</v>
      </c>
      <c r="L62" s="590" t="s">
        <v>235</v>
      </c>
    </row>
    <row r="63" spans="1:12" ht="6" customHeight="1">
      <c r="B63" s="588"/>
      <c r="C63" s="36"/>
      <c r="D63" s="36"/>
      <c r="E63" s="36"/>
      <c r="F63" s="36"/>
      <c r="G63" s="36"/>
      <c r="H63" s="36"/>
      <c r="I63" s="36"/>
      <c r="J63" s="36"/>
      <c r="K63" s="36"/>
      <c r="L63" s="36"/>
    </row>
    <row r="64" spans="1:12" ht="15" customHeight="1">
      <c r="B64" s="374" t="s">
        <v>284</v>
      </c>
      <c r="C64" s="576">
        <v>0.83</v>
      </c>
      <c r="D64" s="576">
        <v>1.2</v>
      </c>
      <c r="E64" s="576">
        <v>2.48</v>
      </c>
      <c r="F64" s="576" t="s">
        <v>238</v>
      </c>
      <c r="G64" s="576" t="s">
        <v>238</v>
      </c>
      <c r="H64" s="576" t="s">
        <v>238</v>
      </c>
      <c r="I64" s="576" t="s">
        <v>238</v>
      </c>
      <c r="J64" s="576">
        <v>0.56000000000000005</v>
      </c>
      <c r="K64" s="576" t="s">
        <v>238</v>
      </c>
      <c r="L64" s="576">
        <v>0.58761888880764612</v>
      </c>
    </row>
    <row r="65" spans="1:12" ht="14.45" customHeight="1">
      <c r="A65" s="379" t="s">
        <v>39</v>
      </c>
      <c r="B65" s="374" t="s">
        <v>285</v>
      </c>
      <c r="C65" s="576">
        <v>0.76</v>
      </c>
      <c r="D65" s="576">
        <v>1.1000000000000001</v>
      </c>
      <c r="E65" s="576">
        <v>2.44</v>
      </c>
      <c r="F65" s="576" t="s">
        <v>238</v>
      </c>
      <c r="G65" s="576" t="s">
        <v>238</v>
      </c>
      <c r="H65" s="576" t="s">
        <v>238</v>
      </c>
      <c r="I65" s="576" t="s">
        <v>238</v>
      </c>
      <c r="J65" s="576">
        <v>0.5</v>
      </c>
      <c r="K65" s="576" t="s">
        <v>238</v>
      </c>
      <c r="L65" s="576">
        <v>0.12452453955003175</v>
      </c>
    </row>
    <row r="66" spans="1:12" ht="14.45" customHeight="1">
      <c r="A66" s="379"/>
      <c r="B66" s="374" t="s">
        <v>286</v>
      </c>
      <c r="C66" s="576">
        <v>0.16</v>
      </c>
      <c r="D66" s="576">
        <v>0.05</v>
      </c>
      <c r="E66" s="576">
        <v>0.08</v>
      </c>
      <c r="F66" s="576" t="s">
        <v>238</v>
      </c>
      <c r="G66" s="576" t="s">
        <v>238</v>
      </c>
      <c r="H66" s="576" t="s">
        <v>238</v>
      </c>
      <c r="I66" s="576" t="s">
        <v>238</v>
      </c>
      <c r="J66" s="576">
        <v>0.06</v>
      </c>
      <c r="K66" s="576" t="s">
        <v>238</v>
      </c>
      <c r="L66" s="576">
        <v>8.6404303894355057E-3</v>
      </c>
    </row>
    <row r="68" spans="1:12" ht="15" customHeight="1">
      <c r="B68" s="589" t="s">
        <v>287</v>
      </c>
      <c r="C68" s="590" t="s">
        <v>226</v>
      </c>
      <c r="D68" s="590" t="s">
        <v>227</v>
      </c>
      <c r="E68" s="590" t="s">
        <v>228</v>
      </c>
      <c r="F68" s="590" t="s">
        <v>229</v>
      </c>
      <c r="G68" s="590" t="s">
        <v>230</v>
      </c>
      <c r="H68" s="590" t="s">
        <v>231</v>
      </c>
      <c r="I68" s="590" t="s">
        <v>232</v>
      </c>
      <c r="J68" s="590" t="s">
        <v>233</v>
      </c>
      <c r="K68" s="590" t="s">
        <v>234</v>
      </c>
      <c r="L68" s="590" t="s">
        <v>235</v>
      </c>
    </row>
    <row r="69" spans="1:12" ht="9" customHeight="1">
      <c r="B69" s="588"/>
      <c r="C69" s="36"/>
      <c r="D69" s="36"/>
      <c r="E69" s="36"/>
      <c r="F69" s="36"/>
      <c r="G69" s="36"/>
      <c r="H69" s="36"/>
      <c r="I69" s="36"/>
      <c r="J69" s="36"/>
      <c r="K69" s="36"/>
      <c r="L69" s="36"/>
    </row>
    <row r="70" spans="1:12" ht="12.75" customHeight="1">
      <c r="B70" s="374" t="s">
        <v>288</v>
      </c>
      <c r="C70" s="575">
        <v>0.501</v>
      </c>
      <c r="D70" s="575">
        <v>0.17699999999999999</v>
      </c>
      <c r="E70" s="575">
        <v>0.126</v>
      </c>
      <c r="F70" s="575" t="s">
        <v>238</v>
      </c>
      <c r="G70" s="575">
        <v>0.18099999999999999</v>
      </c>
      <c r="H70" s="575">
        <v>0.20519999999999999</v>
      </c>
      <c r="I70" s="575" t="s">
        <v>238</v>
      </c>
      <c r="J70" s="575" t="s">
        <v>238</v>
      </c>
      <c r="K70" s="575" t="s">
        <v>238</v>
      </c>
      <c r="L70" s="575">
        <v>5.07</v>
      </c>
    </row>
    <row r="71" spans="1:12" ht="15" customHeight="1">
      <c r="A71" s="379" t="s">
        <v>39</v>
      </c>
      <c r="B71" s="374" t="s">
        <v>289</v>
      </c>
      <c r="C71" s="575" t="s">
        <v>238</v>
      </c>
      <c r="D71" s="575">
        <v>6.82</v>
      </c>
      <c r="E71" s="575">
        <v>2.9</v>
      </c>
      <c r="F71" s="575" t="s">
        <v>238</v>
      </c>
      <c r="G71" s="575" t="s">
        <v>238</v>
      </c>
      <c r="H71" s="575">
        <v>33.450000000000003</v>
      </c>
      <c r="I71" s="575" t="s">
        <v>238</v>
      </c>
      <c r="J71" s="575" t="s">
        <v>238</v>
      </c>
      <c r="K71" s="575" t="s">
        <v>238</v>
      </c>
      <c r="L71" s="575" t="s">
        <v>238</v>
      </c>
    </row>
    <row r="72" spans="1:12" ht="13.5" customHeight="1">
      <c r="A72" s="379"/>
      <c r="B72" s="374" t="s">
        <v>290</v>
      </c>
      <c r="C72" s="575">
        <v>0</v>
      </c>
      <c r="D72" s="575">
        <v>0.49</v>
      </c>
      <c r="E72" s="575">
        <v>0.2</v>
      </c>
      <c r="F72" s="575">
        <v>0.43020000000000003</v>
      </c>
      <c r="G72" s="575">
        <v>0.501</v>
      </c>
      <c r="H72" s="575">
        <v>0.47099999999999997</v>
      </c>
      <c r="I72" s="575">
        <v>0.80900000000000005</v>
      </c>
      <c r="J72" s="575">
        <v>0.80200000000000005</v>
      </c>
      <c r="K72" s="575">
        <v>0.65500000000000003</v>
      </c>
      <c r="L72" s="575" t="s">
        <v>238</v>
      </c>
    </row>
    <row r="73" spans="1:12" ht="15" customHeight="1">
      <c r="B73" s="374" t="s">
        <v>291</v>
      </c>
      <c r="C73" s="575">
        <v>0</v>
      </c>
      <c r="D73" s="575">
        <v>0.51</v>
      </c>
      <c r="E73" s="575">
        <v>0.44</v>
      </c>
      <c r="F73" s="575" t="s">
        <v>238</v>
      </c>
      <c r="G73" s="575">
        <v>0.28899999999999998</v>
      </c>
      <c r="H73" s="575">
        <v>1.224</v>
      </c>
      <c r="I73" s="575">
        <v>0.76</v>
      </c>
      <c r="J73" s="575">
        <v>0.80200000000000005</v>
      </c>
      <c r="K73" s="575" t="s">
        <v>238</v>
      </c>
      <c r="L73" s="575" t="s">
        <v>238</v>
      </c>
    </row>
    <row r="74" spans="1:12" ht="15" customHeight="1">
      <c r="B74" s="374" t="s">
        <v>292</v>
      </c>
      <c r="C74" s="575">
        <v>0</v>
      </c>
      <c r="D74" s="575">
        <v>0.55600000000000005</v>
      </c>
      <c r="E74" s="575">
        <v>0</v>
      </c>
      <c r="F74" s="575" t="s">
        <v>238</v>
      </c>
      <c r="G74" s="575" t="s">
        <v>238</v>
      </c>
      <c r="H74" s="575">
        <v>3.5000000000000003E-2</v>
      </c>
      <c r="I74" s="575" t="s">
        <v>238</v>
      </c>
      <c r="J74" s="575">
        <v>0</v>
      </c>
      <c r="K74" s="575" t="s">
        <v>238</v>
      </c>
      <c r="L74" s="575" t="s">
        <v>238</v>
      </c>
    </row>
    <row r="75" spans="1:12" ht="15" customHeight="1">
      <c r="B75" s="374"/>
    </row>
    <row r="76" spans="1:12" ht="15" customHeight="1">
      <c r="B76" s="589" t="s">
        <v>293</v>
      </c>
      <c r="C76" s="590" t="s">
        <v>226</v>
      </c>
      <c r="D76" s="590" t="s">
        <v>227</v>
      </c>
      <c r="E76" s="590" t="s">
        <v>228</v>
      </c>
      <c r="F76" s="590" t="s">
        <v>229</v>
      </c>
      <c r="G76" s="590" t="s">
        <v>230</v>
      </c>
      <c r="H76" s="590" t="s">
        <v>231</v>
      </c>
      <c r="I76" s="590" t="s">
        <v>232</v>
      </c>
      <c r="J76" s="590" t="s">
        <v>233</v>
      </c>
      <c r="K76" s="590" t="s">
        <v>234</v>
      </c>
      <c r="L76" s="590" t="s">
        <v>235</v>
      </c>
    </row>
    <row r="77" spans="1:12" ht="5.25" customHeight="1">
      <c r="B77" s="588"/>
      <c r="C77" s="36"/>
      <c r="D77" s="36"/>
      <c r="E77" s="36"/>
      <c r="F77" s="36"/>
      <c r="G77" s="36"/>
      <c r="H77" s="36"/>
      <c r="I77" s="36"/>
      <c r="J77" s="36"/>
      <c r="K77" s="36"/>
      <c r="L77" s="36"/>
    </row>
    <row r="78" spans="1:12" ht="14.25" customHeight="1">
      <c r="B78" s="374" t="s">
        <v>294</v>
      </c>
      <c r="C78" s="576">
        <v>1.516</v>
      </c>
      <c r="D78" s="576">
        <v>1.76</v>
      </c>
      <c r="E78" s="576">
        <v>1.8</v>
      </c>
      <c r="F78" s="576">
        <v>1.1100000000000001</v>
      </c>
      <c r="G78" s="576">
        <v>1.74</v>
      </c>
      <c r="H78" s="576">
        <v>0.66</v>
      </c>
      <c r="I78" s="576" t="s">
        <v>238</v>
      </c>
      <c r="J78" s="576" t="s">
        <v>238</v>
      </c>
      <c r="K78" s="576" t="s">
        <v>238</v>
      </c>
      <c r="L78" s="576">
        <v>0.46</v>
      </c>
    </row>
    <row r="79" spans="1:12" ht="18.600000000000001" customHeight="1">
      <c r="B79" s="374" t="s">
        <v>295</v>
      </c>
      <c r="C79" s="576">
        <v>-0.184</v>
      </c>
      <c r="D79" s="576">
        <v>1.3240000000000001</v>
      </c>
      <c r="E79" s="576">
        <v>1.24</v>
      </c>
      <c r="F79" s="576">
        <v>0.51</v>
      </c>
      <c r="G79" s="576">
        <v>1.74</v>
      </c>
      <c r="H79" s="576">
        <v>0.38</v>
      </c>
      <c r="I79" s="576" t="s">
        <v>238</v>
      </c>
      <c r="J79" s="576">
        <v>1.62</v>
      </c>
      <c r="K79" s="576" t="s">
        <v>238</v>
      </c>
      <c r="L79" s="576">
        <v>0.06</v>
      </c>
    </row>
    <row r="80" spans="1:12" ht="18.600000000000001" customHeight="1"/>
    <row r="81" spans="1:27" ht="15" customHeight="1">
      <c r="A81" s="379" t="s">
        <v>39</v>
      </c>
      <c r="B81" s="589" t="s">
        <v>296</v>
      </c>
      <c r="C81" s="590" t="s">
        <v>226</v>
      </c>
      <c r="D81" s="590" t="s">
        <v>227</v>
      </c>
      <c r="E81" s="590" t="s">
        <v>228</v>
      </c>
      <c r="F81" s="590" t="s">
        <v>229</v>
      </c>
      <c r="G81" s="590" t="s">
        <v>230</v>
      </c>
      <c r="H81" s="590" t="s">
        <v>231</v>
      </c>
      <c r="I81" s="590" t="s">
        <v>232</v>
      </c>
      <c r="J81" s="590" t="s">
        <v>233</v>
      </c>
      <c r="K81" s="590" t="s">
        <v>234</v>
      </c>
      <c r="L81" s="590" t="s">
        <v>235</v>
      </c>
    </row>
    <row r="82" spans="1:27" ht="8.25" customHeight="1">
      <c r="A82" s="379"/>
      <c r="B82" s="588"/>
      <c r="C82" s="36"/>
      <c r="D82" s="36"/>
      <c r="E82" s="36"/>
      <c r="F82" s="36"/>
      <c r="G82" s="36"/>
      <c r="H82" s="36"/>
      <c r="I82" s="36"/>
      <c r="J82" s="36"/>
      <c r="K82" s="36"/>
      <c r="L82" s="36"/>
    </row>
    <row r="83" spans="1:27" ht="12.75" customHeight="1">
      <c r="B83" s="374" t="s">
        <v>297</v>
      </c>
      <c r="C83" s="575">
        <v>0</v>
      </c>
      <c r="D83" s="575">
        <v>-0.11700000000000001</v>
      </c>
      <c r="E83" s="575">
        <v>-3.0000000000000001E-3</v>
      </c>
      <c r="F83" s="575" t="s">
        <v>238</v>
      </c>
      <c r="G83" s="575" t="s">
        <v>238</v>
      </c>
      <c r="H83" s="575" t="s">
        <v>238</v>
      </c>
      <c r="I83" s="575" t="s">
        <v>238</v>
      </c>
      <c r="J83" s="575">
        <v>5.5E-2</v>
      </c>
      <c r="K83" s="575" t="s">
        <v>238</v>
      </c>
      <c r="L83" s="575" t="s">
        <v>238</v>
      </c>
    </row>
    <row r="84" spans="1:27" ht="15" customHeight="1">
      <c r="B84" s="374" t="s">
        <v>298</v>
      </c>
      <c r="C84" s="575">
        <v>0</v>
      </c>
      <c r="D84" s="575">
        <v>0</v>
      </c>
      <c r="E84" s="575">
        <v>0</v>
      </c>
      <c r="F84" s="575" t="s">
        <v>238</v>
      </c>
      <c r="G84" s="575" t="s">
        <v>238</v>
      </c>
      <c r="H84" s="575" t="s">
        <v>238</v>
      </c>
      <c r="I84" s="575" t="s">
        <v>238</v>
      </c>
      <c r="J84" s="575">
        <v>2.6063796055552035E-2</v>
      </c>
      <c r="K84" s="575" t="s">
        <v>238</v>
      </c>
      <c r="L84" s="575" t="s">
        <v>238</v>
      </c>
    </row>
    <row r="85" spans="1:27" ht="15" customHeight="1">
      <c r="B85" s="374" t="s">
        <v>299</v>
      </c>
      <c r="C85" s="575">
        <v>0</v>
      </c>
      <c r="D85" s="575">
        <v>0</v>
      </c>
      <c r="E85" s="575">
        <v>0</v>
      </c>
      <c r="F85" s="575" t="s">
        <v>238</v>
      </c>
      <c r="G85" s="575" t="s">
        <v>238</v>
      </c>
      <c r="H85" s="575" t="s">
        <v>238</v>
      </c>
      <c r="I85" s="575" t="s">
        <v>238</v>
      </c>
      <c r="J85" s="575">
        <v>4.8485479337982723E-2</v>
      </c>
      <c r="K85" s="575" t="s">
        <v>238</v>
      </c>
      <c r="L85" s="575" t="s">
        <v>238</v>
      </c>
    </row>
    <row r="86" spans="1:27" ht="15" customHeight="1">
      <c r="A86" s="379" t="s">
        <v>39</v>
      </c>
      <c r="B86" s="374" t="s">
        <v>300</v>
      </c>
      <c r="C86" s="585">
        <v>0.09</v>
      </c>
      <c r="D86" s="585">
        <v>0.26</v>
      </c>
      <c r="E86" s="585">
        <v>0.1</v>
      </c>
      <c r="F86" s="585">
        <v>0.51</v>
      </c>
      <c r="G86" s="585" t="s">
        <v>238</v>
      </c>
      <c r="H86" s="585">
        <v>1.768776321174711</v>
      </c>
      <c r="I86" s="585">
        <v>0.35</v>
      </c>
      <c r="J86" s="585">
        <v>1.08</v>
      </c>
      <c r="K86" s="585">
        <v>0.04</v>
      </c>
      <c r="L86" s="585">
        <v>0.02</v>
      </c>
    </row>
    <row r="87" spans="1:27" ht="14.25" customHeight="1">
      <c r="A87" s="379"/>
    </row>
    <row r="95" spans="1:27" ht="15" customHeight="1">
      <c r="O95" s="473"/>
      <c r="P95" s="473"/>
      <c r="Q95" s="473"/>
      <c r="R95" s="473"/>
      <c r="S95" s="473"/>
      <c r="T95" s="473"/>
      <c r="U95" s="473"/>
      <c r="V95" s="473"/>
      <c r="W95" s="473"/>
      <c r="X95" s="473"/>
      <c r="Y95" s="473"/>
      <c r="Z95" s="473"/>
      <c r="AA95" s="473"/>
    </row>
    <row r="96" spans="1:27" ht="20.45" customHeight="1">
      <c r="O96" s="473"/>
      <c r="P96" s="837"/>
      <c r="Q96" s="838"/>
      <c r="R96" s="838"/>
      <c r="S96" s="838"/>
      <c r="T96" s="838"/>
      <c r="U96" s="838"/>
      <c r="V96" s="838"/>
      <c r="W96" s="838"/>
      <c r="X96" s="838"/>
      <c r="Y96" s="838"/>
      <c r="Z96" s="838"/>
      <c r="AA96" s="473"/>
    </row>
    <row r="97" spans="15:27" ht="5.45" customHeight="1">
      <c r="O97" s="473"/>
      <c r="P97" s="839"/>
      <c r="Q97" s="840"/>
      <c r="R97" s="840"/>
      <c r="S97" s="840"/>
      <c r="T97" s="840"/>
      <c r="U97" s="840"/>
      <c r="V97" s="840"/>
      <c r="W97" s="840"/>
      <c r="X97" s="840"/>
      <c r="Y97" s="840"/>
      <c r="Z97" s="840"/>
      <c r="AA97" s="473"/>
    </row>
    <row r="98" spans="15:27" ht="15" customHeight="1">
      <c r="O98" s="473"/>
      <c r="P98" s="839"/>
      <c r="Q98" s="841"/>
      <c r="R98" s="841"/>
      <c r="S98" s="841"/>
      <c r="T98" s="841"/>
      <c r="U98" s="841"/>
      <c r="V98" s="841"/>
      <c r="W98" s="841"/>
      <c r="X98" s="841"/>
      <c r="Y98" s="841"/>
      <c r="Z98" s="841"/>
      <c r="AA98" s="473"/>
    </row>
    <row r="99" spans="15:27" ht="15" customHeight="1">
      <c r="O99" s="473"/>
      <c r="P99" s="839"/>
      <c r="Q99" s="842"/>
      <c r="R99" s="841"/>
      <c r="S99" s="841"/>
      <c r="T99" s="841"/>
      <c r="U99" s="841"/>
      <c r="V99" s="841"/>
      <c r="W99" s="841"/>
      <c r="X99" s="841"/>
      <c r="Y99" s="841"/>
      <c r="Z99" s="841"/>
      <c r="AA99" s="473"/>
    </row>
    <row r="100" spans="15:27" ht="15" customHeight="1">
      <c r="O100" s="473"/>
      <c r="P100" s="839"/>
      <c r="Q100" s="841"/>
      <c r="R100" s="841"/>
      <c r="S100" s="841"/>
      <c r="T100" s="841"/>
      <c r="U100" s="841"/>
      <c r="V100" s="841"/>
      <c r="W100" s="841"/>
      <c r="X100" s="841"/>
      <c r="Y100" s="841"/>
      <c r="Z100" s="841"/>
      <c r="AA100" s="473"/>
    </row>
    <row r="101" spans="15:27" ht="15" customHeight="1">
      <c r="O101" s="473"/>
      <c r="P101" s="839"/>
      <c r="Q101" s="841"/>
      <c r="R101" s="841"/>
      <c r="S101" s="841"/>
      <c r="T101" s="841"/>
      <c r="U101" s="841"/>
      <c r="V101" s="841"/>
      <c r="W101" s="841"/>
      <c r="X101" s="841"/>
      <c r="Y101" s="841"/>
      <c r="Z101" s="841"/>
      <c r="AA101" s="473"/>
    </row>
    <row r="102" spans="15:27" ht="15" customHeight="1">
      <c r="P102" s="836"/>
      <c r="Q102" s="834"/>
      <c r="R102" s="834"/>
      <c r="S102" s="834"/>
      <c r="T102" s="834"/>
      <c r="U102" s="834"/>
      <c r="V102" s="834"/>
      <c r="W102" s="834"/>
      <c r="X102" s="834"/>
      <c r="Y102" s="834"/>
      <c r="Z102" s="834"/>
    </row>
    <row r="103" spans="15:27" ht="15" customHeight="1">
      <c r="P103" s="836"/>
      <c r="Q103" s="834"/>
      <c r="R103" s="834"/>
      <c r="S103" s="834"/>
      <c r="T103" s="834"/>
      <c r="U103" s="834"/>
      <c r="V103" s="834"/>
      <c r="W103" s="834"/>
      <c r="X103" s="834"/>
      <c r="Y103" s="834"/>
      <c r="Z103" s="834"/>
    </row>
    <row r="104" spans="15:27" ht="15" customHeight="1">
      <c r="P104" s="836"/>
      <c r="Q104" s="834"/>
      <c r="R104" s="834"/>
      <c r="S104" s="834"/>
      <c r="T104" s="834"/>
      <c r="U104" s="834"/>
      <c r="V104" s="834"/>
      <c r="W104" s="834"/>
      <c r="X104" s="834"/>
      <c r="Y104" s="834"/>
      <c r="Z104" s="834"/>
    </row>
    <row r="105" spans="15:27" ht="15" customHeight="1">
      <c r="P105" s="836"/>
      <c r="Q105" s="835"/>
      <c r="R105" s="835"/>
      <c r="S105" s="835"/>
      <c r="T105" s="835"/>
      <c r="U105" s="835"/>
      <c r="V105" s="835"/>
      <c r="W105" s="835"/>
      <c r="X105" s="835"/>
      <c r="Y105" s="835"/>
      <c r="Z105" s="835"/>
    </row>
    <row r="106" spans="15:27" ht="15" customHeight="1">
      <c r="P106" s="836"/>
      <c r="Q106" s="835"/>
      <c r="R106" s="835"/>
      <c r="S106" s="835"/>
      <c r="T106" s="835"/>
      <c r="U106" s="835"/>
      <c r="V106" s="835"/>
      <c r="W106" s="835"/>
      <c r="X106" s="835"/>
      <c r="Y106" s="835"/>
      <c r="Z106" s="835"/>
    </row>
    <row r="107" spans="15:27" ht="15" customHeight="1">
      <c r="P107" s="836"/>
      <c r="Q107" s="835"/>
      <c r="R107" s="835"/>
      <c r="S107" s="835"/>
      <c r="T107" s="835"/>
      <c r="U107" s="835"/>
      <c r="V107" s="835"/>
      <c r="W107" s="835"/>
      <c r="X107" s="835"/>
      <c r="Y107" s="835"/>
      <c r="Z107" s="835"/>
    </row>
    <row r="108" spans="15:27" ht="15" customHeight="1">
      <c r="P108" s="836"/>
      <c r="Q108" s="834"/>
      <c r="R108" s="834"/>
      <c r="S108" s="834"/>
      <c r="T108" s="834"/>
      <c r="U108" s="834"/>
      <c r="V108" s="834"/>
      <c r="W108" s="834"/>
      <c r="X108" s="834"/>
      <c r="Y108" s="834"/>
      <c r="Z108" s="834"/>
    </row>
    <row r="109" spans="15:27" ht="15" customHeight="1">
      <c r="P109" s="836"/>
      <c r="Q109" s="835"/>
      <c r="R109" s="835"/>
      <c r="S109" s="835"/>
      <c r="T109" s="835"/>
      <c r="U109" s="835"/>
      <c r="V109" s="835"/>
      <c r="W109" s="835"/>
      <c r="X109" s="835"/>
      <c r="Y109" s="835"/>
      <c r="Z109" s="835"/>
    </row>
  </sheetData>
  <conditionalFormatting sqref="C14:G14">
    <cfRule type="colorScale" priority="191">
      <colorScale>
        <cfvo type="min"/>
        <cfvo type="num" val="0"/>
        <cfvo type="max"/>
        <color theme="4" tint="0.79998168889431442"/>
        <color theme="0"/>
        <color rgb="FF8DEB91"/>
      </colorScale>
    </cfRule>
  </conditionalFormatting>
  <conditionalFormatting sqref="C15:G15">
    <cfRule type="colorScale" priority="193">
      <colorScale>
        <cfvo type="min"/>
        <cfvo type="num" val="0"/>
        <cfvo type="max"/>
        <color theme="4" tint="0.79998168889431442"/>
        <color theme="0"/>
        <color rgb="FF8DEB91"/>
      </colorScale>
    </cfRule>
  </conditionalFormatting>
  <conditionalFormatting sqref="C16:G16">
    <cfRule type="colorScale" priority="195">
      <colorScale>
        <cfvo type="min"/>
        <cfvo type="num" val="0"/>
        <cfvo type="max"/>
        <color theme="4" tint="0.79998168889431442"/>
        <color theme="0"/>
        <color rgb="FF8DEB91"/>
      </colorScale>
    </cfRule>
  </conditionalFormatting>
  <conditionalFormatting sqref="C17:G17">
    <cfRule type="colorScale" priority="197">
      <colorScale>
        <cfvo type="min"/>
        <cfvo type="num" val="0"/>
        <cfvo type="max"/>
        <color theme="4" tint="0.79998168889431442"/>
        <color theme="0"/>
        <color rgb="FF8DEB91"/>
      </colorScale>
    </cfRule>
  </conditionalFormatting>
  <conditionalFormatting sqref="C18:G18">
    <cfRule type="colorScale" priority="199">
      <colorScale>
        <cfvo type="min"/>
        <cfvo type="num" val="0"/>
        <cfvo type="max"/>
        <color theme="4" tint="0.79998168889431442"/>
        <color theme="0"/>
        <color rgb="FF8DEB91"/>
      </colorScale>
    </cfRule>
  </conditionalFormatting>
  <conditionalFormatting sqref="C19:G19">
    <cfRule type="colorScale" priority="201">
      <colorScale>
        <cfvo type="min"/>
        <cfvo type="num" val="0"/>
        <cfvo type="max"/>
        <color theme="4" tint="0.79998168889431442"/>
        <color theme="0"/>
        <color rgb="FF8DEB91"/>
      </colorScale>
    </cfRule>
  </conditionalFormatting>
  <conditionalFormatting sqref="C23:L23">
    <cfRule type="colorScale" priority="203">
      <colorScale>
        <cfvo type="min"/>
        <cfvo type="percentile" val="50"/>
        <cfvo type="max"/>
        <color theme="4" tint="0.79998168889431442"/>
        <color theme="0"/>
        <color rgb="FF8DEB91"/>
      </colorScale>
    </cfRule>
  </conditionalFormatting>
  <conditionalFormatting sqref="C24:L24">
    <cfRule type="colorScale" priority="206">
      <colorScale>
        <cfvo type="min"/>
        <cfvo type="percentile" val="50"/>
        <cfvo type="max"/>
        <color theme="4" tint="0.79998168889431442"/>
        <color theme="0"/>
        <color rgb="FF8DEB91"/>
      </colorScale>
    </cfRule>
  </conditionalFormatting>
  <conditionalFormatting sqref="C25:L25">
    <cfRule type="colorScale" priority="209">
      <colorScale>
        <cfvo type="min"/>
        <cfvo type="percentile" val="50"/>
        <cfvo type="max"/>
        <color theme="4" tint="0.79998168889431442"/>
        <color theme="0"/>
        <color rgb="FF8DEB91"/>
      </colorScale>
    </cfRule>
  </conditionalFormatting>
  <conditionalFormatting sqref="C26:L26">
    <cfRule type="colorScale" priority="212">
      <colorScale>
        <cfvo type="min"/>
        <cfvo type="percentile" val="50"/>
        <cfvo type="max"/>
        <color theme="4" tint="0.79998168889431442"/>
        <color theme="0"/>
        <color rgb="FF8DEB91"/>
      </colorScale>
    </cfRule>
  </conditionalFormatting>
  <conditionalFormatting sqref="C27:L27">
    <cfRule type="colorScale" priority="215">
      <colorScale>
        <cfvo type="min"/>
        <cfvo type="percentile" val="50"/>
        <cfvo type="max"/>
        <color rgb="FF8DEB91"/>
        <color theme="0"/>
        <color theme="4" tint="0.79998168889431442"/>
      </colorScale>
    </cfRule>
  </conditionalFormatting>
  <conditionalFormatting sqref="C28:L28">
    <cfRule type="colorScale" priority="218">
      <colorScale>
        <cfvo type="min"/>
        <cfvo type="percentile" val="50"/>
        <cfvo type="max"/>
        <color theme="4" tint="0.79998168889431442"/>
        <color theme="0"/>
        <color rgb="FF8DEB91"/>
      </colorScale>
    </cfRule>
  </conditionalFormatting>
  <conditionalFormatting sqref="C31:L31">
    <cfRule type="colorScale" priority="221">
      <colorScale>
        <cfvo type="min"/>
        <cfvo type="percentile" val="50"/>
        <cfvo type="max"/>
        <color theme="4" tint="0.79998168889431442"/>
        <color theme="0"/>
        <color rgb="FF8DEB91"/>
      </colorScale>
    </cfRule>
  </conditionalFormatting>
  <conditionalFormatting sqref="C32:L32">
    <cfRule type="colorScale" priority="224">
      <colorScale>
        <cfvo type="min"/>
        <cfvo type="percentile" val="50"/>
        <cfvo type="max"/>
        <color theme="4" tint="0.79998168889431442"/>
        <color theme="0"/>
        <color rgb="FF8DEB91"/>
      </colorScale>
    </cfRule>
  </conditionalFormatting>
  <conditionalFormatting sqref="C33:L33">
    <cfRule type="colorScale" priority="227">
      <colorScale>
        <cfvo type="min"/>
        <cfvo type="percentile" val="50"/>
        <cfvo type="max"/>
        <color theme="4" tint="0.79998168889431442"/>
        <color theme="0"/>
        <color rgb="FF8DEB91"/>
      </colorScale>
    </cfRule>
  </conditionalFormatting>
  <conditionalFormatting sqref="C34:L34">
    <cfRule type="colorScale" priority="230">
      <colorScale>
        <cfvo type="min"/>
        <cfvo type="percentile" val="50"/>
        <cfvo type="max"/>
        <color theme="4" tint="0.79998168889431442"/>
        <color theme="0"/>
        <color rgb="FF8DEB91"/>
      </colorScale>
    </cfRule>
  </conditionalFormatting>
  <conditionalFormatting sqref="C35:L35">
    <cfRule type="colorScale" priority="233">
      <colorScale>
        <cfvo type="min"/>
        <cfvo type="percentile" val="50"/>
        <cfvo type="max"/>
        <color theme="4" tint="0.79998168889431442"/>
        <color theme="0"/>
        <color rgb="FF8DEB91"/>
      </colorScale>
    </cfRule>
  </conditionalFormatting>
  <conditionalFormatting sqref="C36:L36">
    <cfRule type="colorScale" priority="236">
      <colorScale>
        <cfvo type="min"/>
        <cfvo type="percentile" val="50"/>
        <cfvo type="max"/>
        <color theme="4" tint="0.79998168889431442"/>
        <color theme="0"/>
        <color rgb="FF8DEB91"/>
      </colorScale>
    </cfRule>
  </conditionalFormatting>
  <conditionalFormatting sqref="C40:L40">
    <cfRule type="colorScale" priority="239">
      <colorScale>
        <cfvo type="min"/>
        <cfvo type="percentile" val="50"/>
        <cfvo type="max"/>
        <color theme="4" tint="0.79998168889431442"/>
        <color theme="0" tint="-4.9989318521683403E-2"/>
        <color rgb="FF8DEB91"/>
      </colorScale>
    </cfRule>
  </conditionalFormatting>
  <conditionalFormatting sqref="C41:L41">
    <cfRule type="colorScale" priority="242">
      <colorScale>
        <cfvo type="min"/>
        <cfvo type="percentile" val="50"/>
        <cfvo type="max"/>
        <color theme="4" tint="0.79998168889431442"/>
        <color theme="0" tint="-4.9989318521683403E-2"/>
        <color rgb="FF8DEB91"/>
      </colorScale>
    </cfRule>
  </conditionalFormatting>
  <conditionalFormatting sqref="C42:L42">
    <cfRule type="colorScale" priority="245">
      <colorScale>
        <cfvo type="min"/>
        <cfvo type="percentile" val="50"/>
        <cfvo type="max"/>
        <color theme="4" tint="0.79998168889431442"/>
        <color theme="0" tint="-4.9989318521683403E-2"/>
        <color rgb="FF8DEB91"/>
      </colorScale>
    </cfRule>
  </conditionalFormatting>
  <conditionalFormatting sqref="C43:L43">
    <cfRule type="colorScale" priority="248">
      <colorScale>
        <cfvo type="min"/>
        <cfvo type="percentile" val="50"/>
        <cfvo type="max"/>
        <color theme="4" tint="0.79998168889431442"/>
        <color theme="0"/>
        <color rgb="FF8DEB91"/>
      </colorScale>
    </cfRule>
  </conditionalFormatting>
  <conditionalFormatting sqref="C46:L46">
    <cfRule type="colorScale" priority="251">
      <colorScale>
        <cfvo type="min"/>
        <cfvo type="percentile" val="50"/>
        <cfvo type="max"/>
        <color theme="4" tint="0.79998168889431442"/>
        <color theme="0"/>
        <color rgb="FF8DEB91"/>
      </colorScale>
    </cfRule>
  </conditionalFormatting>
  <conditionalFormatting sqref="C47:L47">
    <cfRule type="colorScale" priority="254">
      <colorScale>
        <cfvo type="min"/>
        <cfvo type="percentile" val="50"/>
        <cfvo type="max"/>
        <color theme="4" tint="0.79998168889431442"/>
        <color theme="0"/>
        <color rgb="FF8DEB91"/>
      </colorScale>
    </cfRule>
  </conditionalFormatting>
  <conditionalFormatting sqref="C48:L48">
    <cfRule type="colorScale" priority="257">
      <colorScale>
        <cfvo type="min"/>
        <cfvo type="percentile" val="50"/>
        <cfvo type="max"/>
        <color theme="4" tint="0.79998168889431442"/>
        <color theme="0"/>
        <color rgb="FF8DEB91"/>
      </colorScale>
    </cfRule>
  </conditionalFormatting>
  <conditionalFormatting sqref="C49:L49">
    <cfRule type="colorScale" priority="260">
      <colorScale>
        <cfvo type="min"/>
        <cfvo type="percentile" val="50"/>
        <cfvo type="max"/>
        <color theme="4" tint="0.79998168889431442"/>
        <color theme="0"/>
        <color rgb="FF8DEB91"/>
      </colorScale>
    </cfRule>
  </conditionalFormatting>
  <conditionalFormatting sqref="C50:L50">
    <cfRule type="colorScale" priority="263">
      <colorScale>
        <cfvo type="min"/>
        <cfvo type="percentile" val="50"/>
        <cfvo type="max"/>
        <color theme="4" tint="0.79998168889431442"/>
        <color theme="0"/>
        <color rgb="FF8DEB91"/>
      </colorScale>
    </cfRule>
  </conditionalFormatting>
  <conditionalFormatting sqref="C51:L51">
    <cfRule type="colorScale" priority="266">
      <colorScale>
        <cfvo type="min"/>
        <cfvo type="percentile" val="50"/>
        <cfvo type="max"/>
        <color theme="4" tint="0.79998168889431442"/>
        <color theme="0" tint="-4.9989318521683403E-2"/>
        <color rgb="FF8DEB91"/>
      </colorScale>
    </cfRule>
  </conditionalFormatting>
  <conditionalFormatting sqref="C52:L52">
    <cfRule type="colorScale" priority="269">
      <colorScale>
        <cfvo type="min"/>
        <cfvo type="percentile" val="50"/>
        <cfvo type="max"/>
        <color theme="4" tint="0.79998168889431442"/>
        <color theme="0"/>
        <color rgb="FF8DEB91"/>
      </colorScale>
    </cfRule>
  </conditionalFormatting>
  <conditionalFormatting sqref="C56:L56">
    <cfRule type="colorScale" priority="272">
      <colorScale>
        <cfvo type="min"/>
        <cfvo type="percentile" val="50"/>
        <cfvo type="max"/>
        <color rgb="FF8DEB91"/>
        <color theme="0" tint="-4.9989318521683403E-2"/>
        <color theme="4" tint="0.79998168889431442"/>
      </colorScale>
    </cfRule>
  </conditionalFormatting>
  <conditionalFormatting sqref="C57:L57">
    <cfRule type="colorScale" priority="275">
      <colorScale>
        <cfvo type="min"/>
        <cfvo type="percentile" val="50"/>
        <cfvo type="max"/>
        <color rgb="FF8DEB91"/>
        <color theme="0" tint="-4.9989318521683403E-2"/>
        <color theme="4" tint="0.79998168889431442"/>
      </colorScale>
    </cfRule>
  </conditionalFormatting>
  <conditionalFormatting sqref="C58:L58">
    <cfRule type="colorScale" priority="278">
      <colorScale>
        <cfvo type="min"/>
        <cfvo type="percentile" val="50"/>
        <cfvo type="max"/>
        <color theme="4" tint="0.79998168889431442"/>
        <color theme="0" tint="-4.9989318521683403E-2"/>
        <color rgb="FF8DEB91"/>
      </colorScale>
    </cfRule>
  </conditionalFormatting>
  <conditionalFormatting sqref="C59:L59">
    <cfRule type="colorScale" priority="281">
      <colorScale>
        <cfvo type="min"/>
        <cfvo type="percentile" val="50"/>
        <cfvo type="max"/>
        <color rgb="FF8DEB91"/>
        <color theme="0"/>
        <color theme="4" tint="0.79998168889431442"/>
      </colorScale>
    </cfRule>
  </conditionalFormatting>
  <conditionalFormatting sqref="C60:L60">
    <cfRule type="colorScale" priority="284">
      <colorScale>
        <cfvo type="min"/>
        <cfvo type="percentile" val="50"/>
        <cfvo type="max"/>
        <color theme="4" tint="0.79998168889431442"/>
        <color theme="0"/>
        <color rgb="FF8DEB91"/>
      </colorScale>
    </cfRule>
  </conditionalFormatting>
  <conditionalFormatting sqref="C64:L64">
    <cfRule type="colorScale" priority="287">
      <colorScale>
        <cfvo type="min"/>
        <cfvo type="percentile" val="50"/>
        <cfvo type="max"/>
        <color theme="4" tint="0.79998168889431442"/>
        <color theme="0" tint="-4.9989318521683403E-2"/>
        <color rgb="FF8DEB91"/>
      </colorScale>
    </cfRule>
  </conditionalFormatting>
  <conditionalFormatting sqref="C65:L65">
    <cfRule type="colorScale" priority="290">
      <colorScale>
        <cfvo type="min"/>
        <cfvo type="percentile" val="50"/>
        <cfvo type="max"/>
        <color theme="4" tint="0.79998168889431442"/>
        <color theme="0" tint="-4.9989318521683403E-2"/>
        <color rgb="FF8DEB91"/>
      </colorScale>
    </cfRule>
  </conditionalFormatting>
  <conditionalFormatting sqref="C66:L66">
    <cfRule type="colorScale" priority="293">
      <colorScale>
        <cfvo type="min"/>
        <cfvo type="percentile" val="50"/>
        <cfvo type="max"/>
        <color theme="4" tint="0.79998168889431442"/>
        <color theme="0" tint="-4.9989318521683403E-2"/>
        <color rgb="FF8DEB91"/>
      </colorScale>
    </cfRule>
  </conditionalFormatting>
  <conditionalFormatting sqref="C70:L70">
    <cfRule type="colorScale" priority="296">
      <colorScale>
        <cfvo type="min"/>
        <cfvo type="percentile" val="50"/>
        <cfvo type="max"/>
        <color theme="4" tint="0.79998168889431442"/>
        <color theme="0"/>
        <color rgb="FF8DEB91"/>
      </colorScale>
    </cfRule>
  </conditionalFormatting>
  <conditionalFormatting sqref="C71:L71">
    <cfRule type="colorScale" priority="299">
      <colorScale>
        <cfvo type="min"/>
        <cfvo type="percentile" val="50"/>
        <cfvo type="max"/>
        <color theme="4" tint="0.79998168889431442"/>
        <color theme="0"/>
        <color rgb="FF8DEB91"/>
      </colorScale>
    </cfRule>
  </conditionalFormatting>
  <conditionalFormatting sqref="C72:L72">
    <cfRule type="colorScale" priority="302">
      <colorScale>
        <cfvo type="min"/>
        <cfvo type="percentile" val="50"/>
        <cfvo type="max"/>
        <color theme="4" tint="0.79998168889431442"/>
        <color theme="0"/>
        <color rgb="FF8DEB91"/>
      </colorScale>
    </cfRule>
  </conditionalFormatting>
  <conditionalFormatting sqref="C73:L73">
    <cfRule type="colorScale" priority="305">
      <colorScale>
        <cfvo type="min"/>
        <cfvo type="percentile" val="50"/>
        <cfvo type="max"/>
        <color theme="4" tint="0.79998168889431442"/>
        <color theme="0"/>
        <color rgb="FF8DEB91"/>
      </colorScale>
    </cfRule>
  </conditionalFormatting>
  <conditionalFormatting sqref="C74:L74">
    <cfRule type="colorScale" priority="308">
      <colorScale>
        <cfvo type="min"/>
        <cfvo type="percentile" val="50"/>
        <cfvo type="max"/>
        <color theme="4" tint="0.79998168889431442"/>
        <color theme="0"/>
        <color rgb="FF8DEB91"/>
      </colorScale>
    </cfRule>
  </conditionalFormatting>
  <conditionalFormatting sqref="C78:L78">
    <cfRule type="colorScale" priority="311">
      <colorScale>
        <cfvo type="min"/>
        <cfvo type="percentile" val="50"/>
        <cfvo type="max"/>
        <color theme="4" tint="0.79998168889431442"/>
        <color theme="0" tint="-4.9989318521683403E-2"/>
        <color rgb="FF8DEB91"/>
      </colorScale>
    </cfRule>
  </conditionalFormatting>
  <conditionalFormatting sqref="C79:L79">
    <cfRule type="colorScale" priority="314">
      <colorScale>
        <cfvo type="min"/>
        <cfvo type="percentile" val="50"/>
        <cfvo type="max"/>
        <color theme="4" tint="0.79998168889431442"/>
        <color theme="0" tint="-4.9989318521683403E-2"/>
        <color rgb="FF8DEB91"/>
      </colorScale>
    </cfRule>
  </conditionalFormatting>
  <conditionalFormatting sqref="C83:L83">
    <cfRule type="colorScale" priority="317">
      <colorScale>
        <cfvo type="min"/>
        <cfvo type="percentile" val="50"/>
        <cfvo type="max"/>
        <color theme="4" tint="0.79998168889431442"/>
        <color theme="0"/>
        <color rgb="FF8DEB91"/>
      </colorScale>
    </cfRule>
  </conditionalFormatting>
  <conditionalFormatting sqref="C84:L84">
    <cfRule type="colorScale" priority="320">
      <colorScale>
        <cfvo type="min"/>
        <cfvo type="percentile" val="50"/>
        <cfvo type="max"/>
        <color theme="4" tint="0.79998168889431442"/>
        <color theme="0"/>
        <color rgb="FF8DEB91"/>
      </colorScale>
    </cfRule>
  </conditionalFormatting>
  <conditionalFormatting sqref="C85:L85">
    <cfRule type="colorScale" priority="323">
      <colorScale>
        <cfvo type="min"/>
        <cfvo type="percentile" val="50"/>
        <cfvo type="max"/>
        <color theme="4" tint="0.79998168889431442"/>
        <color theme="0"/>
        <color rgb="FF8DEB91"/>
      </colorScale>
    </cfRule>
  </conditionalFormatting>
  <conditionalFormatting sqref="C86:L86">
    <cfRule type="colorScale" priority="326">
      <colorScale>
        <cfvo type="min"/>
        <cfvo type="percentile" val="50"/>
        <cfvo type="max"/>
        <color theme="4" tint="0.79998168889431442"/>
        <color theme="0"/>
        <color rgb="FF8DEB91"/>
      </colorScale>
    </cfRule>
  </conditionalFormatting>
  <conditionalFormatting sqref="H14:L14">
    <cfRule type="colorScale" priority="185">
      <colorScale>
        <cfvo type="min"/>
        <cfvo type="num" val="0"/>
        <cfvo type="max"/>
        <color theme="4" tint="0.79998168889431442"/>
        <color theme="0"/>
        <color rgb="FF8DEB91"/>
      </colorScale>
    </cfRule>
  </conditionalFormatting>
  <conditionalFormatting sqref="H15:L15">
    <cfRule type="colorScale" priority="186">
      <colorScale>
        <cfvo type="min"/>
        <cfvo type="num" val="0"/>
        <cfvo type="max"/>
        <color theme="4" tint="0.79998168889431442"/>
        <color theme="0"/>
        <color rgb="FF8DEB91"/>
      </colorScale>
    </cfRule>
  </conditionalFormatting>
  <conditionalFormatting sqref="H16:L16">
    <cfRule type="colorScale" priority="187">
      <colorScale>
        <cfvo type="min"/>
        <cfvo type="num" val="0"/>
        <cfvo type="max"/>
        <color theme="4" tint="0.79998168889431442"/>
        <color theme="0"/>
        <color rgb="FF8DEB91"/>
      </colorScale>
    </cfRule>
  </conditionalFormatting>
  <conditionalFormatting sqref="H17:L17">
    <cfRule type="colorScale" priority="188">
      <colorScale>
        <cfvo type="min"/>
        <cfvo type="num" val="0"/>
        <cfvo type="max"/>
        <color theme="4" tint="0.79998168889431442"/>
        <color theme="0"/>
        <color rgb="FF8DEB91"/>
      </colorScale>
    </cfRule>
  </conditionalFormatting>
  <conditionalFormatting sqref="H18:L18">
    <cfRule type="colorScale" priority="189">
      <colorScale>
        <cfvo type="min"/>
        <cfvo type="num" val="0"/>
        <cfvo type="max"/>
        <color theme="4" tint="0.79998168889431442"/>
        <color theme="0"/>
        <color rgb="FF8DEB91"/>
      </colorScale>
    </cfRule>
  </conditionalFormatting>
  <conditionalFormatting sqref="H19:L19">
    <cfRule type="colorScale" priority="190">
      <colorScale>
        <cfvo type="min"/>
        <cfvo type="num" val="0"/>
        <cfvo type="max"/>
        <color theme="4" tint="0.79998168889431442"/>
        <color theme="0"/>
        <color rgb="FF8DEB91"/>
      </colorScale>
    </cfRule>
  </conditionalFormatting>
  <conditionalFormatting sqref="Q98:U98">
    <cfRule type="colorScale" priority="15">
      <colorScale>
        <cfvo type="min"/>
        <cfvo type="num" val="0"/>
        <cfvo type="max"/>
        <color theme="4" tint="0.79998168889431442"/>
        <color theme="0"/>
        <color rgb="FF8DEB91"/>
      </colorScale>
    </cfRule>
  </conditionalFormatting>
  <conditionalFormatting sqref="Q99:U99">
    <cfRule type="colorScale" priority="13">
      <colorScale>
        <cfvo type="min"/>
        <cfvo type="num" val="0"/>
        <cfvo type="max"/>
        <color theme="4" tint="0.79998168889431442"/>
        <color theme="0"/>
        <color rgb="FF8DEB91"/>
      </colorScale>
    </cfRule>
  </conditionalFormatting>
  <conditionalFormatting sqref="Q100:U100">
    <cfRule type="colorScale" priority="11">
      <colorScale>
        <cfvo type="min"/>
        <cfvo type="num" val="0"/>
        <cfvo type="max"/>
        <color theme="4" tint="0.79998168889431442"/>
        <color theme="0"/>
        <color rgb="FF8DEB91"/>
      </colorScale>
    </cfRule>
  </conditionalFormatting>
  <conditionalFormatting sqref="Q101:Z101">
    <cfRule type="colorScale" priority="9">
      <colorScale>
        <cfvo type="min"/>
        <cfvo type="percentile" val="50"/>
        <cfvo type="max"/>
        <color theme="4" tint="0.79998168889431442"/>
        <color theme="0"/>
        <color rgb="FF8DEB91"/>
      </colorScale>
    </cfRule>
  </conditionalFormatting>
  <conditionalFormatting sqref="Q102:Z102">
    <cfRule type="colorScale" priority="8">
      <colorScale>
        <cfvo type="min"/>
        <cfvo type="percentile" val="50"/>
        <cfvo type="max"/>
        <color theme="4" tint="0.79998168889431442"/>
        <color theme="0"/>
        <color rgb="FF8DEB91"/>
      </colorScale>
    </cfRule>
  </conditionalFormatting>
  <conditionalFormatting sqref="Q103:Z103">
    <cfRule type="colorScale" priority="7">
      <colorScale>
        <cfvo type="min"/>
        <cfvo type="percentile" val="50"/>
        <cfvo type="max"/>
        <color theme="4" tint="0.79998168889431442"/>
        <color theme="0"/>
        <color rgb="FF8DEB91"/>
      </colorScale>
    </cfRule>
  </conditionalFormatting>
  <conditionalFormatting sqref="Q104:Z104">
    <cfRule type="colorScale" priority="6">
      <colorScale>
        <cfvo type="min"/>
        <cfvo type="percentile" val="50"/>
        <cfvo type="max"/>
        <color theme="4" tint="0.79998168889431442"/>
        <color theme="0"/>
        <color rgb="FF8DEB91"/>
      </colorScale>
    </cfRule>
  </conditionalFormatting>
  <conditionalFormatting sqref="Q105:Z105">
    <cfRule type="colorScale" priority="5">
      <colorScale>
        <cfvo type="min"/>
        <cfvo type="percentile" val="50"/>
        <cfvo type="max"/>
        <color theme="4" tint="0.79998168889431442"/>
        <color theme="0" tint="-4.9989318521683403E-2"/>
        <color rgb="FF8DEB91"/>
      </colorScale>
    </cfRule>
  </conditionalFormatting>
  <conditionalFormatting sqref="Q106:Z106">
    <cfRule type="colorScale" priority="4">
      <colorScale>
        <cfvo type="min"/>
        <cfvo type="percentile" val="50"/>
        <cfvo type="max"/>
        <color theme="4" tint="0.79998168889431442"/>
        <color theme="0" tint="-4.9989318521683403E-2"/>
        <color rgb="FF8DEB91"/>
      </colorScale>
    </cfRule>
  </conditionalFormatting>
  <conditionalFormatting sqref="Q107:Z107">
    <cfRule type="colorScale" priority="3">
      <colorScale>
        <cfvo type="min"/>
        <cfvo type="percentile" val="50"/>
        <cfvo type="max"/>
        <color theme="4" tint="0.79998168889431442"/>
        <color theme="0" tint="-4.9989318521683403E-2"/>
        <color rgb="FF8DEB91"/>
      </colorScale>
    </cfRule>
  </conditionalFormatting>
  <conditionalFormatting sqref="Q108:Z108">
    <cfRule type="colorScale" priority="2">
      <colorScale>
        <cfvo type="min"/>
        <cfvo type="percentile" val="50"/>
        <cfvo type="max"/>
        <color theme="4" tint="0.79998168889431442"/>
        <color theme="0"/>
        <color rgb="FF8DEB91"/>
      </colorScale>
    </cfRule>
  </conditionalFormatting>
  <conditionalFormatting sqref="Q109:Z109">
    <cfRule type="colorScale" priority="1">
      <colorScale>
        <cfvo type="min"/>
        <cfvo type="percentile" val="50"/>
        <cfvo type="max"/>
        <color theme="4" tint="0.79998168889431442"/>
        <color theme="0" tint="-4.9989318521683403E-2"/>
        <color rgb="FF8DEB91"/>
      </colorScale>
    </cfRule>
  </conditionalFormatting>
  <conditionalFormatting sqref="V98:Z98">
    <cfRule type="colorScale" priority="14">
      <colorScale>
        <cfvo type="min"/>
        <cfvo type="num" val="0"/>
        <cfvo type="max"/>
        <color theme="4" tint="0.79998168889431442"/>
        <color theme="0"/>
        <color rgb="FF8DEB91"/>
      </colorScale>
    </cfRule>
  </conditionalFormatting>
  <conditionalFormatting sqref="V99:Z99">
    <cfRule type="colorScale" priority="12">
      <colorScale>
        <cfvo type="min"/>
        <cfvo type="num" val="0"/>
        <cfvo type="max"/>
        <color theme="4" tint="0.79998168889431442"/>
        <color theme="0"/>
        <color rgb="FF8DEB91"/>
      </colorScale>
    </cfRule>
  </conditionalFormatting>
  <conditionalFormatting sqref="V100:Z100">
    <cfRule type="colorScale" priority="10">
      <colorScale>
        <cfvo type="min"/>
        <cfvo type="num" val="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Z69"/>
  <sheetViews>
    <sheetView showGridLines="0" topLeftCell="A16" zoomScale="80" zoomScaleNormal="100" workbookViewId="0">
      <selection activeCell="E68" sqref="E68"/>
    </sheetView>
  </sheetViews>
  <sheetFormatPr defaultColWidth="9" defaultRowHeight="15" customHeight="1"/>
  <cols>
    <col min="1" max="1" width="2.125" style="563" customWidth="1"/>
    <col min="2" max="2" width="28.125" style="563" customWidth="1"/>
    <col min="3" max="4" width="10.625" style="563" customWidth="1"/>
    <col min="5" max="5" width="8.625" style="563" customWidth="1"/>
    <col min="6" max="7" width="11.625" style="563" customWidth="1"/>
    <col min="8" max="8" width="1.625" style="563" customWidth="1"/>
    <col min="9" max="17" width="9.625" style="563" customWidth="1"/>
    <col min="18" max="18" width="1.625" style="563" customWidth="1"/>
    <col min="19" max="20" width="8.625" style="563" customWidth="1"/>
    <col min="21" max="21" width="1.625" style="563" customWidth="1"/>
    <col min="22" max="24" width="9.625" style="563" customWidth="1"/>
    <col min="25" max="25" width="1.625" style="563" customWidth="1"/>
    <col min="26" max="26" width="8.625" style="563" customWidth="1"/>
    <col min="27" max="16384" width="9" style="563"/>
  </cols>
  <sheetData>
    <row r="1" spans="2:26" s="574" customFormat="1" ht="15" customHeight="1"/>
    <row r="2" spans="2:26" s="574" customFormat="1" ht="15" customHeight="1"/>
    <row r="3" spans="2:26" s="574" customFormat="1" ht="15" customHeight="1"/>
    <row r="4" spans="2:26" s="574" customFormat="1" ht="15" customHeight="1"/>
    <row r="5" spans="2:26" s="561" customFormat="1" ht="3.95" customHeight="1">
      <c r="B5" s="36"/>
      <c r="C5" s="36"/>
      <c r="D5" s="36"/>
      <c r="E5" s="36"/>
      <c r="F5" s="36"/>
      <c r="G5" s="36"/>
      <c r="H5" s="36"/>
      <c r="I5" s="36"/>
      <c r="J5" s="36"/>
      <c r="K5" s="36"/>
      <c r="L5" s="36"/>
      <c r="M5" s="36"/>
      <c r="N5" s="36"/>
      <c r="O5" s="36"/>
      <c r="P5" s="36"/>
      <c r="Q5" s="36"/>
      <c r="R5" s="36"/>
      <c r="S5" s="36"/>
      <c r="T5" s="36"/>
      <c r="U5" s="36"/>
      <c r="V5" s="36"/>
      <c r="W5" s="36"/>
      <c r="X5" s="36"/>
      <c r="Y5" s="36"/>
      <c r="Z5" s="36"/>
    </row>
    <row r="7" spans="2:26" s="562" customFormat="1" ht="15" customHeight="1">
      <c r="B7" s="614" t="str">
        <f>"in "&amp;IF(Inputs!$R$18="k","thousands",IF(Inputs!$R$18="MLN","millions","billions")&amp;" of "&amp;Inputs!$R$17)</f>
        <v>in thousands</v>
      </c>
      <c r="C7" s="371"/>
      <c r="D7" s="615" t="s">
        <v>301</v>
      </c>
      <c r="E7" s="615" t="s">
        <v>302</v>
      </c>
      <c r="F7" s="615"/>
      <c r="G7" s="615"/>
      <c r="H7" s="615"/>
      <c r="I7" s="961" t="s">
        <v>303</v>
      </c>
      <c r="J7" s="961"/>
      <c r="K7" s="961"/>
      <c r="L7" s="961"/>
      <c r="M7" s="961"/>
      <c r="N7" s="961"/>
      <c r="O7" s="961"/>
      <c r="P7" s="961"/>
      <c r="Q7" s="961"/>
      <c r="R7" s="615"/>
      <c r="S7" s="615" t="s">
        <v>304</v>
      </c>
      <c r="T7" s="615" t="s">
        <v>305</v>
      </c>
      <c r="U7" s="615"/>
      <c r="V7" s="961" t="s">
        <v>306</v>
      </c>
      <c r="W7" s="961"/>
      <c r="X7" s="961"/>
      <c r="Y7" s="615"/>
      <c r="Z7" s="615" t="s">
        <v>307</v>
      </c>
    </row>
    <row r="8" spans="2:26" s="562" customFormat="1" ht="15" customHeight="1">
      <c r="B8" s="371"/>
      <c r="C8" s="371"/>
      <c r="D8" s="615" t="s">
        <v>308</v>
      </c>
      <c r="E8" s="615" t="s">
        <v>309</v>
      </c>
      <c r="F8" s="615" t="s">
        <v>310</v>
      </c>
      <c r="G8" s="615" t="s">
        <v>311</v>
      </c>
      <c r="H8" s="615"/>
      <c r="I8" s="615" t="s">
        <v>304</v>
      </c>
      <c r="J8" s="530">
        <v>2025</v>
      </c>
      <c r="K8" s="530">
        <v>2026</v>
      </c>
      <c r="L8" s="615" t="s">
        <v>304</v>
      </c>
      <c r="M8" s="615" t="s">
        <v>312</v>
      </c>
      <c r="N8" s="615" t="s">
        <v>313</v>
      </c>
      <c r="O8" s="615" t="s">
        <v>304</v>
      </c>
      <c r="P8" s="615" t="s">
        <v>312</v>
      </c>
      <c r="Q8" s="615" t="s">
        <v>313</v>
      </c>
      <c r="R8" s="615"/>
      <c r="S8" s="615" t="s">
        <v>314</v>
      </c>
      <c r="T8" s="615" t="s">
        <v>315</v>
      </c>
      <c r="U8" s="615"/>
      <c r="V8" s="615" t="s">
        <v>304</v>
      </c>
      <c r="W8" s="615" t="s">
        <v>312</v>
      </c>
      <c r="X8" s="615" t="s">
        <v>313</v>
      </c>
      <c r="Y8" s="615"/>
      <c r="Z8" s="615" t="s">
        <v>316</v>
      </c>
    </row>
    <row r="9" spans="2:26" s="562" customFormat="1" ht="15" customHeight="1">
      <c r="B9" s="371" t="s">
        <v>317</v>
      </c>
      <c r="C9" s="371" t="s">
        <v>13</v>
      </c>
      <c r="D9" s="615" t="s">
        <v>318</v>
      </c>
      <c r="E9" s="615" t="s">
        <v>319</v>
      </c>
      <c r="F9" s="615" t="s">
        <v>320</v>
      </c>
      <c r="G9" s="615" t="s">
        <v>320</v>
      </c>
      <c r="H9" s="615"/>
      <c r="I9" s="615" t="s">
        <v>321</v>
      </c>
      <c r="J9" s="615" t="s">
        <v>321</v>
      </c>
      <c r="K9" s="615" t="s">
        <v>321</v>
      </c>
      <c r="L9" s="615" t="s">
        <v>314</v>
      </c>
      <c r="M9" s="615" t="s">
        <v>314</v>
      </c>
      <c r="N9" s="615" t="s">
        <v>314</v>
      </c>
      <c r="O9" s="615" t="s">
        <v>322</v>
      </c>
      <c r="P9" s="615" t="s">
        <v>322</v>
      </c>
      <c r="Q9" s="615" t="s">
        <v>322</v>
      </c>
      <c r="R9" s="615"/>
      <c r="S9" s="615" t="s">
        <v>323</v>
      </c>
      <c r="T9" s="615" t="s">
        <v>314</v>
      </c>
      <c r="U9" s="615"/>
      <c r="V9" s="615" t="s">
        <v>316</v>
      </c>
      <c r="W9" s="615" t="s">
        <v>316</v>
      </c>
      <c r="X9" s="615" t="s">
        <v>316</v>
      </c>
      <c r="Y9" s="615"/>
      <c r="Z9" s="615" t="s">
        <v>225</v>
      </c>
    </row>
    <row r="10" spans="2:26" ht="3.95"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2:26" ht="3.95" customHeight="1">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2:26" ht="3.95" customHeight="1">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2:26" ht="3.95"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2:26" ht="20.100000000000001" customHeight="1">
      <c r="B14" s="731" t="s">
        <v>226</v>
      </c>
      <c r="C14" s="352" t="s">
        <v>324</v>
      </c>
      <c r="D14" s="732" t="s">
        <v>325</v>
      </c>
      <c r="E14" s="733">
        <v>0.87067395264116576</v>
      </c>
      <c r="F14" s="734">
        <v>490147659.75</v>
      </c>
      <c r="G14" s="734" t="s">
        <v>326</v>
      </c>
      <c r="H14" s="352"/>
      <c r="I14" s="735">
        <v>14.42</v>
      </c>
      <c r="J14" s="735">
        <v>5.9</v>
      </c>
      <c r="K14" s="736">
        <v>7.35</v>
      </c>
      <c r="L14" s="735">
        <v>30.2</v>
      </c>
      <c r="M14" s="735">
        <v>12.31</v>
      </c>
      <c r="N14" s="736">
        <v>15.48</v>
      </c>
      <c r="O14" s="735">
        <f>+Inputs!J18/SUM(IS!AH34:AI34,IS!AD34:AE34)</f>
        <v>30.19932023817794</v>
      </c>
      <c r="P14" s="735">
        <f>+Inputs!J18/FCFF!Z61</f>
        <v>28.560330518102898</v>
      </c>
      <c r="Q14" s="736">
        <f>+Inputs!J18/FCFF!AF61</f>
        <v>26.882880057073901</v>
      </c>
      <c r="R14" s="352"/>
      <c r="S14" s="737">
        <v>0.49275452334653591</v>
      </c>
      <c r="T14" s="735">
        <f>+FCFF!Z164/(FCFF!Z128+FCFF!Z122)</f>
        <v>14.857587294872474</v>
      </c>
      <c r="U14" s="633"/>
      <c r="V14" s="735">
        <f>4.64/0.21</f>
        <v>22.095238095238095</v>
      </c>
      <c r="W14" s="735">
        <v>-32</v>
      </c>
      <c r="X14" s="735">
        <v>-15</v>
      </c>
      <c r="Y14" s="633"/>
      <c r="Z14" s="737">
        <f>+AVERAGE(W15:X15)</f>
        <v>-1.4897629310344827</v>
      </c>
    </row>
    <row r="15" spans="2:26" ht="20.100000000000001" customHeight="1">
      <c r="B15" s="23"/>
      <c r="C15" s="23"/>
      <c r="D15" s="23"/>
      <c r="E15" s="23"/>
      <c r="F15" s="23"/>
      <c r="G15" s="23"/>
      <c r="H15" s="23"/>
      <c r="I15" s="23"/>
      <c r="J15" s="23"/>
      <c r="K15" s="23"/>
      <c r="L15" s="23"/>
      <c r="M15" s="23"/>
      <c r="N15" s="23"/>
      <c r="O15" s="23"/>
      <c r="P15" s="23"/>
      <c r="Q15" s="23"/>
      <c r="R15" s="23"/>
      <c r="S15" s="23"/>
      <c r="T15" s="23"/>
      <c r="U15" s="23"/>
      <c r="V15" s="23"/>
      <c r="W15" s="23">
        <f>+W14/V14-1</f>
        <v>-2.4482758620689653</v>
      </c>
      <c r="X15" s="23">
        <f>+X14/W14-1</f>
        <v>-0.53125</v>
      </c>
      <c r="Y15" s="23"/>
      <c r="Z15" s="23"/>
    </row>
    <row r="16" spans="2:26" s="564" customFormat="1" ht="15" customHeight="1">
      <c r="B16" s="371" t="s">
        <v>327</v>
      </c>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2:26" ht="3.95" customHeight="1">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2:26" ht="3.95" customHeight="1">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2:26" ht="15" customHeight="1">
      <c r="B19" s="23" t="str">
        <f>+Inputs!B21</f>
        <v>ALLOS SA</v>
      </c>
      <c r="C19" s="23" t="s">
        <v>328</v>
      </c>
      <c r="D19" s="616" t="s">
        <v>329</v>
      </c>
      <c r="E19" s="476">
        <v>0.98307816277195803</v>
      </c>
      <c r="F19" s="617">
        <v>13247660.579600001</v>
      </c>
      <c r="G19" s="617">
        <v>17958488.707200002</v>
      </c>
      <c r="H19" s="23"/>
      <c r="I19" s="618">
        <v>6.1609046407248798</v>
      </c>
      <c r="J19" s="618">
        <v>6.3937654498264358</v>
      </c>
      <c r="K19" s="619">
        <v>6.097786267689087</v>
      </c>
      <c r="L19" s="618">
        <v>9.288990382396193</v>
      </c>
      <c r="M19" s="618">
        <v>8.6004343149114</v>
      </c>
      <c r="N19" s="619">
        <v>8.2636844082493148</v>
      </c>
      <c r="O19" s="618">
        <v>13.577431674065831</v>
      </c>
      <c r="P19" s="618">
        <v>11.86161737595773</v>
      </c>
      <c r="Q19" s="619">
        <v>11.511851735384617</v>
      </c>
      <c r="R19" s="23"/>
      <c r="S19" s="484">
        <v>0.66324803741863814</v>
      </c>
      <c r="T19" s="618">
        <v>2.937015822990821</v>
      </c>
      <c r="U19" s="620"/>
      <c r="V19" s="618">
        <v>22.777527556390783</v>
      </c>
      <c r="W19" s="618">
        <v>16.90929059823625</v>
      </c>
      <c r="X19" s="618">
        <v>16.195844059986147</v>
      </c>
      <c r="Y19" s="620"/>
      <c r="Z19" s="484">
        <v>0.14099032838265368</v>
      </c>
    </row>
    <row r="20" spans="2:26" ht="15" customHeight="1">
      <c r="B20" s="23" t="str">
        <f>+Inputs!B22</f>
        <v>JHSF PART</v>
      </c>
      <c r="C20" s="23" t="s">
        <v>330</v>
      </c>
      <c r="D20" s="616" t="s">
        <v>331</v>
      </c>
      <c r="E20" s="476">
        <v>0.95826086956521739</v>
      </c>
      <c r="F20" s="617">
        <v>3754088.3855599994</v>
      </c>
      <c r="G20" s="617">
        <v>7874342.7403199999</v>
      </c>
      <c r="H20" s="23"/>
      <c r="I20" s="618">
        <v>3.5189840974761748</v>
      </c>
      <c r="J20" s="618">
        <v>3.7134368027917941</v>
      </c>
      <c r="K20" s="619">
        <v>3.3365859069152544</v>
      </c>
      <c r="L20" s="618">
        <v>8.7384049612981194</v>
      </c>
      <c r="M20" s="618">
        <v>9.0770521502247838</v>
      </c>
      <c r="N20" s="619">
        <v>8.0762489644307696</v>
      </c>
      <c r="O20" s="618">
        <v>9.4580678230935451</v>
      </c>
      <c r="P20" s="618">
        <v>10.669841111544715</v>
      </c>
      <c r="Q20" s="619">
        <v>9.7094238474969163</v>
      </c>
      <c r="R20" s="23"/>
      <c r="S20" s="484">
        <v>0.4027032522595998</v>
      </c>
      <c r="T20" s="618">
        <v>3.2069134368044994</v>
      </c>
      <c r="U20" s="620"/>
      <c r="V20" s="618">
        <v>12.430591599978806</v>
      </c>
      <c r="W20" s="618">
        <v>6.7337908261165911</v>
      </c>
      <c r="X20" s="618">
        <v>7.5081767711199987</v>
      </c>
      <c r="Y20" s="620"/>
      <c r="Z20" s="484"/>
    </row>
    <row r="21" spans="2:26" ht="15" customHeight="1">
      <c r="B21" s="23" t="str">
        <f>+Inputs!B23</f>
        <v>LOG COMMERCIAL P</v>
      </c>
      <c r="C21" s="23" t="s">
        <v>332</v>
      </c>
      <c r="D21" s="616" t="s">
        <v>333</v>
      </c>
      <c r="E21" s="476">
        <v>0.91701769165964619</v>
      </c>
      <c r="F21" s="617">
        <v>1912693.7825799999</v>
      </c>
      <c r="G21" s="617">
        <v>3850355.0500000003</v>
      </c>
      <c r="H21" s="23"/>
      <c r="I21" s="618">
        <v>16.792292176385672</v>
      </c>
      <c r="J21" s="618">
        <v>15.667772329603256</v>
      </c>
      <c r="K21" s="619">
        <v>13.052051016949154</v>
      </c>
      <c r="L21" s="618">
        <v>-11.140912457863747</v>
      </c>
      <c r="M21" s="618">
        <v>14.58467821969697</v>
      </c>
      <c r="N21" s="619">
        <v>16.961916519823788</v>
      </c>
      <c r="O21" s="618">
        <v>-10.937172589712054</v>
      </c>
      <c r="P21" s="618">
        <v>13.353832543352603</v>
      </c>
      <c r="Q21" s="619">
        <v>17.448738897280968</v>
      </c>
      <c r="R21" s="23"/>
      <c r="S21" s="484">
        <v>-1.5072636321213468</v>
      </c>
      <c r="T21" s="618">
        <v>4.7939948020409577</v>
      </c>
      <c r="U21" s="620"/>
      <c r="V21" s="618">
        <v>-3.7529849789461704</v>
      </c>
      <c r="W21" s="618">
        <v>7.3096577678216557</v>
      </c>
      <c r="X21" s="618">
        <v>8.989630812689958</v>
      </c>
      <c r="Y21" s="620"/>
      <c r="Z21" s="484">
        <v>-0.1692934802550129</v>
      </c>
    </row>
    <row r="22" spans="2:26" ht="15" customHeight="1">
      <c r="B22" s="23" t="str">
        <f>+Inputs!B24</f>
        <v>MULTIPLAN</v>
      </c>
      <c r="C22" s="23" t="s">
        <v>334</v>
      </c>
      <c r="D22" s="616" t="s">
        <v>335</v>
      </c>
      <c r="E22" s="476">
        <v>0.98611111111111105</v>
      </c>
      <c r="F22" s="617">
        <v>14573849.108399998</v>
      </c>
      <c r="G22" s="617">
        <v>18280670.855419997</v>
      </c>
      <c r="H22" s="23"/>
      <c r="I22" s="618">
        <v>6.7676310515579781</v>
      </c>
      <c r="J22" s="618">
        <v>7.5756483843298668</v>
      </c>
      <c r="K22" s="619">
        <v>7.2420207409804878</v>
      </c>
      <c r="L22" s="618">
        <v>9.4797630848443948</v>
      </c>
      <c r="M22" s="618">
        <v>10.120319720660655</v>
      </c>
      <c r="N22" s="619">
        <v>9.371499071472984</v>
      </c>
      <c r="O22" s="618">
        <v>10.235629689526892</v>
      </c>
      <c r="P22" s="618">
        <v>11.071874210418455</v>
      </c>
      <c r="Q22" s="619">
        <v>10.25642045341324</v>
      </c>
      <c r="R22" s="23"/>
      <c r="S22" s="484">
        <v>0.71390297320590312</v>
      </c>
      <c r="T22" s="618">
        <v>2.6573663301335984</v>
      </c>
      <c r="U22" s="620"/>
      <c r="V22" s="618">
        <v>11.293556552756115</v>
      </c>
      <c r="W22" s="618">
        <v>14.510968246000662</v>
      </c>
      <c r="X22" s="618">
        <v>13.179064755146948</v>
      </c>
      <c r="Y22" s="620"/>
      <c r="Z22" s="484">
        <v>0.13662817524441273</v>
      </c>
    </row>
    <row r="23" spans="2:26" ht="15" customHeight="1">
      <c r="B23" s="23" t="str">
        <f>+Inputs!B25</f>
        <v>IGUATEMI SA - UN</v>
      </c>
      <c r="C23" s="23" t="s">
        <v>336</v>
      </c>
      <c r="D23" s="616" t="s">
        <v>337</v>
      </c>
      <c r="E23" s="476">
        <v>0.98547717842323646</v>
      </c>
      <c r="F23" s="617">
        <v>6772056.5973800002</v>
      </c>
      <c r="G23" s="617">
        <v>5795567.7669199994</v>
      </c>
      <c r="H23" s="23"/>
      <c r="I23" s="618">
        <v>4.2476794088864906</v>
      </c>
      <c r="J23" s="618">
        <v>3.7592872001643238</v>
      </c>
      <c r="K23" s="619">
        <v>3.503264819818658</v>
      </c>
      <c r="L23" s="618">
        <v>6.2618095849999236</v>
      </c>
      <c r="M23" s="618">
        <v>5.2306568293501803</v>
      </c>
      <c r="N23" s="619">
        <v>4.8451172636923365</v>
      </c>
      <c r="O23" s="618">
        <v>7.5130902505587267</v>
      </c>
      <c r="P23" s="618">
        <v>5.6377118355252911</v>
      </c>
      <c r="Q23" s="619">
        <v>5.6322330096404274</v>
      </c>
      <c r="R23" s="23"/>
      <c r="S23" s="484">
        <v>0.67834694607478119</v>
      </c>
      <c r="T23" s="618">
        <v>3.4942431879573945</v>
      </c>
      <c r="U23" s="620"/>
      <c r="V23" s="618">
        <v>17.07044174712545</v>
      </c>
      <c r="W23" s="618">
        <v>12.640329626467569</v>
      </c>
      <c r="X23" s="618">
        <v>11.870388426608239</v>
      </c>
      <c r="Y23" s="620"/>
      <c r="Z23" s="484">
        <v>9.166704334614062E-2</v>
      </c>
    </row>
    <row r="24" spans="2:26" ht="15" customHeight="1">
      <c r="B24" s="23"/>
      <c r="C24" s="23"/>
      <c r="D24" s="23"/>
      <c r="E24" s="23"/>
      <c r="F24" s="23"/>
      <c r="G24" s="23"/>
      <c r="H24" s="23"/>
      <c r="I24" s="23"/>
      <c r="J24" s="23"/>
      <c r="K24" s="620"/>
      <c r="L24" s="23"/>
      <c r="M24" s="23"/>
      <c r="N24" s="620"/>
      <c r="O24" s="23"/>
      <c r="P24" s="23"/>
      <c r="Q24" s="620"/>
      <c r="R24" s="23"/>
      <c r="S24" s="23"/>
      <c r="T24" s="23"/>
      <c r="U24" s="620"/>
      <c r="V24" s="23"/>
      <c r="W24" s="23"/>
      <c r="X24" s="23"/>
      <c r="Y24" s="620"/>
      <c r="Z24" s="23"/>
    </row>
    <row r="25" spans="2:26" ht="15" customHeight="1">
      <c r="B25" s="621" t="s">
        <v>338</v>
      </c>
      <c r="C25" s="622"/>
      <c r="D25" s="622"/>
      <c r="E25" s="622"/>
      <c r="F25" s="622"/>
      <c r="G25" s="622"/>
      <c r="H25" s="622"/>
      <c r="I25" s="623">
        <f>AVERAGE(I19:I23)</f>
        <v>7.4974982750062393</v>
      </c>
      <c r="J25" s="623">
        <f t="shared" ref="J25:Q25" si="0">AVERAGE(J19:J23)</f>
        <v>7.4219820333431361</v>
      </c>
      <c r="K25" s="624">
        <f t="shared" si="0"/>
        <v>6.6463417504705289</v>
      </c>
      <c r="L25" s="623">
        <f>AVERAGE(L19:L23)</f>
        <v>4.5256111111349764</v>
      </c>
      <c r="M25" s="623">
        <f t="shared" si="0"/>
        <v>9.5226282469687966</v>
      </c>
      <c r="N25" s="624">
        <f t="shared" si="0"/>
        <v>9.5036932455338388</v>
      </c>
      <c r="O25" s="623">
        <f t="shared" si="0"/>
        <v>5.9694093695065886</v>
      </c>
      <c r="P25" s="623">
        <f t="shared" si="0"/>
        <v>10.518975415359758</v>
      </c>
      <c r="Q25" s="624">
        <f t="shared" si="0"/>
        <v>10.911733588643234</v>
      </c>
      <c r="R25" s="622"/>
      <c r="S25" s="625">
        <f>AVERAGE(S19:S23)</f>
        <v>0.19018751536751508</v>
      </c>
      <c r="T25" s="623">
        <f>AVERAGE(T19:T23)</f>
        <v>3.4179067159854539</v>
      </c>
      <c r="U25" s="626"/>
      <c r="V25" s="623">
        <f t="shared" ref="V25:X25" si="1">AVERAGE(V19:V23)</f>
        <v>11.963826495460996</v>
      </c>
      <c r="W25" s="623">
        <f t="shared" si="1"/>
        <v>11.620807412928546</v>
      </c>
      <c r="X25" s="623">
        <f t="shared" si="1"/>
        <v>11.548620965110256</v>
      </c>
      <c r="Y25" s="626"/>
      <c r="Z25" s="625">
        <f>AVERAGE(Z19:Z23)</f>
        <v>4.9998016679548535E-2</v>
      </c>
    </row>
    <row r="26" spans="2:26" ht="15" customHeight="1">
      <c r="B26" s="627" t="s">
        <v>48</v>
      </c>
      <c r="C26" s="628"/>
      <c r="D26" s="628"/>
      <c r="E26" s="628"/>
      <c r="F26" s="628"/>
      <c r="G26" s="628"/>
      <c r="H26" s="628"/>
      <c r="I26" s="629">
        <f>MEDIAN(I19:I23)</f>
        <v>6.1609046407248798</v>
      </c>
      <c r="J26" s="629">
        <f t="shared" ref="J26:T26" si="2">MEDIAN(J19:J23)</f>
        <v>6.3937654498264358</v>
      </c>
      <c r="K26" s="630">
        <f t="shared" si="2"/>
        <v>6.097786267689087</v>
      </c>
      <c r="L26" s="629">
        <f>MEDIAN(L19:L23)</f>
        <v>8.7384049612981194</v>
      </c>
      <c r="M26" s="629">
        <f t="shared" si="2"/>
        <v>9.0770521502247838</v>
      </c>
      <c r="N26" s="630">
        <f t="shared" si="2"/>
        <v>8.2636844082493148</v>
      </c>
      <c r="O26" s="629">
        <f t="shared" si="2"/>
        <v>9.4580678230935451</v>
      </c>
      <c r="P26" s="629">
        <f t="shared" si="2"/>
        <v>11.071874210418455</v>
      </c>
      <c r="Q26" s="630">
        <f t="shared" si="2"/>
        <v>10.25642045341324</v>
      </c>
      <c r="R26" s="628"/>
      <c r="S26" s="631">
        <f t="shared" si="2"/>
        <v>0.66324803741863814</v>
      </c>
      <c r="T26" s="629">
        <f t="shared" si="2"/>
        <v>3.2069134368044994</v>
      </c>
      <c r="U26" s="632"/>
      <c r="V26" s="629">
        <f t="shared" ref="V26:X26" si="3">MEDIAN(V19:V23)</f>
        <v>12.430591599978806</v>
      </c>
      <c r="W26" s="629">
        <f t="shared" si="3"/>
        <v>12.640329626467569</v>
      </c>
      <c r="X26" s="629">
        <f t="shared" si="3"/>
        <v>11.870388426608239</v>
      </c>
      <c r="Y26" s="632"/>
      <c r="Z26" s="631">
        <f>MEDIAN(Z19:Z23)</f>
        <v>0.11414760929527668</v>
      </c>
    </row>
    <row r="28" spans="2:26" s="564" customFormat="1" ht="15" customHeight="1">
      <c r="B28" s="371" t="s">
        <v>339</v>
      </c>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2:26" ht="3.95" customHeight="1">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2:26" ht="3.95" customHeight="1">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2:26" ht="15" customHeight="1">
      <c r="B31" s="23" t="str">
        <f>+Inputs!H21</f>
        <v>PTA LOG IMO RESP</v>
      </c>
      <c r="C31" s="960" t="s">
        <v>340</v>
      </c>
      <c r="D31" s="960"/>
      <c r="E31" s="960"/>
      <c r="F31" s="960"/>
      <c r="G31" s="960"/>
      <c r="H31" s="960"/>
      <c r="I31" s="960"/>
      <c r="J31" s="960"/>
      <c r="K31" s="960"/>
      <c r="L31" s="960"/>
      <c r="M31" s="960"/>
      <c r="N31" s="960"/>
      <c r="O31" s="960"/>
      <c r="P31" s="960"/>
      <c r="Q31" s="960"/>
      <c r="R31" s="960"/>
      <c r="S31" s="960"/>
      <c r="T31" s="960"/>
      <c r="U31" s="960"/>
      <c r="V31" s="960"/>
      <c r="W31" s="960"/>
      <c r="X31" s="960"/>
      <c r="Y31" s="960"/>
      <c r="Z31" s="960"/>
    </row>
    <row r="32" spans="2:26" ht="15" customHeight="1">
      <c r="B32" s="23" t="str">
        <f>+Inputs!H22</f>
        <v>KINEA-RENDA IMOB</v>
      </c>
      <c r="C32" s="960"/>
      <c r="D32" s="960"/>
      <c r="E32" s="960"/>
      <c r="F32" s="960"/>
      <c r="G32" s="960"/>
      <c r="H32" s="960"/>
      <c r="I32" s="960"/>
      <c r="J32" s="960"/>
      <c r="K32" s="960"/>
      <c r="L32" s="960"/>
      <c r="M32" s="960"/>
      <c r="N32" s="960"/>
      <c r="O32" s="960"/>
      <c r="P32" s="960"/>
      <c r="Q32" s="960"/>
      <c r="R32" s="960"/>
      <c r="S32" s="960"/>
      <c r="T32" s="960"/>
      <c r="U32" s="960"/>
      <c r="V32" s="960"/>
      <c r="W32" s="960"/>
      <c r="X32" s="960"/>
      <c r="Y32" s="960"/>
      <c r="Z32" s="960"/>
    </row>
    <row r="33" spans="2:26" ht="15" customHeight="1">
      <c r="B33" s="23" t="str">
        <f>+Inputs!H23</f>
        <v>XP LOG FII</v>
      </c>
      <c r="C33" s="960"/>
      <c r="D33" s="960"/>
      <c r="E33" s="960"/>
      <c r="F33" s="960"/>
      <c r="G33" s="960"/>
      <c r="H33" s="960"/>
      <c r="I33" s="960"/>
      <c r="J33" s="960"/>
      <c r="K33" s="960"/>
      <c r="L33" s="960"/>
      <c r="M33" s="960"/>
      <c r="N33" s="960"/>
      <c r="O33" s="960"/>
      <c r="P33" s="960"/>
      <c r="Q33" s="960"/>
      <c r="R33" s="960"/>
      <c r="S33" s="960"/>
      <c r="T33" s="960"/>
      <c r="U33" s="960"/>
      <c r="V33" s="960"/>
      <c r="W33" s="960"/>
      <c r="X33" s="960"/>
      <c r="Y33" s="960"/>
      <c r="Z33" s="960"/>
    </row>
    <row r="34" spans="2:26" ht="15" customHeight="1">
      <c r="B34" s="23" t="str">
        <f>+Inputs!H24</f>
        <v>FII REC REND</v>
      </c>
      <c r="C34" s="960"/>
      <c r="D34" s="960"/>
      <c r="E34" s="960"/>
      <c r="F34" s="960"/>
      <c r="G34" s="960"/>
      <c r="H34" s="960"/>
      <c r="I34" s="960"/>
      <c r="J34" s="960"/>
      <c r="K34" s="960"/>
      <c r="L34" s="960"/>
      <c r="M34" s="960"/>
      <c r="N34" s="960"/>
      <c r="O34" s="960"/>
      <c r="P34" s="960"/>
      <c r="Q34" s="960"/>
      <c r="R34" s="960"/>
      <c r="S34" s="960"/>
      <c r="T34" s="960"/>
      <c r="U34" s="960"/>
      <c r="V34" s="960"/>
      <c r="W34" s="960"/>
      <c r="X34" s="960"/>
      <c r="Y34" s="960"/>
      <c r="Z34" s="960"/>
    </row>
    <row r="35" spans="2:26" ht="15" customHeight="1">
      <c r="B35" s="23" t="str">
        <f>+Inputs!H25</f>
        <v>FII BTG PACTUAL</v>
      </c>
      <c r="C35" s="960"/>
      <c r="D35" s="960"/>
      <c r="E35" s="960"/>
      <c r="F35" s="960"/>
      <c r="G35" s="960"/>
      <c r="H35" s="960"/>
      <c r="I35" s="960"/>
      <c r="J35" s="960"/>
      <c r="K35" s="960"/>
      <c r="L35" s="960"/>
      <c r="M35" s="960"/>
      <c r="N35" s="960"/>
      <c r="O35" s="960"/>
      <c r="P35" s="960"/>
      <c r="Q35" s="960"/>
      <c r="R35" s="960"/>
      <c r="S35" s="960"/>
      <c r="T35" s="960"/>
      <c r="U35" s="960"/>
      <c r="V35" s="960"/>
      <c r="W35" s="960"/>
      <c r="X35" s="960"/>
      <c r="Y35" s="960"/>
      <c r="Z35" s="960"/>
    </row>
    <row r="36" spans="2:26" ht="15" customHeight="1">
      <c r="B36" s="23"/>
      <c r="C36" s="23"/>
      <c r="D36" s="23"/>
      <c r="E36" s="23"/>
      <c r="F36" s="23"/>
      <c r="G36" s="23"/>
      <c r="H36" s="23"/>
      <c r="I36" s="23"/>
      <c r="J36" s="23"/>
      <c r="K36" s="620"/>
      <c r="L36" s="23"/>
      <c r="M36" s="23"/>
      <c r="N36" s="620"/>
      <c r="O36" s="23"/>
      <c r="P36" s="23"/>
      <c r="Q36" s="620"/>
      <c r="R36" s="23"/>
      <c r="S36" s="23"/>
      <c r="T36" s="23"/>
      <c r="U36" s="620"/>
      <c r="V36" s="23"/>
      <c r="W36" s="23"/>
      <c r="X36" s="23"/>
      <c r="Y36" s="620"/>
      <c r="Z36" s="23"/>
    </row>
    <row r="37" spans="2:26" ht="15" customHeight="1">
      <c r="B37" s="621" t="s">
        <v>338</v>
      </c>
      <c r="C37" s="622"/>
      <c r="D37" s="622"/>
      <c r="E37" s="622"/>
      <c r="F37" s="622"/>
      <c r="G37" s="622"/>
      <c r="H37" s="622"/>
      <c r="I37" s="623"/>
      <c r="J37" s="623"/>
      <c r="K37" s="624"/>
      <c r="L37" s="623"/>
      <c r="M37" s="623"/>
      <c r="N37" s="624"/>
      <c r="O37" s="623"/>
      <c r="P37" s="623"/>
      <c r="Q37" s="624"/>
      <c r="R37" s="622"/>
      <c r="S37" s="625"/>
      <c r="T37" s="623"/>
      <c r="U37" s="626"/>
      <c r="V37" s="623"/>
      <c r="W37" s="623"/>
      <c r="X37" s="623"/>
      <c r="Y37" s="626"/>
      <c r="Z37" s="625"/>
    </row>
    <row r="38" spans="2:26" ht="15" customHeight="1">
      <c r="B38" s="627" t="s">
        <v>48</v>
      </c>
      <c r="C38" s="628"/>
      <c r="D38" s="628"/>
      <c r="E38" s="628"/>
      <c r="F38" s="628"/>
      <c r="G38" s="628"/>
      <c r="H38" s="628"/>
      <c r="I38" s="629"/>
      <c r="J38" s="629"/>
      <c r="K38" s="630"/>
      <c r="L38" s="629"/>
      <c r="M38" s="629"/>
      <c r="N38" s="630"/>
      <c r="O38" s="629"/>
      <c r="P38" s="629"/>
      <c r="Q38" s="630"/>
      <c r="R38" s="628"/>
      <c r="S38" s="631"/>
      <c r="T38" s="629"/>
      <c r="U38" s="632"/>
      <c r="V38" s="629"/>
      <c r="W38" s="629"/>
      <c r="X38" s="629"/>
      <c r="Y38" s="632"/>
      <c r="Z38" s="631"/>
    </row>
    <row r="40" spans="2:26" s="564" customFormat="1" ht="15" customHeight="1">
      <c r="B40" s="371" t="s">
        <v>341</v>
      </c>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2:26" ht="3.95" customHeight="1">
      <c r="B41" s="36" t="s">
        <v>342</v>
      </c>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2:26" ht="3.95" customHeight="1">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2:26" ht="15" customHeight="1">
      <c r="B43" s="23" t="s">
        <v>231</v>
      </c>
      <c r="C43" s="23" t="s">
        <v>343</v>
      </c>
      <c r="D43" s="616" t="s">
        <v>344</v>
      </c>
      <c r="E43" s="476">
        <v>0.9802289281997919</v>
      </c>
      <c r="F43" s="617">
        <v>877824.93964000011</v>
      </c>
      <c r="G43" s="617">
        <v>2078457.3626000001</v>
      </c>
      <c r="H43" s="23"/>
      <c r="I43" s="618">
        <v>10.214001418244543</v>
      </c>
      <c r="J43" s="618">
        <v>11.337040159636363</v>
      </c>
      <c r="K43" s="619">
        <v>11.016558459010602</v>
      </c>
      <c r="L43" s="618">
        <v>15.629614253056806</v>
      </c>
      <c r="M43" s="618">
        <v>11.775962394334279</v>
      </c>
      <c r="N43" s="619">
        <v>11.676726756179775</v>
      </c>
      <c r="O43" s="618">
        <v>15.775887199143828</v>
      </c>
      <c r="P43" s="618">
        <v>11.775962394334279</v>
      </c>
      <c r="Q43" s="619">
        <v>11.676726756179775</v>
      </c>
      <c r="R43" s="23"/>
      <c r="S43" s="484">
        <v>0.65350310333135131</v>
      </c>
      <c r="T43" s="618">
        <v>7.3687661988693964</v>
      </c>
      <c r="U43" s="620"/>
      <c r="V43" s="618">
        <v>12.088082404284059</v>
      </c>
      <c r="W43" s="618">
        <v>12.277271883076924</v>
      </c>
      <c r="X43" s="618">
        <v>11.975783624010916</v>
      </c>
      <c r="Y43" s="620"/>
      <c r="Z43" s="484" t="e">
        <v>#N/A</v>
      </c>
    </row>
    <row r="44" spans="2:26" ht="15" customHeight="1">
      <c r="B44" s="23" t="s">
        <v>232</v>
      </c>
      <c r="C44" s="23" t="s">
        <v>345</v>
      </c>
      <c r="D44" s="616" t="s">
        <v>346</v>
      </c>
      <c r="E44" s="476">
        <v>0.79166666666666674</v>
      </c>
      <c r="F44" s="617">
        <v>544491.75329999998</v>
      </c>
      <c r="G44" s="617">
        <v>1283363.92316</v>
      </c>
      <c r="H44" s="23"/>
      <c r="I44" s="618">
        <v>9.1021300119152322</v>
      </c>
      <c r="J44" s="618">
        <v>8.5700428925542571</v>
      </c>
      <c r="K44" s="619">
        <v>7.9097930549152542</v>
      </c>
      <c r="L44" s="618">
        <v>14.923009839184177</v>
      </c>
      <c r="M44" s="618">
        <v>15.027680599063231</v>
      </c>
      <c r="N44" s="619">
        <v>12.340037722692308</v>
      </c>
      <c r="O44" s="618">
        <v>93.186459712460064</v>
      </c>
      <c r="P44" s="618">
        <v>69.296108161987036</v>
      </c>
      <c r="Q44" s="619">
        <v>34.43731457495528</v>
      </c>
      <c r="R44" s="23"/>
      <c r="S44" s="484">
        <v>0.60993928905784556</v>
      </c>
      <c r="T44" s="618">
        <v>9.3061509857250435</v>
      </c>
      <c r="U44" s="620"/>
      <c r="V44" s="618">
        <v>-36.45011067746686</v>
      </c>
      <c r="W44" s="618">
        <v>-21.186449544747084</v>
      </c>
      <c r="X44" s="618">
        <v>128.19413130385649</v>
      </c>
      <c r="Y44" s="620"/>
      <c r="Z44" s="484" t="e">
        <v>#N/A</v>
      </c>
    </row>
    <row r="45" spans="2:26" ht="15" customHeight="1">
      <c r="B45" s="23" t="s">
        <v>233</v>
      </c>
      <c r="C45" s="23" t="s">
        <v>347</v>
      </c>
      <c r="D45" s="616" t="s">
        <v>348</v>
      </c>
      <c r="E45" s="476">
        <v>0.82282573553184613</v>
      </c>
      <c r="F45" s="617">
        <v>2658616.7404</v>
      </c>
      <c r="G45" s="617">
        <v>3955699.3974400004</v>
      </c>
      <c r="H45" s="23"/>
      <c r="I45" s="618">
        <v>14.155556182576179</v>
      </c>
      <c r="J45" s="618">
        <v>14.483109921977118</v>
      </c>
      <c r="K45" s="619">
        <v>13.32446112821895</v>
      </c>
      <c r="L45" s="618">
        <v>17.309397920789049</v>
      </c>
      <c r="M45" s="618">
        <v>17.580886210844447</v>
      </c>
      <c r="N45" s="619">
        <v>15.835465962530026</v>
      </c>
      <c r="O45" s="618">
        <v>25.407536755347166</v>
      </c>
      <c r="P45" s="618">
        <v>23.973935742060608</v>
      </c>
      <c r="Q45" s="619">
        <v>21.576542167854548</v>
      </c>
      <c r="R45" s="23"/>
      <c r="S45" s="484">
        <v>0.81779598847716006</v>
      </c>
      <c r="T45" s="618">
        <v>5.2882041228903107</v>
      </c>
      <c r="U45" s="620"/>
      <c r="V45" s="618">
        <v>25.119917801902925</v>
      </c>
      <c r="W45" s="618">
        <v>23.398167132233223</v>
      </c>
      <c r="X45" s="618">
        <v>20.954614702660098</v>
      </c>
      <c r="Y45" s="620"/>
      <c r="Z45" s="484">
        <v>6.3048106816174121E-2</v>
      </c>
    </row>
    <row r="46" spans="2:26" ht="15" customHeight="1">
      <c r="B46" s="23" t="s">
        <v>234</v>
      </c>
      <c r="C46" s="23" t="s">
        <v>349</v>
      </c>
      <c r="D46" s="616" t="s">
        <v>350</v>
      </c>
      <c r="E46" s="476">
        <v>0.88793103448275867</v>
      </c>
      <c r="F46" s="617">
        <v>7055103.8620000007</v>
      </c>
      <c r="G46" s="617">
        <v>11327202.17</v>
      </c>
      <c r="H46" s="23"/>
      <c r="I46" s="618">
        <v>13.432776444973086</v>
      </c>
      <c r="J46" s="618">
        <v>13.323507747500491</v>
      </c>
      <c r="K46" s="619">
        <v>13.243423708067272</v>
      </c>
      <c r="L46" s="618" t="e">
        <v>#N/A</v>
      </c>
      <c r="M46" s="618">
        <v>19.690920764884833</v>
      </c>
      <c r="N46" s="619">
        <v>19.001387578108616</v>
      </c>
      <c r="O46" s="618">
        <v>19.963697227656461</v>
      </c>
      <c r="P46" s="618">
        <v>19.358011520996094</v>
      </c>
      <c r="Q46" s="619">
        <v>18.856222399524377</v>
      </c>
      <c r="R46" s="23"/>
      <c r="S46" s="484" t="e">
        <v>#N/A</v>
      </c>
      <c r="T46" s="618" t="s">
        <v>351</v>
      </c>
      <c r="U46" s="620"/>
      <c r="V46" s="618">
        <v>16.831208159974047</v>
      </c>
      <c r="W46" s="618">
        <v>17.716852747623317</v>
      </c>
      <c r="X46" s="618">
        <v>17.091443860183425</v>
      </c>
      <c r="Y46" s="620"/>
      <c r="Z46" s="484">
        <v>3.0941095643566285E-2</v>
      </c>
    </row>
    <row r="47" spans="2:26" ht="15" customHeight="1">
      <c r="B47" s="23" t="s">
        <v>235</v>
      </c>
      <c r="C47" s="23" t="s">
        <v>352</v>
      </c>
      <c r="D47" s="616" t="s">
        <v>353</v>
      </c>
      <c r="E47" s="476">
        <v>0.97704532077692774</v>
      </c>
      <c r="F47" s="617">
        <v>33669820.800000004</v>
      </c>
      <c r="G47" s="617" t="s">
        <v>351</v>
      </c>
      <c r="H47" s="23"/>
      <c r="I47" s="618" t="e">
        <v>#VALUE!</v>
      </c>
      <c r="J47" s="618" t="e">
        <v>#VALUE!</v>
      </c>
      <c r="K47" s="619" t="e">
        <v>#VALUE!</v>
      </c>
      <c r="L47" s="618" t="e">
        <v>#VALUE!</v>
      </c>
      <c r="M47" s="618" t="e">
        <v>#VALUE!</v>
      </c>
      <c r="N47" s="619" t="e">
        <v>#VALUE!</v>
      </c>
      <c r="O47" s="618" t="e">
        <v>#VALUE!</v>
      </c>
      <c r="P47" s="618" t="e">
        <v>#VALUE!</v>
      </c>
      <c r="Q47" s="619" t="e">
        <v>#VALUE!</v>
      </c>
      <c r="R47" s="23"/>
      <c r="S47" s="484">
        <v>-26.401705105796911</v>
      </c>
      <c r="T47" s="618" t="s">
        <v>351</v>
      </c>
      <c r="U47" s="620"/>
      <c r="V47" s="618">
        <v>-121.76452765886521</v>
      </c>
      <c r="W47" s="618" t="e">
        <v>#N/A</v>
      </c>
      <c r="X47" s="618" t="e">
        <v>#N/A</v>
      </c>
      <c r="Y47" s="620"/>
      <c r="Z47" s="484" t="e">
        <v>#N/A</v>
      </c>
    </row>
    <row r="48" spans="2:26" ht="15" customHeight="1">
      <c r="B48" s="23"/>
      <c r="C48" s="23"/>
      <c r="D48" s="23"/>
      <c r="E48" s="23"/>
      <c r="F48" s="23"/>
      <c r="G48" s="23"/>
      <c r="H48" s="23"/>
      <c r="I48" s="23"/>
      <c r="J48" s="23"/>
      <c r="K48" s="633"/>
      <c r="L48" s="23"/>
      <c r="M48" s="23"/>
      <c r="N48" s="620"/>
      <c r="O48" s="23"/>
      <c r="P48" s="23"/>
      <c r="Q48" s="620"/>
      <c r="R48" s="23"/>
      <c r="S48" s="23"/>
      <c r="T48" s="23"/>
      <c r="U48" s="620"/>
      <c r="V48" s="23"/>
      <c r="W48" s="23"/>
      <c r="X48" s="23"/>
      <c r="Y48" s="620"/>
      <c r="Z48" s="23"/>
    </row>
    <row r="49" spans="1:26" ht="15" customHeight="1">
      <c r="A49" s="23"/>
      <c r="B49" s="621" t="s">
        <v>338</v>
      </c>
      <c r="C49" s="622"/>
      <c r="D49" s="622"/>
      <c r="E49" s="622"/>
      <c r="F49" s="622"/>
      <c r="G49" s="622"/>
      <c r="H49" s="622"/>
      <c r="I49" s="623">
        <f>+AVERAGE(I43:I46)</f>
        <v>11.72611601442726</v>
      </c>
      <c r="J49" s="623">
        <f t="shared" ref="J49:Q49" si="4">+AVERAGE(J43:J46)</f>
        <v>11.928425180417058</v>
      </c>
      <c r="K49" s="623">
        <f t="shared" si="4"/>
        <v>11.373559087553019</v>
      </c>
      <c r="L49" s="623">
        <f>+AVERAGE(L43:L45)</f>
        <v>15.954007337676677</v>
      </c>
      <c r="M49" s="623">
        <f t="shared" si="4"/>
        <v>16.018862492281698</v>
      </c>
      <c r="N49" s="623">
        <f t="shared" si="4"/>
        <v>14.713404504877683</v>
      </c>
      <c r="O49" s="623">
        <f t="shared" si="4"/>
        <v>38.583395223651884</v>
      </c>
      <c r="P49" s="623">
        <f t="shared" si="4"/>
        <v>31.101004454844499</v>
      </c>
      <c r="Q49" s="623">
        <f t="shared" si="4"/>
        <v>21.636701474628495</v>
      </c>
      <c r="R49" s="622"/>
      <c r="S49" s="625">
        <f>+AVERAGE(S43:S45)</f>
        <v>0.69374612695545235</v>
      </c>
      <c r="T49" s="623">
        <f>+AVERAGE(T43:T45)</f>
        <v>7.3210404358282508</v>
      </c>
      <c r="U49" s="626"/>
      <c r="V49" s="623">
        <f t="shared" ref="V49" si="5">AVERAGE(V43:V47)</f>
        <v>-20.835085994034209</v>
      </c>
      <c r="W49" s="623">
        <f>+AVERAGE(W43:W46)</f>
        <v>8.051460554546594</v>
      </c>
      <c r="X49" s="623">
        <f>+AVERAGE(X43:X46)</f>
        <v>44.553993372677738</v>
      </c>
      <c r="Y49" s="626"/>
      <c r="Z49" s="634" t="e">
        <f>AVERAGE(Z43:Z47)</f>
        <v>#N/A</v>
      </c>
    </row>
    <row r="50" spans="1:26" ht="15" customHeight="1">
      <c r="A50" s="23"/>
      <c r="B50" s="627" t="s">
        <v>48</v>
      </c>
      <c r="C50" s="628"/>
      <c r="D50" s="628"/>
      <c r="E50" s="628"/>
      <c r="F50" s="628"/>
      <c r="G50" s="628"/>
      <c r="H50" s="628"/>
      <c r="I50" s="629">
        <f>+MEDIAN(I43:I46)</f>
        <v>11.823388931608815</v>
      </c>
      <c r="J50" s="629">
        <f t="shared" ref="J50:Q50" si="6">+MEDIAN(J43:J46)</f>
        <v>12.330273953568426</v>
      </c>
      <c r="K50" s="629">
        <f t="shared" si="6"/>
        <v>12.129991083538936</v>
      </c>
      <c r="L50" s="629">
        <f>+MEDIAN(L43:L45)</f>
        <v>15.629614253056806</v>
      </c>
      <c r="M50" s="629">
        <f t="shared" si="6"/>
        <v>16.304283404953839</v>
      </c>
      <c r="N50" s="629">
        <f t="shared" si="6"/>
        <v>14.087751842611167</v>
      </c>
      <c r="O50" s="629">
        <f t="shared" si="6"/>
        <v>22.685616991501814</v>
      </c>
      <c r="P50" s="629">
        <f t="shared" si="6"/>
        <v>21.665973631528352</v>
      </c>
      <c r="Q50" s="629">
        <f t="shared" si="6"/>
        <v>20.216382283689462</v>
      </c>
      <c r="R50" s="628"/>
      <c r="S50" s="631">
        <f>+MEDIAN(S43:S45)</f>
        <v>0.65350310333135131</v>
      </c>
      <c r="T50" s="629">
        <f t="shared" ref="T50" si="7">MEDIAN(T43:T47)</f>
        <v>7.3687661988693964</v>
      </c>
      <c r="U50" s="632"/>
      <c r="V50" s="629">
        <f t="shared" ref="V50" si="8">MEDIAN(V43:V47)</f>
        <v>12.088082404284059</v>
      </c>
      <c r="W50" s="629">
        <f>+MEDIAN(W43:W46)</f>
        <v>14.997062315350121</v>
      </c>
      <c r="X50" s="629">
        <f>+MEDIAN(X43:X46)</f>
        <v>19.023029281421763</v>
      </c>
      <c r="Y50" s="632"/>
      <c r="Z50" s="635" t="e">
        <f>MEDIAN(Z43:Z47)</f>
        <v>#N/A</v>
      </c>
    </row>
    <row r="51" spans="1:26" ht="15" customHeight="1">
      <c r="A51" s="23"/>
      <c r="B51" s="23"/>
      <c r="C51" s="23"/>
      <c r="D51" s="23"/>
      <c r="E51" s="23"/>
      <c r="F51" s="23"/>
      <c r="G51" s="23"/>
      <c r="H51" s="23"/>
      <c r="I51" s="23"/>
      <c r="J51" s="636"/>
      <c r="K51" s="23"/>
      <c r="L51" s="23"/>
      <c r="M51" s="23"/>
      <c r="N51" s="23"/>
      <c r="O51" s="23"/>
      <c r="P51" s="23"/>
      <c r="Q51" s="23"/>
      <c r="R51" s="23"/>
      <c r="S51" s="23"/>
      <c r="T51" s="23"/>
      <c r="U51" s="23"/>
      <c r="V51" s="23"/>
      <c r="W51" s="23"/>
      <c r="X51" s="23"/>
      <c r="Y51" s="23"/>
      <c r="Z51" s="23"/>
    </row>
    <row r="52" spans="1:26" s="564" customFormat="1" ht="15" customHeight="1">
      <c r="A52" s="419"/>
      <c r="B52" s="371" t="s">
        <v>354</v>
      </c>
      <c r="C52" s="32"/>
      <c r="D52" s="32"/>
      <c r="E52" s="32"/>
      <c r="F52" s="32"/>
      <c r="G52" s="32"/>
      <c r="H52" s="32"/>
      <c r="I52" s="32"/>
      <c r="J52" s="637"/>
      <c r="K52" s="32"/>
      <c r="L52" s="32"/>
      <c r="M52" s="32"/>
      <c r="N52" s="32"/>
      <c r="O52" s="32"/>
      <c r="P52" s="32"/>
      <c r="Q52" s="32"/>
      <c r="R52" s="32"/>
      <c r="S52" s="32"/>
      <c r="T52" s="32"/>
      <c r="U52" s="32"/>
      <c r="V52" s="32"/>
      <c r="W52" s="32"/>
      <c r="X52" s="32"/>
      <c r="Y52" s="32"/>
      <c r="Z52" s="32"/>
    </row>
    <row r="53" spans="1:26" ht="3.95" customHeight="1">
      <c r="A53" s="23"/>
      <c r="B53" s="36"/>
      <c r="C53" s="36"/>
      <c r="D53" s="36"/>
      <c r="E53" s="36"/>
      <c r="F53" s="36"/>
      <c r="G53" s="36"/>
      <c r="H53" s="36"/>
      <c r="I53" s="36"/>
      <c r="J53" s="638"/>
      <c r="K53" s="36"/>
      <c r="L53" s="36"/>
      <c r="M53" s="36"/>
      <c r="N53" s="36"/>
      <c r="O53" s="36"/>
      <c r="P53" s="36"/>
      <c r="Q53" s="36"/>
      <c r="R53" s="36"/>
      <c r="S53" s="36"/>
      <c r="T53" s="36"/>
      <c r="U53" s="36"/>
      <c r="V53" s="36"/>
      <c r="W53" s="36"/>
      <c r="X53" s="36"/>
      <c r="Y53" s="36"/>
      <c r="Z53" s="36"/>
    </row>
    <row r="54" spans="1:26" ht="15" customHeight="1">
      <c r="A54" s="23"/>
      <c r="B54" s="23"/>
      <c r="C54" s="23"/>
      <c r="D54" s="23"/>
      <c r="E54" s="23"/>
      <c r="F54" s="23"/>
      <c r="G54" s="23"/>
      <c r="H54" s="23"/>
      <c r="I54" s="23"/>
      <c r="J54" s="636"/>
      <c r="K54" s="23"/>
      <c r="L54" s="23"/>
      <c r="M54" s="23"/>
      <c r="N54" s="23"/>
      <c r="O54" s="23"/>
      <c r="P54" s="23"/>
      <c r="Q54" s="23"/>
      <c r="R54" s="23"/>
      <c r="S54" s="23"/>
      <c r="T54" s="23"/>
      <c r="U54" s="23"/>
      <c r="V54" s="23"/>
      <c r="W54" s="23"/>
      <c r="X54" s="23"/>
      <c r="Y54" s="23"/>
      <c r="Z54" s="23"/>
    </row>
    <row r="55" spans="1:26" ht="15" customHeight="1">
      <c r="A55" s="23"/>
      <c r="B55" s="621" t="s">
        <v>338</v>
      </c>
      <c r="C55" s="622"/>
      <c r="D55" s="622"/>
      <c r="E55" s="622"/>
      <c r="F55" s="622"/>
      <c r="G55" s="622"/>
      <c r="H55" s="622"/>
      <c r="I55" s="623">
        <f>+AVERAGE(I43:I46,I19:I23)</f>
        <v>9.3768839369711383</v>
      </c>
      <c r="J55" s="623">
        <f>+AVERAGE(J43:J46,J19:J23)</f>
        <v>9.4248456542648782</v>
      </c>
      <c r="K55" s="623">
        <f>+AVERAGE(K43:K46,K19:K23)</f>
        <v>8.7473272336183019</v>
      </c>
      <c r="L55" s="623">
        <f>+AVERAGE(L43:L45,L19:L23)</f>
        <v>8.8112596960881131</v>
      </c>
      <c r="M55" s="623">
        <f>+AVERAGE(M43:M46,M19:M23)</f>
        <v>12.409843467107866</v>
      </c>
      <c r="N55" s="623">
        <f>+AVERAGE(N43:N46,N19:N23)</f>
        <v>11.819120471908882</v>
      </c>
      <c r="O55" s="623">
        <f>+AVERAGE(O43:O46,O19:O23)</f>
        <v>20.464514193571162</v>
      </c>
      <c r="P55" s="623">
        <f>+AVERAGE(P43:P46,P19:P23)</f>
        <v>19.666543877352979</v>
      </c>
      <c r="Q55" s="623">
        <f>+AVERAGE(Q43:Q46,Q19:Q23)</f>
        <v>15.678385982414461</v>
      </c>
      <c r="R55" s="622"/>
      <c r="S55" s="625">
        <f>+AVERAGE(S43:S45,S19:S23)</f>
        <v>0.37902199471299153</v>
      </c>
      <c r="T55" s="623">
        <f>+AVERAGE(T19:T23,T43:T45)</f>
        <v>4.8815818609265031</v>
      </c>
      <c r="U55" s="626"/>
      <c r="V55" s="623">
        <f>+AVERAGE(V43:V47,V35,V19:V23)</f>
        <v>-4.4356297492866057</v>
      </c>
      <c r="W55" s="623">
        <f>+AVERAGE(W43:W46,W19:W23)</f>
        <v>10.034431031425457</v>
      </c>
      <c r="X55" s="623">
        <f>+AVERAGE(X43:X46,X19:X23)</f>
        <v>26.217675368473582</v>
      </c>
      <c r="Y55" s="626"/>
      <c r="Z55" s="634">
        <f>+AVERAGE(Z19,Z21,Z22,Z45,Z46)</f>
        <v>4.0462845166358785E-2</v>
      </c>
    </row>
    <row r="56" spans="1:26" ht="15" customHeight="1">
      <c r="A56" s="23"/>
      <c r="B56" s="627" t="s">
        <v>48</v>
      </c>
      <c r="C56" s="628"/>
      <c r="D56" s="628"/>
      <c r="E56" s="628"/>
      <c r="F56" s="628"/>
      <c r="G56" s="628"/>
      <c r="H56" s="628"/>
      <c r="I56" s="629">
        <f>+MEDIAN(I43:I46,I19:I23)</f>
        <v>9.1021300119152322</v>
      </c>
      <c r="J56" s="629">
        <f>+MEDIAN(J43:J46,J19:J23)</f>
        <v>8.5700428925542571</v>
      </c>
      <c r="K56" s="629">
        <f>+MEDIAN(K43:K46,K19:K23)</f>
        <v>7.9097930549152542</v>
      </c>
      <c r="L56" s="629">
        <f>+MEDIAN(L43:L45,L19:L23)</f>
        <v>9.384376733620293</v>
      </c>
      <c r="M56" s="629">
        <f t="shared" ref="M56:R56" si="9">+MEDIAN(M43:M46,M19:M23)</f>
        <v>11.775962394334279</v>
      </c>
      <c r="N56" s="629">
        <f t="shared" si="9"/>
        <v>11.676726756179775</v>
      </c>
      <c r="O56" s="629">
        <f t="shared" si="9"/>
        <v>13.577431674065831</v>
      </c>
      <c r="P56" s="629">
        <f t="shared" si="9"/>
        <v>11.86161737595773</v>
      </c>
      <c r="Q56" s="629">
        <f t="shared" si="9"/>
        <v>11.676726756179775</v>
      </c>
      <c r="R56" s="629" t="e">
        <f t="shared" si="9"/>
        <v>#NUM!</v>
      </c>
      <c r="S56" s="629">
        <f>+MEDIAN(S43:S45,S19:S23)</f>
        <v>0.65837557037499472</v>
      </c>
      <c r="T56" s="629">
        <f>+MEDIAN(T43:T45,T19:T23)</f>
        <v>4.1441189949991761</v>
      </c>
      <c r="U56" s="632"/>
      <c r="V56" s="629">
        <f>+MEDIAN(V43:V47,V19:V23)</f>
        <v>12.259337002131431</v>
      </c>
      <c r="W56" s="629">
        <f>+MEDIAN(W43:W46,W19:W23)</f>
        <v>12.640329626467569</v>
      </c>
      <c r="X56" s="629">
        <f>+MEDIAN(X43:X46,X19:X23)</f>
        <v>13.179064755146948</v>
      </c>
      <c r="Y56" s="632"/>
      <c r="Z56" s="635">
        <f>+MEDIAN(Z46,Z45,Z23,Z22,Z21,Z19)</f>
        <v>7.735757508115737E-2</v>
      </c>
    </row>
    <row r="57" spans="1:26" ht="15" customHeight="1">
      <c r="A57" s="23"/>
      <c r="B57" s="23"/>
      <c r="C57" s="23"/>
      <c r="D57" s="23"/>
      <c r="E57" s="23"/>
      <c r="F57" s="23"/>
      <c r="G57" s="23"/>
      <c r="H57" s="23"/>
      <c r="I57" s="23"/>
      <c r="J57" s="636"/>
      <c r="K57" s="23"/>
      <c r="L57" s="23"/>
      <c r="M57" s="23"/>
      <c r="N57" s="23"/>
      <c r="O57" s="23"/>
      <c r="P57" s="23"/>
      <c r="Q57" s="23"/>
      <c r="R57" s="23"/>
      <c r="S57" s="23"/>
      <c r="T57" s="23"/>
      <c r="U57" s="23"/>
      <c r="V57" s="23"/>
      <c r="W57" s="23"/>
      <c r="X57" s="23"/>
      <c r="Y57" s="23"/>
      <c r="Z57" s="23"/>
    </row>
    <row r="58" spans="1:26" ht="15" customHeight="1">
      <c r="A58" s="23"/>
      <c r="B58" s="621" t="s">
        <v>319</v>
      </c>
      <c r="C58" s="622"/>
      <c r="D58" s="622"/>
      <c r="E58" s="622"/>
      <c r="F58" s="622"/>
      <c r="G58" s="622"/>
      <c r="H58" s="622"/>
      <c r="I58" s="623">
        <f>+MAX(I19:I23,I43:I46)</f>
        <v>16.792292176385672</v>
      </c>
      <c r="J58" s="623">
        <f>+MAX(J19:J23,J43:J46)</f>
        <v>15.667772329603256</v>
      </c>
      <c r="K58" s="623">
        <f>+MAX(K19:K23,K43:K46)</f>
        <v>13.32446112821895</v>
      </c>
      <c r="L58" s="623">
        <f>+MAX(L19:L23,L43:L45)</f>
        <v>17.309397920789049</v>
      </c>
      <c r="M58" s="623">
        <f>+MAX(M19:M23,M43:M46)</f>
        <v>19.690920764884833</v>
      </c>
      <c r="N58" s="623">
        <f>+MAX(N19:N23,N43:N46)</f>
        <v>19.001387578108616</v>
      </c>
      <c r="O58" s="623">
        <f>+MAX(O19:O23,O43:O46)</f>
        <v>93.186459712460064</v>
      </c>
      <c r="P58" s="623">
        <f>+MAX(P19:P23,P43:P46)</f>
        <v>69.296108161987036</v>
      </c>
      <c r="Q58" s="623">
        <f>+MAX(Q19:Q23,Q43:Q46)</f>
        <v>34.43731457495528</v>
      </c>
      <c r="R58" s="622"/>
      <c r="S58" s="625">
        <f>+MAX(S43:S45,S19:S23)</f>
        <v>0.81779598847716006</v>
      </c>
      <c r="T58" s="623">
        <f>MAX(T43:T47,T31:T35,T19:T23)</f>
        <v>9.3061509857250435</v>
      </c>
      <c r="U58" s="626"/>
      <c r="V58" s="623">
        <f>+MAX(V43:V47,V35,V19:V23)</f>
        <v>25.119917801902925</v>
      </c>
      <c r="W58" s="623">
        <f>+MAX(W43:W46,W19:W23)</f>
        <v>23.398167132233223</v>
      </c>
      <c r="X58" s="623">
        <f>+MAX(X43:X46,X19:X23)</f>
        <v>128.19413130385649</v>
      </c>
      <c r="Y58" s="626"/>
      <c r="Z58" s="634" t="e">
        <f>MAX(Z43:Z47,Z31:Z35,Z19:Z23)</f>
        <v>#N/A</v>
      </c>
    </row>
    <row r="59" spans="1:26" ht="15" customHeight="1">
      <c r="A59" s="23"/>
      <c r="B59" s="627" t="s">
        <v>355</v>
      </c>
      <c r="C59" s="628"/>
      <c r="D59" s="628"/>
      <c r="E59" s="628"/>
      <c r="F59" s="628"/>
      <c r="G59" s="628"/>
      <c r="H59" s="628"/>
      <c r="I59" s="629">
        <f>+MIN(I43:I46,I19:I23)</f>
        <v>3.5189840974761748</v>
      </c>
      <c r="J59" s="629">
        <f>+MIN(J43:J46,J19:J23)</f>
        <v>3.7134368027917941</v>
      </c>
      <c r="K59" s="629">
        <f>+MIN(K43:K46,K19:K23)</f>
        <v>3.3365859069152544</v>
      </c>
      <c r="L59" s="629">
        <f>+MIN(L43:L45,L19:L23)</f>
        <v>-11.140912457863747</v>
      </c>
      <c r="M59" s="629">
        <f>+MIN(M43:M46,M19:M23)</f>
        <v>5.2306568293501803</v>
      </c>
      <c r="N59" s="629">
        <f>+MIN(N43:N46,N19:N23)</f>
        <v>4.8451172636923365</v>
      </c>
      <c r="O59" s="629">
        <f>+MIN(O43:O46,O19:O23)</f>
        <v>-10.937172589712054</v>
      </c>
      <c r="P59" s="629">
        <f>+MIN(P43:P46,P19:P23)</f>
        <v>5.6377118355252911</v>
      </c>
      <c r="Q59" s="629">
        <f>+MIN(Q43:Q46,Q19:Q23)</f>
        <v>5.6322330096404274</v>
      </c>
      <c r="R59" s="628"/>
      <c r="S59" s="631">
        <f>+MIN(S43:S45,S19:S23)</f>
        <v>-1.5072636321213468</v>
      </c>
      <c r="T59" s="629">
        <f>+MIN(T43:T45,T19:T23)</f>
        <v>2.6573663301335984</v>
      </c>
      <c r="U59" s="632"/>
      <c r="V59" s="629">
        <f>+MIN(V43:V47,V19:V23,V35)</f>
        <v>-121.76452765886521</v>
      </c>
      <c r="W59" s="629">
        <f>+MIN(W43:W46,W19:W23)</f>
        <v>-21.186449544747084</v>
      </c>
      <c r="X59" s="629">
        <f>+MIN(X43:X46,X19:X23)</f>
        <v>7.5081767711199987</v>
      </c>
      <c r="Y59" s="632"/>
      <c r="Z59" s="635" t="e">
        <f>MIN(Z43:Z47,Z31:Z35,Z19:Z23)</f>
        <v>#N/A</v>
      </c>
    </row>
    <row r="60" spans="1:26" ht="1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customHeight="1">
      <c r="A61" s="23"/>
      <c r="B61" s="908"/>
      <c r="C61" s="909" t="s">
        <v>356</v>
      </c>
      <c r="D61" s="23"/>
      <c r="E61" s="23"/>
      <c r="F61" s="864" t="s">
        <v>357</v>
      </c>
      <c r="G61" s="864"/>
      <c r="H61" s="23"/>
      <c r="I61" s="864"/>
      <c r="J61" s="23"/>
      <c r="K61" s="23"/>
      <c r="L61" s="23"/>
      <c r="M61" s="23"/>
      <c r="N61" s="23"/>
      <c r="O61" s="23"/>
      <c r="P61" s="23"/>
      <c r="Q61" s="23"/>
      <c r="R61" s="23"/>
      <c r="S61" s="23"/>
      <c r="T61" s="23"/>
      <c r="U61" s="23"/>
      <c r="V61" s="23"/>
      <c r="W61" s="23"/>
      <c r="X61" s="23"/>
      <c r="Y61" s="23"/>
      <c r="Z61" s="23"/>
    </row>
    <row r="62" spans="1:26" ht="15" customHeight="1">
      <c r="A62" s="23"/>
      <c r="B62" s="903" t="s">
        <v>226</v>
      </c>
      <c r="C62" s="497">
        <v>0.24</v>
      </c>
      <c r="D62" s="23"/>
      <c r="E62" s="23"/>
      <c r="F62" s="864">
        <f>3397-1433-76.519-(705/2)+(319.5*0.7)</f>
        <v>1758.6309999999999</v>
      </c>
      <c r="G62" s="23"/>
      <c r="H62" s="23"/>
      <c r="I62" s="23"/>
      <c r="J62" s="23"/>
      <c r="K62" s="864"/>
      <c r="L62" s="23"/>
      <c r="M62" s="23"/>
      <c r="N62" s="23"/>
      <c r="O62" s="23"/>
      <c r="P62" s="23"/>
      <c r="Q62" s="23"/>
      <c r="R62" s="23"/>
      <c r="S62" s="23"/>
      <c r="T62" s="23"/>
      <c r="U62" s="23"/>
      <c r="V62" s="23"/>
      <c r="W62" s="23"/>
      <c r="X62" s="23"/>
      <c r="Y62" s="23"/>
      <c r="Z62" s="23"/>
    </row>
    <row r="63" spans="1:26" ht="15" customHeight="1">
      <c r="A63" s="23"/>
      <c r="B63" s="904" t="s">
        <v>358</v>
      </c>
      <c r="C63" s="497">
        <v>0.94</v>
      </c>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customHeight="1">
      <c r="A64" s="23"/>
      <c r="B64" s="905" t="s">
        <v>359</v>
      </c>
      <c r="C64" s="497">
        <v>0.71</v>
      </c>
      <c r="D64" s="23"/>
      <c r="E64" s="23"/>
      <c r="F64"/>
      <c r="G64" s="23"/>
      <c r="H64" s="23"/>
      <c r="I64" s="23"/>
      <c r="J64" s="23"/>
      <c r="K64" s="23"/>
      <c r="L64" s="23"/>
      <c r="M64" s="23"/>
      <c r="N64" s="23"/>
      <c r="O64" s="23"/>
      <c r="P64" s="23"/>
      <c r="Q64" s="23"/>
      <c r="R64" s="23"/>
      <c r="S64" s="23"/>
      <c r="T64" s="23"/>
      <c r="U64" s="23"/>
      <c r="V64" s="23"/>
      <c r="W64" s="23"/>
      <c r="X64" s="23"/>
      <c r="Y64" s="23"/>
      <c r="Z64" s="23"/>
    </row>
    <row r="65" spans="1:11" ht="15" customHeight="1">
      <c r="A65" s="23"/>
      <c r="B65" s="905" t="s">
        <v>360</v>
      </c>
      <c r="C65" s="497">
        <v>0.53</v>
      </c>
      <c r="D65" s="898" t="s">
        <v>361</v>
      </c>
      <c r="E65" s="23"/>
      <c r="F65" s="23"/>
      <c r="G65" s="23"/>
      <c r="H65" s="23"/>
      <c r="I65" s="23"/>
      <c r="J65" s="23"/>
      <c r="K65" s="23"/>
    </row>
    <row r="66" spans="1:11" ht="15" customHeight="1">
      <c r="A66" s="23"/>
      <c r="B66" s="905" t="s">
        <v>362</v>
      </c>
      <c r="C66" s="906">
        <v>2.35</v>
      </c>
      <c r="D66" s="23"/>
      <c r="E66" s="23"/>
      <c r="F66" s="23"/>
      <c r="G66" s="23"/>
      <c r="H66" s="23"/>
      <c r="I66" s="23"/>
      <c r="J66" s="23"/>
      <c r="K66" s="864"/>
    </row>
    <row r="67" spans="1:11" ht="15" customHeight="1">
      <c r="A67" s="23"/>
      <c r="B67" s="905" t="s">
        <v>363</v>
      </c>
      <c r="C67" s="497">
        <v>0.76</v>
      </c>
      <c r="D67" s="23"/>
      <c r="E67" s="23"/>
      <c r="F67" s="23"/>
      <c r="G67" s="23"/>
      <c r="H67" s="23"/>
      <c r="I67" s="23"/>
      <c r="J67" s="23"/>
      <c r="K67" s="23"/>
    </row>
    <row r="68" spans="1:11" ht="15" customHeight="1">
      <c r="A68" s="23"/>
      <c r="B68" s="621" t="s">
        <v>338</v>
      </c>
      <c r="C68" s="907">
        <f>SUM(C63:C67)/5</f>
        <v>1.0579999999999998</v>
      </c>
      <c r="D68" s="23"/>
      <c r="E68" s="23"/>
      <c r="F68" s="23"/>
      <c r="G68" s="23"/>
      <c r="H68" s="23"/>
      <c r="I68" s="23"/>
      <c r="J68" s="23"/>
      <c r="K68" s="23"/>
    </row>
    <row r="69" spans="1:11" ht="15" customHeight="1">
      <c r="A69" s="23"/>
      <c r="B69" s="627" t="s">
        <v>48</v>
      </c>
      <c r="C69" s="902">
        <f>C67</f>
        <v>0.76</v>
      </c>
      <c r="D69" s="23"/>
      <c r="E69" s="23"/>
      <c r="F69" s="23"/>
      <c r="G69" s="23"/>
      <c r="H69" s="23"/>
      <c r="I69" s="23"/>
      <c r="J69" s="23"/>
      <c r="K69" s="23"/>
    </row>
  </sheetData>
  <mergeCells count="3">
    <mergeCell ref="C31:Z35"/>
    <mergeCell ref="I7:Q7"/>
    <mergeCell ref="V7:X7"/>
  </mergeCells>
  <conditionalFormatting sqref="C62:C67">
    <cfRule type="colorScale" priority="1">
      <colorScale>
        <cfvo type="min"/>
        <cfvo type="percentile" val="50"/>
        <cfvo type="max"/>
        <color rgb="FFF8696B"/>
        <color rgb="FFFCFCFF"/>
        <color rgb="FF63BE7B"/>
      </colorScale>
    </cfRule>
    <cfRule type="colorScale" priority="2">
      <colorScale>
        <cfvo type="min"/>
        <cfvo type="percentile" val="50"/>
        <cfvo type="max"/>
        <color rgb="FF63BE7B"/>
        <color rgb="FFFCFCFF"/>
        <color rgb="FFF8696B"/>
      </colorScale>
    </cfRule>
    <cfRule type="colorScale" priority="3">
      <colorScale>
        <cfvo type="min"/>
        <cfvo type="max"/>
        <color rgb="FFF8696B"/>
        <color rgb="FFFCFCFF"/>
      </colorScale>
    </cfRule>
    <cfRule type="colorScale" priority="4">
      <colorScale>
        <cfvo type="min"/>
        <cfvo type="max"/>
        <color rgb="FFFCFCFF"/>
        <color rgb="FF63BE7B"/>
      </colorScale>
    </cfRule>
    <cfRule type="colorScale" priority="5">
      <colorScale>
        <cfvo type="min"/>
        <cfvo type="percentile" val="50"/>
        <cfvo type="max"/>
        <color rgb="FF63BE7B"/>
        <color rgb="FFFFEB84"/>
        <color rgb="FFF8696B"/>
      </colorScale>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63BE7B"/>
        <color rgb="FFFCFCFF"/>
        <color rgb="FFF8696B"/>
      </colorScale>
    </cfRule>
    <cfRule type="colorScale" priority="8">
      <colorScale>
        <cfvo type="min"/>
        <cfvo type="max"/>
        <color rgb="FF63BE7B"/>
        <color rgb="FFFFEF9C"/>
      </colorScale>
    </cfRule>
    <cfRule type="colorScale" priority="9">
      <colorScale>
        <cfvo type="min"/>
        <cfvo type="max"/>
        <color rgb="FFF8696B"/>
        <color rgb="FFFCFCFF"/>
      </colorScale>
    </cfRule>
    <cfRule type="colorScale" priority="10">
      <colorScale>
        <cfvo type="min"/>
        <cfvo type="percentile" val="50"/>
        <cfvo type="max"/>
        <color rgb="FF63BE7B"/>
        <color rgb="FFFCFCFF"/>
        <color rgb="FFF8696B"/>
      </colorScale>
    </cfRule>
    <cfRule type="colorScale" priority="11">
      <colorScale>
        <cfvo type="min"/>
        <cfvo type="percentile" val="50"/>
        <cfvo type="max"/>
        <color rgb="FFF8696B"/>
        <color rgb="FFFCFCFF"/>
        <color rgb="FF63BE7B"/>
      </colorScale>
    </cfRule>
    <cfRule type="colorScale" priority="12">
      <colorScale>
        <cfvo type="min"/>
        <cfvo type="percentile" val="50"/>
        <cfvo type="max"/>
        <color rgb="FFF8696B"/>
        <color rgb="FFFFEB84"/>
        <color rgb="FF63BE7B"/>
      </colorScale>
    </cfRule>
  </conditionalFormatting>
  <conditionalFormatting sqref="I14">
    <cfRule type="colorScale" priority="27">
      <colorScale>
        <cfvo type="min"/>
        <cfvo type="percentile" val="50"/>
        <cfvo type="max"/>
        <color rgb="FF8DEB91"/>
        <color theme="0"/>
        <color theme="4" tint="0.79998168889431442"/>
      </colorScale>
    </cfRule>
  </conditionalFormatting>
  <conditionalFormatting sqref="I43:I47 I19:I23">
    <cfRule type="colorScale" priority="50">
      <colorScale>
        <cfvo type="min"/>
        <cfvo type="percentile" val="50"/>
        <cfvo type="max"/>
        <color rgb="FF8DEB91"/>
        <color theme="0"/>
        <color theme="4" tint="0.79998168889431442"/>
      </colorScale>
    </cfRule>
  </conditionalFormatting>
  <conditionalFormatting sqref="J14">
    <cfRule type="colorScale" priority="26">
      <colorScale>
        <cfvo type="min"/>
        <cfvo type="percentile" val="50"/>
        <cfvo type="max"/>
        <color rgb="FF8DEB91"/>
        <color theme="0"/>
        <color theme="4" tint="0.79998168889431442"/>
      </colorScale>
    </cfRule>
  </conditionalFormatting>
  <conditionalFormatting sqref="J43:J47 J19:J23">
    <cfRule type="colorScale" priority="41">
      <colorScale>
        <cfvo type="min"/>
        <cfvo type="percentile" val="50"/>
        <cfvo type="max"/>
        <color rgb="FF8DEB91"/>
        <color theme="0"/>
        <color theme="4" tint="0.79998168889431442"/>
      </colorScale>
    </cfRule>
  </conditionalFormatting>
  <conditionalFormatting sqref="K14">
    <cfRule type="colorScale" priority="25">
      <colorScale>
        <cfvo type="min"/>
        <cfvo type="percentile" val="50"/>
        <cfvo type="max"/>
        <color rgb="FF8DEB91"/>
        <color theme="0"/>
        <color theme="4" tint="0.79998168889431442"/>
      </colorScale>
    </cfRule>
  </conditionalFormatting>
  <conditionalFormatting sqref="K43:K47 K19:K23">
    <cfRule type="colorScale" priority="40">
      <colorScale>
        <cfvo type="min"/>
        <cfvo type="percentile" val="50"/>
        <cfvo type="max"/>
        <color rgb="FF8DEB91"/>
        <color theme="0"/>
        <color theme="4" tint="0.79998168889431442"/>
      </colorScale>
    </cfRule>
  </conditionalFormatting>
  <conditionalFormatting sqref="L14">
    <cfRule type="colorScale" priority="24">
      <colorScale>
        <cfvo type="min"/>
        <cfvo type="percentile" val="50"/>
        <cfvo type="max"/>
        <color rgb="FF8DEB91"/>
        <color theme="0"/>
        <color theme="4" tint="0.79998168889431442"/>
      </colorScale>
    </cfRule>
  </conditionalFormatting>
  <conditionalFormatting sqref="L43:L47 L19:L23">
    <cfRule type="colorScale" priority="39">
      <colorScale>
        <cfvo type="min"/>
        <cfvo type="percentile" val="50"/>
        <cfvo type="max"/>
        <color rgb="FF8DEB91"/>
        <color theme="0"/>
        <color theme="4" tint="0.79998168889431442"/>
      </colorScale>
    </cfRule>
  </conditionalFormatting>
  <conditionalFormatting sqref="M14">
    <cfRule type="colorScale" priority="23">
      <colorScale>
        <cfvo type="min"/>
        <cfvo type="percentile" val="50"/>
        <cfvo type="max"/>
        <color rgb="FF8DEB91"/>
        <color theme="0"/>
        <color theme="4" tint="0.79998168889431442"/>
      </colorScale>
    </cfRule>
  </conditionalFormatting>
  <conditionalFormatting sqref="M43:M47 M19:M23">
    <cfRule type="colorScale" priority="38">
      <colorScale>
        <cfvo type="min"/>
        <cfvo type="percentile" val="50"/>
        <cfvo type="max"/>
        <color rgb="FF8DEB91"/>
        <color theme="0"/>
        <color theme="4" tint="0.79998168889431442"/>
      </colorScale>
    </cfRule>
  </conditionalFormatting>
  <conditionalFormatting sqref="N14">
    <cfRule type="colorScale" priority="22">
      <colorScale>
        <cfvo type="min"/>
        <cfvo type="percentile" val="50"/>
        <cfvo type="max"/>
        <color rgb="FF8DEB91"/>
        <color theme="0"/>
        <color theme="4" tint="0.79998168889431442"/>
      </colorScale>
    </cfRule>
  </conditionalFormatting>
  <conditionalFormatting sqref="N43:N47 N19:N23">
    <cfRule type="colorScale" priority="37">
      <colorScale>
        <cfvo type="min"/>
        <cfvo type="percentile" val="50"/>
        <cfvo type="max"/>
        <color rgb="FF8DEB91"/>
        <color theme="0"/>
        <color theme="4" tint="0.79998168889431442"/>
      </colorScale>
    </cfRule>
  </conditionalFormatting>
  <conditionalFormatting sqref="O14">
    <cfRule type="colorScale" priority="21">
      <colorScale>
        <cfvo type="min"/>
        <cfvo type="percentile" val="50"/>
        <cfvo type="max"/>
        <color rgb="FF8DEB91"/>
        <color theme="0"/>
        <color theme="4" tint="0.79998168889431442"/>
      </colorScale>
    </cfRule>
  </conditionalFormatting>
  <conditionalFormatting sqref="O43:O47 O19:O23">
    <cfRule type="colorScale" priority="36">
      <colorScale>
        <cfvo type="min"/>
        <cfvo type="percentile" val="50"/>
        <cfvo type="max"/>
        <color rgb="FF8DEB91"/>
        <color theme="0"/>
        <color theme="4" tint="0.79998168889431442"/>
      </colorScale>
    </cfRule>
  </conditionalFormatting>
  <conditionalFormatting sqref="P14">
    <cfRule type="colorScale" priority="20">
      <colorScale>
        <cfvo type="min"/>
        <cfvo type="percentile" val="50"/>
        <cfvo type="max"/>
        <color rgb="FF8DEB91"/>
        <color theme="0"/>
        <color theme="4" tint="0.79998168889431442"/>
      </colorScale>
    </cfRule>
  </conditionalFormatting>
  <conditionalFormatting sqref="P43:P47 P19:P23">
    <cfRule type="colorScale" priority="35">
      <colorScale>
        <cfvo type="min"/>
        <cfvo type="percentile" val="50"/>
        <cfvo type="max"/>
        <color rgb="FF8DEB91"/>
        <color theme="0"/>
        <color theme="4" tint="0.79998168889431442"/>
      </colorScale>
    </cfRule>
  </conditionalFormatting>
  <conditionalFormatting sqref="Q14">
    <cfRule type="colorScale" priority="19">
      <colorScale>
        <cfvo type="min"/>
        <cfvo type="percentile" val="50"/>
        <cfvo type="max"/>
        <color rgb="FF8DEB91"/>
        <color theme="0"/>
        <color theme="4" tint="0.79998168889431442"/>
      </colorScale>
    </cfRule>
  </conditionalFormatting>
  <conditionalFormatting sqref="Q43:Q47 Q19:Q23">
    <cfRule type="colorScale" priority="34">
      <colorScale>
        <cfvo type="min"/>
        <cfvo type="percentile" val="50"/>
        <cfvo type="max"/>
        <color rgb="FF8DEB91"/>
        <color theme="0"/>
        <color theme="4" tint="0.79998168889431442"/>
      </colorScale>
    </cfRule>
  </conditionalFormatting>
  <conditionalFormatting sqref="S14">
    <cfRule type="colorScale" priority="14">
      <colorScale>
        <cfvo type="min"/>
        <cfvo type="percentile" val="50"/>
        <cfvo type="max"/>
        <color theme="4" tint="0.79998168889431442"/>
        <color theme="0"/>
        <color rgb="FF8DEB91"/>
      </colorScale>
    </cfRule>
  </conditionalFormatting>
  <conditionalFormatting sqref="S43:S47 S19:S23">
    <cfRule type="colorScale" priority="29">
      <colorScale>
        <cfvo type="min"/>
        <cfvo type="percentile" val="50"/>
        <cfvo type="max"/>
        <color theme="4" tint="0.79998168889431442"/>
        <color theme="0"/>
        <color rgb="FF8DEB91"/>
      </colorScale>
    </cfRule>
  </conditionalFormatting>
  <conditionalFormatting sqref="T14">
    <cfRule type="colorScale" priority="18">
      <colorScale>
        <cfvo type="min"/>
        <cfvo type="percentile" val="50"/>
        <cfvo type="max"/>
        <color rgb="FF8DEB91"/>
        <color theme="0"/>
        <color theme="4" tint="0.79998168889431442"/>
      </colorScale>
    </cfRule>
  </conditionalFormatting>
  <conditionalFormatting sqref="T43:T47 T19:T23">
    <cfRule type="colorScale" priority="33">
      <colorScale>
        <cfvo type="min"/>
        <cfvo type="percentile" val="50"/>
        <cfvo type="max"/>
        <color rgb="FF8DEB91"/>
        <color theme="0"/>
        <color theme="4" tint="0.79998168889431442"/>
      </colorScale>
    </cfRule>
  </conditionalFormatting>
  <conditionalFormatting sqref="V14">
    <cfRule type="colorScale" priority="17">
      <colorScale>
        <cfvo type="min"/>
        <cfvo type="percentile" val="50"/>
        <cfvo type="max"/>
        <color rgb="FF8DEB91"/>
        <color theme="0"/>
        <color theme="4" tint="0.79998168889431442"/>
      </colorScale>
    </cfRule>
  </conditionalFormatting>
  <conditionalFormatting sqref="V43:V47 V19:V23">
    <cfRule type="colorScale" priority="32">
      <colorScale>
        <cfvo type="min"/>
        <cfvo type="percentile" val="50"/>
        <cfvo type="max"/>
        <color rgb="FF8DEB91"/>
        <color theme="0"/>
        <color theme="4" tint="0.79998168889431442"/>
      </colorScale>
    </cfRule>
  </conditionalFormatting>
  <conditionalFormatting sqref="W14">
    <cfRule type="colorScale" priority="16">
      <colorScale>
        <cfvo type="min"/>
        <cfvo type="percentile" val="50"/>
        <cfvo type="max"/>
        <color rgb="FF8DEB91"/>
        <color theme="0"/>
        <color theme="4" tint="0.79998168889431442"/>
      </colorScale>
    </cfRule>
  </conditionalFormatting>
  <conditionalFormatting sqref="W43:W47 W19:W23">
    <cfRule type="colorScale" priority="31">
      <colorScale>
        <cfvo type="min"/>
        <cfvo type="percentile" val="50"/>
        <cfvo type="max"/>
        <color rgb="FF8DEB91"/>
        <color theme="0"/>
        <color theme="4" tint="0.79998168889431442"/>
      </colorScale>
    </cfRule>
  </conditionalFormatting>
  <conditionalFormatting sqref="X14">
    <cfRule type="colorScale" priority="15">
      <colorScale>
        <cfvo type="min"/>
        <cfvo type="percentile" val="50"/>
        <cfvo type="max"/>
        <color rgb="FF8DEB91"/>
        <color theme="0"/>
        <color theme="4" tint="0.79998168889431442"/>
      </colorScale>
    </cfRule>
  </conditionalFormatting>
  <conditionalFormatting sqref="X43:X47 X19:X23">
    <cfRule type="colorScale" priority="30">
      <colorScale>
        <cfvo type="min"/>
        <cfvo type="percentile" val="50"/>
        <cfvo type="max"/>
        <color rgb="FF8DEB91"/>
        <color theme="0"/>
        <color theme="4" tint="0.79998168889431442"/>
      </colorScale>
    </cfRule>
  </conditionalFormatting>
  <conditionalFormatting sqref="Z14">
    <cfRule type="colorScale" priority="13">
      <colorScale>
        <cfvo type="min"/>
        <cfvo type="percentile" val="50"/>
        <cfvo type="max"/>
        <color theme="4" tint="0.79998168889431442"/>
        <color theme="0"/>
        <color rgb="FF8DEB91"/>
      </colorScale>
    </cfRule>
  </conditionalFormatting>
  <conditionalFormatting sqref="Z43:Z47 Z19:Z23">
    <cfRule type="colorScale" priority="28">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EEE2-CAFC-4162-9357-300234CA35AF}">
  <dimension ref="B3:AH86"/>
  <sheetViews>
    <sheetView showGridLines="0" topLeftCell="A39" zoomScale="98" workbookViewId="0">
      <selection activeCell="I91" sqref="I91"/>
    </sheetView>
  </sheetViews>
  <sheetFormatPr defaultRowHeight="13.9"/>
  <cols>
    <col min="2" max="2" width="29.5" bestFit="1" customWidth="1"/>
    <col min="3" max="3" width="15.625" bestFit="1" customWidth="1"/>
    <col min="4" max="5" width="9.5" bestFit="1" customWidth="1"/>
    <col min="6" max="6" width="11.875" bestFit="1" customWidth="1"/>
    <col min="7" max="9" width="14.25" bestFit="1" customWidth="1"/>
    <col min="10" max="10" width="13.75" bestFit="1" customWidth="1"/>
    <col min="11" max="13" width="11.625" bestFit="1" customWidth="1"/>
    <col min="14" max="31" width="9.5" bestFit="1" customWidth="1"/>
    <col min="33" max="34" width="9.5" bestFit="1" customWidth="1"/>
  </cols>
  <sheetData>
    <row r="3" spans="2:34" s="812" customFormat="1" ht="17.45">
      <c r="B3" s="813" t="s">
        <v>364</v>
      </c>
    </row>
    <row r="5" spans="2:34">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row>
    <row r="6" spans="2:34" ht="15.6">
      <c r="B6" s="815" t="s">
        <v>365</v>
      </c>
      <c r="C6" s="179"/>
      <c r="D6" s="179"/>
      <c r="E6" s="179"/>
      <c r="F6" s="179"/>
      <c r="G6" s="179"/>
      <c r="H6" s="179"/>
      <c r="I6" s="179"/>
      <c r="J6" s="179"/>
      <c r="K6" s="179"/>
      <c r="L6" s="179"/>
      <c r="M6" s="179"/>
      <c r="N6" s="179"/>
      <c r="O6" s="179"/>
      <c r="P6" s="179"/>
      <c r="Q6" s="179"/>
      <c r="R6" s="179"/>
      <c r="S6" s="179"/>
      <c r="T6" s="179"/>
      <c r="U6" s="179"/>
      <c r="V6" s="179"/>
      <c r="W6" s="179"/>
      <c r="X6" s="179"/>
      <c r="Y6" s="179"/>
      <c r="Z6" s="179"/>
      <c r="AA6" s="179"/>
      <c r="AB6" s="179"/>
      <c r="AC6" s="179"/>
      <c r="AD6" s="179"/>
    </row>
    <row r="7" spans="2:34" ht="15">
      <c r="B7" s="814" t="s">
        <v>366</v>
      </c>
    </row>
    <row r="8" spans="2:34" ht="15.6">
      <c r="C8" s="179"/>
      <c r="D8" s="179"/>
      <c r="E8" s="179"/>
      <c r="F8" s="179"/>
      <c r="G8" s="179"/>
      <c r="H8" s="179"/>
      <c r="I8" s="179"/>
      <c r="J8" s="823" t="s">
        <v>367</v>
      </c>
      <c r="K8" s="179"/>
      <c r="L8" s="179"/>
      <c r="M8" s="179"/>
      <c r="N8" s="179"/>
      <c r="O8" s="179"/>
      <c r="P8" s="179"/>
      <c r="Q8" s="179"/>
      <c r="R8" s="179"/>
      <c r="S8" s="179"/>
      <c r="T8" s="179"/>
      <c r="U8" s="179"/>
      <c r="V8" s="179"/>
      <c r="W8" s="179"/>
      <c r="X8" s="179"/>
      <c r="Y8" s="179"/>
      <c r="Z8" s="179"/>
      <c r="AA8" s="179"/>
      <c r="AB8" s="179"/>
      <c r="AC8" s="179"/>
      <c r="AD8" s="179"/>
      <c r="AE8" s="179"/>
      <c r="AF8" s="179"/>
      <c r="AG8" s="179"/>
      <c r="AH8" s="179"/>
    </row>
    <row r="9" spans="2:34" ht="15.6">
      <c r="C9" s="816">
        <v>2020</v>
      </c>
      <c r="D9" s="816">
        <f>+C9+1</f>
        <v>2021</v>
      </c>
      <c r="E9" s="816">
        <v>2022</v>
      </c>
      <c r="F9" s="816">
        <f>+E9+1</f>
        <v>2023</v>
      </c>
      <c r="G9" s="816">
        <f t="shared" ref="G9" si="0">+F9+1</f>
        <v>2024</v>
      </c>
      <c r="H9" s="179">
        <v>2025</v>
      </c>
      <c r="I9" s="823" t="s">
        <v>47</v>
      </c>
      <c r="J9" s="816">
        <v>2026</v>
      </c>
      <c r="K9" s="816">
        <f>+J9+1</f>
        <v>2027</v>
      </c>
      <c r="L9" s="816">
        <f t="shared" ref="L9:M9" si="1">+K9+1</f>
        <v>2028</v>
      </c>
      <c r="M9" s="816">
        <f t="shared" si="1"/>
        <v>2029</v>
      </c>
      <c r="N9" s="179" t="s">
        <v>196</v>
      </c>
      <c r="O9" s="179"/>
      <c r="P9" s="179"/>
      <c r="Q9" s="179"/>
      <c r="R9" s="179"/>
      <c r="S9" s="179"/>
      <c r="T9" s="179"/>
      <c r="U9" s="179"/>
      <c r="V9" s="179"/>
      <c r="W9" s="179"/>
      <c r="X9" s="179"/>
      <c r="Y9" s="179"/>
      <c r="Z9" s="179"/>
      <c r="AA9" s="179"/>
      <c r="AB9" s="179"/>
      <c r="AC9" s="179"/>
      <c r="AD9" s="179"/>
      <c r="AE9" s="179"/>
      <c r="AF9" s="179"/>
      <c r="AG9" s="179"/>
      <c r="AH9" s="179"/>
    </row>
    <row r="10" spans="2:34">
      <c r="B10" t="s">
        <v>368</v>
      </c>
      <c r="C10" s="873">
        <v>77333</v>
      </c>
      <c r="D10" s="874">
        <v>105657</v>
      </c>
      <c r="E10" s="874">
        <v>140866</v>
      </c>
      <c r="F10" s="874">
        <v>153382</v>
      </c>
      <c r="G10" s="874">
        <v>176925</v>
      </c>
      <c r="H10" s="874">
        <f>+FCFF!Z31</f>
        <v>249087</v>
      </c>
      <c r="I10" s="877"/>
      <c r="J10" s="874">
        <f>+J12*($I$22*(1+$I$23))/1000</f>
        <v>306468.30605518754</v>
      </c>
      <c r="K10" s="874">
        <f>+K12*($I$22*(1+$I$23))/1000</f>
        <v>347931.26658715261</v>
      </c>
      <c r="L10" s="874">
        <f>+L12*($I$22*(1+$I$23))/1000</f>
        <v>384532.91738174768</v>
      </c>
      <c r="M10" s="875">
        <f>+M12*($I$22*(1+$I$23))/1000</f>
        <v>416843.22093223059</v>
      </c>
      <c r="N10" s="892">
        <f>+_xlfn.RRI(COUNT(J9:M9), J10,M10)</f>
        <v>7.9932953942990048E-2</v>
      </c>
      <c r="O10" s="179"/>
      <c r="P10" s="179"/>
      <c r="Q10" s="179"/>
      <c r="R10" s="179"/>
      <c r="S10" s="179"/>
      <c r="T10" s="179"/>
      <c r="U10" s="179"/>
      <c r="V10" s="179"/>
      <c r="W10" s="179"/>
      <c r="X10" s="179"/>
      <c r="Y10" s="179"/>
      <c r="Z10" s="179"/>
      <c r="AA10" s="179"/>
      <c r="AB10" s="179"/>
      <c r="AC10" s="179"/>
      <c r="AD10" s="179"/>
      <c r="AE10" s="179"/>
      <c r="AF10" s="179"/>
      <c r="AG10" s="179"/>
      <c r="AH10" s="179"/>
    </row>
    <row r="11" spans="2:34" ht="14.45">
      <c r="B11" s="871" t="s">
        <v>369</v>
      </c>
      <c r="C11" s="179"/>
      <c r="D11" s="883">
        <f>+D10/C10-1</f>
        <v>0.36626019939741128</v>
      </c>
      <c r="E11" s="883">
        <f t="shared" ref="E11:H11" si="2">+E10/D10-1</f>
        <v>0.33323868745090235</v>
      </c>
      <c r="F11" s="883">
        <f t="shared" si="2"/>
        <v>8.8850396831030798E-2</v>
      </c>
      <c r="G11" s="883">
        <f t="shared" si="2"/>
        <v>0.15349258713538738</v>
      </c>
      <c r="H11" s="883">
        <f t="shared" si="2"/>
        <v>0.40786774056803732</v>
      </c>
      <c r="I11" s="821"/>
      <c r="J11" s="179"/>
      <c r="K11" s="179"/>
      <c r="L11" s="179"/>
      <c r="M11" s="412"/>
      <c r="N11" s="412"/>
      <c r="O11" s="179"/>
      <c r="P11" s="179"/>
      <c r="Q11" s="179"/>
      <c r="R11" s="179"/>
      <c r="S11" s="179"/>
      <c r="T11" s="179"/>
      <c r="U11" s="179"/>
      <c r="V11" s="179"/>
      <c r="W11" s="179"/>
      <c r="X11" s="179"/>
      <c r="Y11" s="179"/>
      <c r="Z11" s="179"/>
      <c r="AA11" s="179"/>
      <c r="AB11" s="179"/>
      <c r="AC11" s="179"/>
      <c r="AD11" s="179"/>
      <c r="AE11" s="179"/>
      <c r="AF11" s="179"/>
      <c r="AG11" s="179"/>
      <c r="AH11" s="179"/>
    </row>
    <row r="12" spans="2:34">
      <c r="B12" s="870" t="s">
        <v>370</v>
      </c>
      <c r="C12" s="179">
        <v>209822</v>
      </c>
      <c r="D12" s="179">
        <v>225228</v>
      </c>
      <c r="E12" s="179">
        <v>224479</v>
      </c>
      <c r="F12" s="179">
        <v>227138</v>
      </c>
      <c r="G12" s="179">
        <v>240674</v>
      </c>
      <c r="H12" s="179">
        <v>265268</v>
      </c>
      <c r="I12" s="890"/>
      <c r="J12" s="887">
        <f>+H12+H20*B35</f>
        <v>313282.25199999998</v>
      </c>
      <c r="K12" s="888">
        <f>+J12+J20*$B$35</f>
        <v>355667.09047560411</v>
      </c>
      <c r="L12" s="888">
        <f t="shared" ref="L12:M12" si="3">+K12+K20*$B$35</f>
        <v>393082.53396940365</v>
      </c>
      <c r="M12" s="891">
        <f t="shared" si="3"/>
        <v>426111.2173898553</v>
      </c>
      <c r="N12" s="891"/>
      <c r="O12" s="179"/>
      <c r="P12" s="179"/>
      <c r="Q12" s="179"/>
      <c r="R12" s="179"/>
      <c r="S12" s="179"/>
      <c r="T12" s="179"/>
      <c r="U12" s="179"/>
      <c r="V12" s="179"/>
      <c r="W12" s="179"/>
      <c r="X12" s="179"/>
      <c r="Y12" s="179"/>
      <c r="Z12" s="179"/>
      <c r="AA12" s="179"/>
      <c r="AB12" s="179"/>
      <c r="AC12" s="179"/>
      <c r="AD12" s="179"/>
      <c r="AE12" s="179"/>
      <c r="AF12" s="179"/>
      <c r="AG12" s="179"/>
      <c r="AH12" s="179"/>
    </row>
    <row r="13" spans="2:34">
      <c r="B13" s="870" t="s">
        <v>371</v>
      </c>
      <c r="C13" s="179">
        <v>138511</v>
      </c>
      <c r="D13" s="179">
        <v>147176</v>
      </c>
      <c r="E13" s="179">
        <v>148983</v>
      </c>
      <c r="F13" s="179">
        <v>152367</v>
      </c>
      <c r="G13" s="179">
        <v>161435</v>
      </c>
      <c r="H13" s="179">
        <v>176620</v>
      </c>
      <c r="I13" s="821"/>
      <c r="J13" s="179"/>
      <c r="K13" s="179"/>
      <c r="L13" s="179"/>
      <c r="M13" s="412"/>
      <c r="N13" s="412"/>
      <c r="O13" s="179"/>
      <c r="P13" s="179"/>
      <c r="Q13" s="179"/>
      <c r="R13" s="179"/>
      <c r="S13" s="179"/>
      <c r="T13" s="179"/>
      <c r="U13" s="179"/>
      <c r="V13" s="179"/>
      <c r="W13" s="179"/>
      <c r="X13" s="179"/>
      <c r="Y13" s="179"/>
      <c r="Z13" s="179"/>
      <c r="AA13" s="179"/>
      <c r="AB13" s="179"/>
      <c r="AC13" s="179"/>
      <c r="AD13" s="179"/>
      <c r="AE13" s="179"/>
      <c r="AF13" s="179"/>
      <c r="AG13" s="179"/>
      <c r="AH13" s="179"/>
    </row>
    <row r="14" spans="2:34" ht="14.45">
      <c r="B14" s="871" t="s">
        <v>372</v>
      </c>
      <c r="C14" s="883">
        <v>0.61</v>
      </c>
      <c r="D14" s="883">
        <v>0.66</v>
      </c>
      <c r="E14" s="883">
        <v>0.67</v>
      </c>
      <c r="F14" s="883">
        <v>0.66</v>
      </c>
      <c r="G14" s="883">
        <v>0.67</v>
      </c>
      <c r="H14" s="883">
        <v>0.68</v>
      </c>
      <c r="I14" s="881">
        <f>+AVERAGE(C14:H14)</f>
        <v>0.65833333333333333</v>
      </c>
      <c r="J14" s="179"/>
      <c r="K14" s="179"/>
      <c r="L14" s="179"/>
      <c r="M14" s="412"/>
      <c r="N14" s="412"/>
      <c r="O14" s="179"/>
      <c r="P14" s="179"/>
      <c r="Q14" s="179"/>
      <c r="R14" s="179"/>
      <c r="S14" s="179"/>
      <c r="T14" s="179"/>
      <c r="U14" s="179"/>
      <c r="V14" s="179"/>
      <c r="W14" s="179"/>
      <c r="X14" s="179"/>
      <c r="Y14" s="179"/>
      <c r="Z14" s="179"/>
      <c r="AA14" s="179"/>
      <c r="AB14" s="179"/>
      <c r="AC14" s="179"/>
      <c r="AD14" s="179"/>
      <c r="AE14" s="179"/>
      <c r="AF14" s="179"/>
      <c r="AG14" s="179"/>
      <c r="AH14" s="179"/>
    </row>
    <row r="15" spans="2:34" ht="14.45">
      <c r="B15" s="879" t="s">
        <v>369</v>
      </c>
      <c r="C15" s="884"/>
      <c r="D15" s="885">
        <f t="shared" ref="D15:H15" si="4">+D12/C12-1</f>
        <v>7.3424140461915366E-2</v>
      </c>
      <c r="E15" s="885">
        <f t="shared" si="4"/>
        <v>-3.3255190296055392E-3</v>
      </c>
      <c r="F15" s="885">
        <f t="shared" si="4"/>
        <v>1.1845206010361764E-2</v>
      </c>
      <c r="G15" s="885">
        <f t="shared" si="4"/>
        <v>5.9593727161461274E-2</v>
      </c>
      <c r="H15" s="886">
        <f t="shared" si="4"/>
        <v>0.10218802197162957</v>
      </c>
      <c r="I15" s="880"/>
      <c r="J15" s="179"/>
      <c r="K15" s="179"/>
      <c r="L15" s="179"/>
      <c r="M15" s="412"/>
      <c r="N15" s="412"/>
      <c r="O15" s="179"/>
      <c r="P15" s="179"/>
      <c r="Q15" s="179"/>
      <c r="R15" s="179"/>
      <c r="S15" s="179"/>
      <c r="T15" s="179"/>
      <c r="U15" s="179"/>
      <c r="V15" s="179"/>
      <c r="W15" s="179"/>
      <c r="X15" s="179"/>
      <c r="Y15" s="179"/>
      <c r="Z15" s="179"/>
      <c r="AA15" s="179"/>
      <c r="AB15" s="179"/>
      <c r="AC15" s="179"/>
      <c r="AD15" s="179"/>
      <c r="AE15" s="179"/>
      <c r="AF15" s="179"/>
      <c r="AG15" s="179"/>
      <c r="AH15" s="179"/>
    </row>
    <row r="16" spans="2:34" ht="14.45">
      <c r="B16" s="871"/>
      <c r="C16" s="179"/>
      <c r="D16" s="818"/>
      <c r="E16" s="818"/>
      <c r="F16" s="818"/>
      <c r="G16" s="818"/>
      <c r="H16" s="818"/>
      <c r="I16" s="822"/>
      <c r="J16" s="179"/>
      <c r="K16" s="179"/>
      <c r="L16" s="179"/>
      <c r="M16" s="412"/>
      <c r="N16" s="412"/>
      <c r="O16" s="179"/>
      <c r="P16" s="179"/>
      <c r="Q16" s="179"/>
      <c r="R16" s="179"/>
      <c r="S16" s="179"/>
      <c r="T16" s="179"/>
      <c r="U16" s="179"/>
      <c r="V16" s="179"/>
      <c r="W16" s="179"/>
      <c r="X16" s="179"/>
      <c r="Y16" s="179"/>
      <c r="Z16" s="179"/>
      <c r="AA16" s="179"/>
      <c r="AB16" s="179"/>
      <c r="AC16" s="179"/>
      <c r="AD16" s="179"/>
      <c r="AE16" s="179"/>
      <c r="AF16" s="179"/>
      <c r="AG16" s="179"/>
      <c r="AH16" s="179"/>
    </row>
    <row r="17" spans="2:34">
      <c r="B17" s="870" t="s">
        <v>373</v>
      </c>
      <c r="C17" s="179">
        <f>+C14*C10</f>
        <v>47173.13</v>
      </c>
      <c r="D17" s="179">
        <f t="shared" ref="D17:H17" si="5">+D14*D10</f>
        <v>69733.62000000001</v>
      </c>
      <c r="E17" s="179">
        <f t="shared" si="5"/>
        <v>94380.22</v>
      </c>
      <c r="F17" s="179">
        <f t="shared" si="5"/>
        <v>101232.12000000001</v>
      </c>
      <c r="G17" s="179">
        <f t="shared" si="5"/>
        <v>118539.75</v>
      </c>
      <c r="H17" s="179">
        <f t="shared" si="5"/>
        <v>169379.16</v>
      </c>
      <c r="I17" s="822"/>
      <c r="J17" s="179"/>
      <c r="K17" s="179"/>
      <c r="L17" s="179"/>
      <c r="M17" s="412"/>
      <c r="N17" s="412"/>
      <c r="O17" s="179"/>
      <c r="P17" s="179"/>
      <c r="Q17" s="179"/>
      <c r="R17" s="179"/>
      <c r="S17" s="179"/>
      <c r="T17" s="179"/>
      <c r="U17" s="179"/>
      <c r="V17" s="179"/>
      <c r="W17" s="179"/>
      <c r="X17" s="179"/>
      <c r="Y17" s="179"/>
      <c r="Z17" s="179"/>
      <c r="AA17" s="179"/>
      <c r="AB17" s="179"/>
      <c r="AC17" s="179"/>
      <c r="AD17" s="179"/>
      <c r="AE17" s="179"/>
      <c r="AF17" s="179"/>
      <c r="AG17" s="179"/>
      <c r="AH17" s="179"/>
    </row>
    <row r="18" spans="2:34">
      <c r="B18" t="s">
        <v>374</v>
      </c>
      <c r="C18" s="878">
        <f>+C10-C17</f>
        <v>30159.870000000003</v>
      </c>
      <c r="D18" s="888">
        <f t="shared" ref="D18:H18" si="6">+D10-D17</f>
        <v>35923.37999999999</v>
      </c>
      <c r="E18" s="888">
        <f t="shared" si="6"/>
        <v>46485.78</v>
      </c>
      <c r="F18" s="888">
        <f t="shared" si="6"/>
        <v>52149.87999999999</v>
      </c>
      <c r="G18" s="888">
        <f t="shared" si="6"/>
        <v>58385.25</v>
      </c>
      <c r="H18" s="893">
        <f t="shared" si="6"/>
        <v>79707.839999999997</v>
      </c>
      <c r="I18" s="880"/>
      <c r="J18" s="179"/>
      <c r="K18" s="179"/>
      <c r="L18" s="179"/>
      <c r="M18" s="412"/>
      <c r="N18" s="412"/>
      <c r="O18" s="179"/>
      <c r="P18" s="179"/>
      <c r="Q18" s="179"/>
      <c r="R18" s="179"/>
      <c r="S18" s="179"/>
      <c r="T18" s="179"/>
      <c r="U18" s="179"/>
      <c r="V18" s="179"/>
      <c r="W18" s="179"/>
      <c r="X18" s="179"/>
      <c r="Y18" s="179"/>
      <c r="Z18" s="179"/>
      <c r="AA18" s="179"/>
      <c r="AB18" s="179"/>
      <c r="AC18" s="179"/>
      <c r="AD18" s="179"/>
      <c r="AE18" s="179"/>
      <c r="AF18" s="179"/>
      <c r="AG18" s="179"/>
      <c r="AH18" s="179"/>
    </row>
    <row r="19" spans="2:34">
      <c r="B19" s="870"/>
      <c r="C19" s="179"/>
      <c r="D19" s="179"/>
      <c r="E19" s="179"/>
      <c r="F19" s="179"/>
      <c r="G19" s="179"/>
      <c r="H19" s="179"/>
      <c r="I19" s="822"/>
      <c r="J19" s="179"/>
      <c r="K19" s="179"/>
      <c r="L19" s="179"/>
      <c r="M19" s="412"/>
      <c r="N19" s="412"/>
      <c r="O19" s="179"/>
      <c r="P19" s="179"/>
      <c r="Q19" s="179"/>
      <c r="R19" s="179"/>
      <c r="S19" s="179"/>
      <c r="T19" s="179"/>
      <c r="U19" s="179"/>
      <c r="V19" s="179"/>
      <c r="W19" s="179"/>
      <c r="X19" s="179"/>
      <c r="Y19" s="179"/>
      <c r="Z19" s="179"/>
      <c r="AA19" s="179"/>
      <c r="AB19" s="179"/>
      <c r="AC19" s="179"/>
      <c r="AD19" s="179"/>
      <c r="AE19" s="179"/>
      <c r="AF19" s="179"/>
      <c r="AG19" s="179"/>
      <c r="AH19" s="179"/>
    </row>
    <row r="20" spans="2:34">
      <c r="B20" s="870" t="s">
        <v>375</v>
      </c>
      <c r="C20" s="179">
        <v>274376</v>
      </c>
      <c r="D20" s="179">
        <v>295187</v>
      </c>
      <c r="E20" s="179">
        <v>223124</v>
      </c>
      <c r="F20" s="179">
        <v>198440</v>
      </c>
      <c r="G20" s="179">
        <v>172116</v>
      </c>
      <c r="H20" s="179">
        <v>142054</v>
      </c>
      <c r="I20" s="889"/>
      <c r="J20" s="887">
        <f>+H20*(1+I21)</f>
        <v>125398.93040119564</v>
      </c>
      <c r="K20" s="888">
        <f>+J20*(1+$I$21)</f>
        <v>110696.57838402233</v>
      </c>
      <c r="L20" s="888">
        <f t="shared" ref="L20:M20" si="7">+K20*(1+$I$21)</f>
        <v>97717.998285359892</v>
      </c>
      <c r="M20" s="891">
        <f t="shared" si="7"/>
        <v>86261.087093147667</v>
      </c>
      <c r="N20" s="891"/>
      <c r="O20" s="179"/>
      <c r="P20" s="179"/>
      <c r="Q20" s="179"/>
      <c r="R20" s="179"/>
      <c r="S20" s="179"/>
      <c r="T20" s="179"/>
      <c r="U20" s="179"/>
      <c r="V20" s="179"/>
      <c r="W20" s="179"/>
      <c r="X20" s="179"/>
      <c r="Y20" s="179"/>
      <c r="Z20" s="179"/>
      <c r="AA20" s="179"/>
      <c r="AB20" s="179"/>
      <c r="AC20" s="179"/>
      <c r="AD20" s="179"/>
      <c r="AE20" s="179"/>
      <c r="AF20" s="179"/>
      <c r="AG20" s="179"/>
      <c r="AH20" s="179"/>
    </row>
    <row r="21" spans="2:34">
      <c r="B21" s="870"/>
      <c r="C21" s="179"/>
      <c r="D21" s="883">
        <f>+D20/C20-1</f>
        <v>7.5848470711723959E-2</v>
      </c>
      <c r="E21" s="883">
        <f t="shared" ref="E21:H21" si="8">+E20/D20-1</f>
        <v>-0.24412660449139023</v>
      </c>
      <c r="F21" s="883">
        <f t="shared" si="8"/>
        <v>-0.11062906724511934</v>
      </c>
      <c r="G21" s="883">
        <f t="shared" si="8"/>
        <v>-0.13265470671235635</v>
      </c>
      <c r="H21" s="883">
        <f t="shared" si="8"/>
        <v>-0.17466127495410078</v>
      </c>
      <c r="I21" s="881">
        <f>+AVERAGE(C21:H21)</f>
        <v>-0.11724463653824854</v>
      </c>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row>
    <row r="22" spans="2:34">
      <c r="B22" s="870" t="s">
        <v>376</v>
      </c>
      <c r="C22" s="179">
        <f>+C10*1000/C12</f>
        <v>368.56478348314283</v>
      </c>
      <c r="D22" s="179">
        <f t="shared" ref="D22:H22" si="9">+D10*1000/D12</f>
        <v>469.11130054877725</v>
      </c>
      <c r="E22" s="179">
        <f t="shared" si="9"/>
        <v>627.52417820820654</v>
      </c>
      <c r="F22" s="179">
        <f t="shared" si="9"/>
        <v>675.28110664001622</v>
      </c>
      <c r="G22" s="179">
        <f t="shared" si="9"/>
        <v>735.1230294921761</v>
      </c>
      <c r="H22" s="179">
        <f t="shared" si="9"/>
        <v>939.00131188081491</v>
      </c>
      <c r="I22" s="882">
        <f>+AVERAGE(G22:H22)</f>
        <v>837.06217068649551</v>
      </c>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row>
    <row r="23" spans="2:34" ht="14.45">
      <c r="B23" s="879" t="s">
        <v>369</v>
      </c>
      <c r="C23" s="878"/>
      <c r="D23" s="894">
        <f>+D22/C22-1</f>
        <v>0.27280554619302944</v>
      </c>
      <c r="E23" s="894">
        <f>+E22/D22-1</f>
        <v>0.33768719166243533</v>
      </c>
      <c r="F23" s="894">
        <f>+F22/E22-1</f>
        <v>7.6103726502095626E-2</v>
      </c>
      <c r="G23" s="894">
        <f>+G22/F22-1</f>
        <v>8.8617795261464183E-2</v>
      </c>
      <c r="H23" s="894">
        <f>+H22/G22-1</f>
        <v>0.2773389952556351</v>
      </c>
      <c r="I23" s="881">
        <f>+_xlfn.RRI(COUNT(C22:H22), C22,H22)</f>
        <v>0.1686704434016757</v>
      </c>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row>
    <row r="24" spans="2:34">
      <c r="C24" s="179"/>
      <c r="D24" s="179"/>
      <c r="E24" s="179"/>
      <c r="F24" s="179"/>
      <c r="G24" s="179"/>
      <c r="H24" s="817"/>
      <c r="I24" s="817"/>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row>
    <row r="25" spans="2:34">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row>
    <row r="26" spans="2:34">
      <c r="B26" s="819" t="s">
        <v>377</v>
      </c>
      <c r="C26" s="820">
        <f>+CORREL(C10:H10,C12:H12)</f>
        <v>0.96834788750983969</v>
      </c>
      <c r="D26" s="179"/>
      <c r="E26" s="179"/>
      <c r="F26" s="179"/>
      <c r="G26" s="179"/>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row>
    <row r="27" spans="2:34">
      <c r="B27" t="s">
        <v>378</v>
      </c>
      <c r="C27" s="179" t="s">
        <v>379</v>
      </c>
      <c r="D27" s="179"/>
      <c r="E27" s="179"/>
      <c r="F27" s="179"/>
      <c r="G27" s="179"/>
      <c r="H27" s="179"/>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row>
    <row r="28" spans="2:34">
      <c r="B28" t="s">
        <v>380</v>
      </c>
      <c r="C28" s="179" t="s">
        <v>381</v>
      </c>
      <c r="D28" s="179"/>
      <c r="E28" s="179"/>
      <c r="F28" s="179"/>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row>
    <row r="29" spans="2:34">
      <c r="B29" t="s">
        <v>382</v>
      </c>
      <c r="C29" s="179" t="s">
        <v>383</v>
      </c>
      <c r="D29" s="179"/>
      <c r="E29" s="179"/>
      <c r="F29" s="179"/>
      <c r="G29" s="179"/>
      <c r="H29" s="179"/>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row>
    <row r="30" spans="2:34">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row>
    <row r="31" spans="2:34">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row>
    <row r="32" spans="2:34">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row>
    <row r="33" spans="2:34">
      <c r="B33" t="s">
        <v>384</v>
      </c>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row>
    <row r="34" spans="2:34">
      <c r="B34" s="727">
        <f>6.5%*4</f>
        <v>0.26</v>
      </c>
      <c r="C34" s="179" t="s">
        <v>385</v>
      </c>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row>
    <row r="35" spans="2:34">
      <c r="B35" s="727">
        <f>+B34*(1+30%)</f>
        <v>0.33800000000000002</v>
      </c>
      <c r="C35" s="179" t="s">
        <v>386</v>
      </c>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row>
    <row r="36" spans="2:34">
      <c r="B36" s="727" t="s">
        <v>387</v>
      </c>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row>
    <row r="37" spans="2:34">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row>
    <row r="38" spans="2:34">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row>
    <row r="39" spans="2:34">
      <c r="C39" s="816">
        <v>2026</v>
      </c>
      <c r="D39" s="816">
        <f>+C39+1</f>
        <v>2027</v>
      </c>
      <c r="E39" s="816">
        <f t="shared" ref="E39:F39" si="10">+D39+1</f>
        <v>2028</v>
      </c>
      <c r="F39" s="816">
        <f t="shared" si="10"/>
        <v>2029</v>
      </c>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row>
    <row r="40" spans="2:34">
      <c r="B40" s="895" t="s">
        <v>364</v>
      </c>
      <c r="C40" s="872">
        <f>+J10</f>
        <v>306468.30605518754</v>
      </c>
      <c r="D40" s="61">
        <f t="shared" ref="D40:F40" si="11">+K10</f>
        <v>347931.26658715261</v>
      </c>
      <c r="E40" s="61">
        <f t="shared" si="11"/>
        <v>384532.91738174768</v>
      </c>
      <c r="F40" s="61">
        <f t="shared" si="11"/>
        <v>416843.22093223059</v>
      </c>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row>
    <row r="41" spans="2:34">
      <c r="B41" s="895" t="s">
        <v>388</v>
      </c>
      <c r="C41" s="876">
        <f>+C40*0.99</f>
        <v>303403.62299463566</v>
      </c>
      <c r="D41" s="179">
        <f>+FCFF!AH31</f>
        <v>349576.11121016613</v>
      </c>
      <c r="E41" s="179">
        <f t="shared" ref="E41:F41" si="12">+E40*0.96</f>
        <v>369151.60068647779</v>
      </c>
      <c r="F41" s="179">
        <f t="shared" si="12"/>
        <v>400169.49209494132</v>
      </c>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row>
    <row r="42" spans="2:34">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row>
    <row r="43" spans="2:34">
      <c r="B43" s="1" t="s">
        <v>389</v>
      </c>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row>
    <row r="44" spans="2:34">
      <c r="B44" s="1" t="s">
        <v>390</v>
      </c>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row>
    <row r="45" spans="2:34">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row>
    <row r="46" spans="2:34" s="812" customFormat="1" ht="17.45">
      <c r="B46" s="813" t="s">
        <v>391</v>
      </c>
      <c r="C46" s="825"/>
      <c r="D46" s="825"/>
      <c r="E46" s="825"/>
      <c r="F46" s="825"/>
      <c r="G46" s="825"/>
      <c r="H46" s="825"/>
      <c r="I46" s="825"/>
      <c r="J46" s="825"/>
      <c r="K46" s="825"/>
      <c r="L46" s="825"/>
      <c r="M46" s="825"/>
      <c r="N46" s="825"/>
      <c r="O46" s="825"/>
      <c r="P46" s="825"/>
      <c r="Q46" s="825"/>
      <c r="R46" s="825"/>
      <c r="S46" s="825"/>
      <c r="T46" s="825"/>
      <c r="U46" s="825"/>
      <c r="V46" s="825"/>
      <c r="W46" s="825"/>
      <c r="X46" s="825"/>
      <c r="Y46" s="825"/>
      <c r="Z46" s="825"/>
      <c r="AA46" s="825"/>
      <c r="AB46" s="825"/>
      <c r="AC46" s="825"/>
      <c r="AD46" s="825"/>
      <c r="AE46" s="825"/>
      <c r="AF46" s="825"/>
      <c r="AG46" s="825"/>
      <c r="AH46" s="825"/>
    </row>
    <row r="47" spans="2:34" ht="17.45">
      <c r="B47" s="826"/>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row>
    <row r="48" spans="2:34" s="812" customFormat="1" ht="17.45">
      <c r="B48" s="813" t="s">
        <v>392</v>
      </c>
      <c r="C48" s="825"/>
      <c r="D48" s="825"/>
      <c r="E48" s="825"/>
      <c r="F48" s="825"/>
      <c r="G48" s="825"/>
      <c r="H48" s="825"/>
      <c r="I48" s="825"/>
      <c r="J48" s="825"/>
      <c r="K48" s="825"/>
      <c r="L48" s="825"/>
      <c r="M48" s="825"/>
      <c r="N48" s="825"/>
      <c r="O48" s="825"/>
      <c r="P48" s="825"/>
      <c r="Q48" s="825"/>
      <c r="R48" s="825"/>
      <c r="S48" s="825"/>
      <c r="T48" s="825"/>
      <c r="U48" s="825"/>
      <c r="V48" s="825"/>
      <c r="W48" s="825"/>
      <c r="X48" s="825"/>
      <c r="Y48" s="825"/>
      <c r="Z48" s="825"/>
      <c r="AA48" s="825"/>
      <c r="AB48" s="825"/>
      <c r="AC48" s="825"/>
      <c r="AD48" s="825"/>
      <c r="AE48" s="825"/>
      <c r="AF48" s="825"/>
      <c r="AG48" s="825"/>
      <c r="AH48" s="825"/>
    </row>
    <row r="50" spans="2:10">
      <c r="C50">
        <v>2022</v>
      </c>
      <c r="D50">
        <f>+C50+1</f>
        <v>2023</v>
      </c>
      <c r="E50">
        <f t="shared" ref="E50" si="13">+D50+1</f>
        <v>2024</v>
      </c>
      <c r="F50">
        <v>2025</v>
      </c>
      <c r="G50">
        <f>+F50+1</f>
        <v>2026</v>
      </c>
      <c r="H50">
        <f t="shared" ref="H50:J50" si="14">+G50+1</f>
        <v>2027</v>
      </c>
      <c r="I50">
        <f t="shared" si="14"/>
        <v>2028</v>
      </c>
      <c r="J50">
        <f t="shared" si="14"/>
        <v>2029</v>
      </c>
    </row>
    <row r="51" spans="2:10">
      <c r="B51" t="s">
        <v>322</v>
      </c>
      <c r="C51">
        <v>84728</v>
      </c>
      <c r="D51">
        <v>19586</v>
      </c>
      <c r="E51">
        <v>93922</v>
      </c>
      <c r="F51" s="741">
        <f>+FCFF!Z61</f>
        <v>106547.59411384191</v>
      </c>
      <c r="G51" s="741">
        <f>+FCFF!AF61</f>
        <v>113196.00047835137</v>
      </c>
      <c r="H51" s="744">
        <f>+FCFF!AH61</f>
        <v>147035.95729994887</v>
      </c>
      <c r="I51" s="744">
        <f>+FCFF!AJ61</f>
        <v>155870.62539119564</v>
      </c>
      <c r="J51" s="741">
        <f>+FCFF!AL122</f>
        <v>169854.2992512077</v>
      </c>
    </row>
    <row r="52" spans="2:10">
      <c r="B52" t="s">
        <v>393</v>
      </c>
      <c r="C52">
        <v>915</v>
      </c>
      <c r="D52">
        <v>1977</v>
      </c>
      <c r="E52">
        <v>1119</v>
      </c>
      <c r="F52" s="741">
        <f>+FCFF!Z49</f>
        <v>6918.4058861580806</v>
      </c>
      <c r="G52" s="741">
        <f>+FCFF!AF49</f>
        <v>8165.4487195028842</v>
      </c>
      <c r="H52" s="741">
        <f>+FCFF!AH49</f>
        <v>10273.292744625849</v>
      </c>
      <c r="I52">
        <v>9495</v>
      </c>
      <c r="J52">
        <v>10231</v>
      </c>
    </row>
    <row r="53" spans="2:10">
      <c r="B53" t="s">
        <v>314</v>
      </c>
      <c r="D53">
        <f t="shared" ref="D53:E53" si="15">+D52+D51</f>
        <v>21563</v>
      </c>
      <c r="E53">
        <f t="shared" si="15"/>
        <v>95041</v>
      </c>
      <c r="F53">
        <f t="shared" ref="F53" si="16">+F52+F51</f>
        <v>113466</v>
      </c>
      <c r="G53" s="800">
        <f t="shared" ref="G53" si="17">+G52+G51</f>
        <v>121361.44919785425</v>
      </c>
      <c r="H53">
        <f t="shared" ref="H53" si="18">+H52+H51</f>
        <v>157309.25004457473</v>
      </c>
      <c r="I53">
        <f t="shared" ref="I53" si="19">+I52+I51</f>
        <v>165365.62539119564</v>
      </c>
      <c r="J53">
        <f t="shared" ref="J53" si="20">+J52+J51</f>
        <v>180085.2992512077</v>
      </c>
    </row>
    <row r="54" spans="2:10">
      <c r="B54" t="s">
        <v>394</v>
      </c>
      <c r="C54" s="744">
        <f>+BS!T38+BS!V44</f>
        <v>1269184</v>
      </c>
      <c r="D54" s="741">
        <f>+BS!Z38+BS!Z44</f>
        <v>1339215</v>
      </c>
      <c r="E54" s="741">
        <f>+BS!AF38+BS!AF44</f>
        <v>1568184</v>
      </c>
      <c r="F54" s="741">
        <f>+BS!AI38+BS!AI44</f>
        <v>1709387</v>
      </c>
      <c r="G54" s="801">
        <f>+$F$55*G53</f>
        <v>1828333.452840256</v>
      </c>
      <c r="H54" s="801">
        <f t="shared" ref="H54:J54" si="21">+$F$55*H53</f>
        <v>2369893.9506631545</v>
      </c>
      <c r="I54" s="801">
        <f t="shared" si="21"/>
        <v>2491264.7867253604</v>
      </c>
      <c r="J54" s="801">
        <f t="shared" si="21"/>
        <v>2713019.4898130205</v>
      </c>
    </row>
    <row r="55" spans="2:10">
      <c r="B55" t="s">
        <v>395</v>
      </c>
      <c r="C55" s="726" t="e">
        <f>+C54/C53</f>
        <v>#DIV/0!</v>
      </c>
      <c r="D55" s="726">
        <f>+D54/D53</f>
        <v>62.107081574920002</v>
      </c>
      <c r="E55" s="726">
        <f>+E54/E53</f>
        <v>16.500078913311096</v>
      </c>
      <c r="F55" s="824">
        <f>+F54/F53</f>
        <v>15.065191334849207</v>
      </c>
    </row>
    <row r="56" spans="2:10">
      <c r="B56" t="s">
        <v>396</v>
      </c>
      <c r="C56" s="729"/>
      <c r="D56" s="729"/>
      <c r="E56" s="729"/>
      <c r="G56">
        <f>+G54/1000</f>
        <v>1828.3334528402561</v>
      </c>
      <c r="H56">
        <f>+H54/1000</f>
        <v>2369.8939506631546</v>
      </c>
      <c r="I56">
        <f>+I54/1000</f>
        <v>2491.2647867253604</v>
      </c>
      <c r="J56">
        <f>+J54/1000</f>
        <v>2713.0194898130203</v>
      </c>
    </row>
    <row r="57" spans="2:10">
      <c r="C57" s="726"/>
      <c r="D57" s="726"/>
      <c r="E57" s="726"/>
    </row>
    <row r="58" spans="2:10">
      <c r="C58" s="726"/>
      <c r="D58" s="726"/>
      <c r="E58" s="726"/>
      <c r="F58" s="802"/>
    </row>
    <row r="59" spans="2:10" s="812" customFormat="1" ht="15.6">
      <c r="B59" s="849" t="s">
        <v>397</v>
      </c>
      <c r="C59" s="848"/>
      <c r="D59" s="848"/>
      <c r="E59" s="848"/>
    </row>
    <row r="60" spans="2:10">
      <c r="F60" s="727"/>
    </row>
    <row r="62" spans="2:10">
      <c r="B62" s="1" t="s">
        <v>398</v>
      </c>
      <c r="C62" s="1" t="s">
        <v>399</v>
      </c>
      <c r="D62" s="1" t="s">
        <v>400</v>
      </c>
      <c r="E62" s="1"/>
    </row>
    <row r="63" spans="2:10">
      <c r="B63" t="s">
        <v>401</v>
      </c>
      <c r="C63">
        <v>3</v>
      </c>
      <c r="D63">
        <v>0</v>
      </c>
    </row>
    <row r="64" spans="2:10">
      <c r="B64" t="s">
        <v>402</v>
      </c>
      <c r="C64">
        <v>7</v>
      </c>
      <c r="D64">
        <v>5</v>
      </c>
    </row>
    <row r="65" spans="2:20">
      <c r="B65" t="s">
        <v>403</v>
      </c>
      <c r="C65">
        <v>7</v>
      </c>
      <c r="D65">
        <v>7</v>
      </c>
      <c r="F65" s="729"/>
      <c r="G65" s="729"/>
      <c r="H65" s="729"/>
      <c r="I65" s="729"/>
      <c r="J65" s="729"/>
      <c r="K65" s="729"/>
      <c r="L65" s="729"/>
      <c r="M65" s="729"/>
      <c r="N65" s="729"/>
      <c r="O65" s="729"/>
      <c r="P65" s="729"/>
      <c r="Q65" s="729"/>
      <c r="R65" s="729"/>
      <c r="S65" s="729"/>
    </row>
    <row r="66" spans="2:20">
      <c r="B66" t="s">
        <v>404</v>
      </c>
      <c r="C66">
        <v>14</v>
      </c>
      <c r="D66">
        <v>44</v>
      </c>
      <c r="T66" s="729"/>
    </row>
    <row r="67" spans="2:20">
      <c r="B67" s="1"/>
      <c r="C67" s="1"/>
      <c r="D67" s="1"/>
      <c r="E67" s="1"/>
    </row>
    <row r="72" spans="2:20">
      <c r="C72" s="557"/>
    </row>
    <row r="81" spans="2:6">
      <c r="B81" s="1" t="s">
        <v>398</v>
      </c>
      <c r="C81" s="1" t="s">
        <v>405</v>
      </c>
      <c r="D81" s="1" t="s">
        <v>406</v>
      </c>
      <c r="E81" s="1" t="s">
        <v>407</v>
      </c>
      <c r="F81" s="1" t="s">
        <v>408</v>
      </c>
    </row>
    <row r="82" spans="2:6">
      <c r="B82" t="s">
        <v>401</v>
      </c>
      <c r="C82">
        <v>0</v>
      </c>
      <c r="D82">
        <v>1</v>
      </c>
      <c r="E82">
        <v>2</v>
      </c>
      <c r="F82">
        <v>3</v>
      </c>
    </row>
    <row r="83" spans="2:6">
      <c r="B83" t="s">
        <v>402</v>
      </c>
      <c r="C83">
        <v>0</v>
      </c>
      <c r="D83">
        <v>11</v>
      </c>
      <c r="E83">
        <v>1</v>
      </c>
      <c r="F83">
        <v>12</v>
      </c>
    </row>
    <row r="84" spans="2:6">
      <c r="B84" t="s">
        <v>403</v>
      </c>
      <c r="C84">
        <v>1</v>
      </c>
      <c r="D84">
        <v>12</v>
      </c>
      <c r="E84">
        <v>1</v>
      </c>
      <c r="F84">
        <v>14</v>
      </c>
    </row>
    <row r="85" spans="2:6">
      <c r="B85" t="s">
        <v>404</v>
      </c>
      <c r="C85">
        <v>32</v>
      </c>
      <c r="D85">
        <v>26</v>
      </c>
      <c r="E85">
        <v>0</v>
      </c>
      <c r="F85">
        <v>58</v>
      </c>
    </row>
    <row r="86" spans="2:6">
      <c r="B86" s="1"/>
      <c r="C86" s="1"/>
      <c r="D86" s="1"/>
      <c r="E86" s="1"/>
      <c r="F86" s="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50"/>
  <sheetViews>
    <sheetView showGridLines="0" topLeftCell="A15" zoomScale="62" zoomScaleNormal="115" workbookViewId="0">
      <selection activeCell="G50" sqref="G50"/>
    </sheetView>
  </sheetViews>
  <sheetFormatPr defaultColWidth="8.875" defaultRowHeight="15" customHeight="1"/>
  <cols>
    <col min="1" max="1" width="2.125" style="563" customWidth="1"/>
    <col min="2" max="2" width="50.625" style="563" customWidth="1"/>
    <col min="3" max="3" width="9.5" style="563" bestFit="1" customWidth="1"/>
    <col min="4" max="8" width="11.625" style="563" customWidth="1"/>
    <col min="9" max="9" width="1.625" style="563" customWidth="1"/>
    <col min="10" max="10" width="9" style="563" customWidth="1"/>
    <col min="11" max="11" width="40.625" style="563" customWidth="1"/>
    <col min="12" max="18" width="9" style="563" customWidth="1"/>
    <col min="19" max="16383" width="8.875" style="563"/>
    <col min="16384" max="16384" width="8.875" style="563" bestFit="1"/>
  </cols>
  <sheetData>
    <row r="1" spans="1:18" s="574" customFormat="1" ht="15" customHeight="1"/>
    <row r="2" spans="1:18" s="574" customFormat="1" ht="15" customHeight="1"/>
    <row r="3" spans="1:18" s="574" customFormat="1" ht="15" customHeight="1"/>
    <row r="4" spans="1:18" s="574" customFormat="1" ht="15" customHeight="1"/>
    <row r="5" spans="1:18" s="561" customFormat="1" ht="3.95" customHeight="1">
      <c r="A5" s="36"/>
      <c r="B5" s="36"/>
      <c r="C5" s="36"/>
      <c r="D5" s="36"/>
      <c r="E5" s="36"/>
      <c r="F5" s="36"/>
      <c r="G5" s="36"/>
      <c r="H5" s="36"/>
      <c r="I5" s="36"/>
      <c r="J5" s="36"/>
      <c r="K5" s="36"/>
      <c r="L5" s="36"/>
      <c r="M5" s="36"/>
      <c r="N5" s="36"/>
      <c r="O5" s="36"/>
      <c r="P5" s="36"/>
      <c r="Q5" s="36"/>
      <c r="R5" s="36"/>
    </row>
    <row r="7" spans="1:18" ht="15" customHeight="1">
      <c r="A7" s="611" t="s">
        <v>39</v>
      </c>
      <c r="B7" s="371" t="s">
        <v>409</v>
      </c>
      <c r="C7" s="32"/>
      <c r="D7" s="32"/>
      <c r="E7" s="32"/>
      <c r="F7" s="32"/>
      <c r="G7" s="32"/>
      <c r="H7" s="32"/>
      <c r="I7" s="32"/>
      <c r="J7" s="639"/>
      <c r="K7" s="371" t="s">
        <v>410</v>
      </c>
      <c r="L7" s="371"/>
      <c r="M7" s="371"/>
      <c r="N7" s="32"/>
      <c r="O7" s="32"/>
      <c r="P7" s="32"/>
      <c r="Q7" s="32"/>
      <c r="R7" s="32"/>
    </row>
    <row r="8" spans="1:18" ht="15" customHeight="1">
      <c r="A8" s="23"/>
      <c r="B8" s="32"/>
      <c r="C8" s="32"/>
      <c r="D8" s="32"/>
      <c r="E8" s="32"/>
      <c r="F8" s="32"/>
      <c r="G8" s="32"/>
      <c r="H8" s="32"/>
      <c r="I8" s="32"/>
      <c r="J8" s="639"/>
      <c r="K8" s="32"/>
      <c r="L8" s="371"/>
      <c r="M8" s="32"/>
      <c r="N8" s="640"/>
      <c r="O8" s="640"/>
      <c r="P8" s="641" t="s">
        <v>411</v>
      </c>
      <c r="Q8" s="640"/>
      <c r="R8" s="640"/>
    </row>
    <row r="9" spans="1:18" ht="15" customHeight="1">
      <c r="A9" s="23"/>
      <c r="B9" s="371"/>
      <c r="C9" s="32"/>
      <c r="D9" s="37">
        <v>2025</v>
      </c>
      <c r="E9" s="37">
        <f>+D9+1</f>
        <v>2026</v>
      </c>
      <c r="F9" s="37">
        <f t="shared" ref="F9:H9" si="0">+E9+1</f>
        <v>2027</v>
      </c>
      <c r="G9" s="37">
        <f t="shared" si="0"/>
        <v>2028</v>
      </c>
      <c r="H9" s="37">
        <f t="shared" si="0"/>
        <v>2029</v>
      </c>
      <c r="I9" s="593"/>
      <c r="J9" s="639"/>
      <c r="K9" s="371"/>
      <c r="L9" s="371"/>
      <c r="M9" s="371" t="s">
        <v>412</v>
      </c>
      <c r="N9" s="37">
        <v>2025</v>
      </c>
      <c r="O9" s="37">
        <f>+N9+1</f>
        <v>2026</v>
      </c>
      <c r="P9" s="37">
        <f t="shared" ref="P9:R9" si="1">+O9+1</f>
        <v>2027</v>
      </c>
      <c r="Q9" s="37">
        <f t="shared" si="1"/>
        <v>2028</v>
      </c>
      <c r="R9" s="37">
        <f t="shared" si="1"/>
        <v>2029</v>
      </c>
    </row>
    <row r="10" spans="1:18" ht="3.95" customHeight="1">
      <c r="A10" s="23"/>
      <c r="B10" s="420"/>
      <c r="C10" s="386"/>
      <c r="D10" s="386"/>
      <c r="E10" s="386"/>
      <c r="F10" s="386"/>
      <c r="G10" s="386"/>
      <c r="H10" s="386"/>
      <c r="I10" s="386"/>
      <c r="J10" s="639"/>
      <c r="K10" s="420"/>
      <c r="L10" s="420"/>
      <c r="M10" s="420"/>
      <c r="N10" s="386"/>
      <c r="O10" s="386"/>
      <c r="P10" s="386"/>
      <c r="Q10" s="386"/>
      <c r="R10" s="386"/>
    </row>
    <row r="11" spans="1:18" ht="3.95" customHeight="1">
      <c r="A11" s="23"/>
      <c r="B11" s="338"/>
      <c r="C11" s="419"/>
      <c r="D11" s="419"/>
      <c r="E11" s="419"/>
      <c r="F11" s="419"/>
      <c r="G11" s="419"/>
      <c r="H11" s="419"/>
      <c r="I11" s="639"/>
      <c r="J11" s="639"/>
      <c r="K11" s="639"/>
      <c r="L11" s="23"/>
      <c r="M11" s="639"/>
      <c r="N11" s="639"/>
      <c r="O11" s="639"/>
      <c r="P11" s="639"/>
      <c r="Q11" s="23"/>
      <c r="R11" s="23"/>
    </row>
    <row r="12" spans="1:18" ht="15" customHeight="1">
      <c r="A12" s="23"/>
      <c r="B12" s="480" t="s">
        <v>413</v>
      </c>
      <c r="C12" s="419"/>
      <c r="D12" s="419"/>
      <c r="E12" s="419"/>
      <c r="F12" s="419"/>
      <c r="G12" s="419"/>
      <c r="H12" s="419"/>
      <c r="I12" s="639"/>
      <c r="J12" s="639"/>
      <c r="K12" s="642" t="s">
        <v>414</v>
      </c>
      <c r="L12" s="23"/>
      <c r="M12" s="643">
        <v>7.6700000000000004E-2</v>
      </c>
      <c r="N12" s="644">
        <v>1</v>
      </c>
      <c r="O12" s="644">
        <v>1</v>
      </c>
      <c r="P12" s="644">
        <v>1</v>
      </c>
      <c r="Q12" s="644">
        <v>1</v>
      </c>
      <c r="R12" s="644">
        <v>1</v>
      </c>
    </row>
    <row r="13" spans="1:18" ht="15" customHeight="1">
      <c r="A13" s="23"/>
      <c r="B13" s="645" t="s">
        <v>415</v>
      </c>
      <c r="C13" s="23"/>
      <c r="D13" s="646">
        <f>+Inputs!J13/1000</f>
        <v>444.74450380000002</v>
      </c>
      <c r="E13" s="646">
        <f>+FCFF!AF99*FCFF!AF31/1000</f>
        <v>358.01627513367009</v>
      </c>
      <c r="F13" s="646">
        <f>+FCFF!AH99*FCFF!AH31/1000</f>
        <v>454.44894457321595</v>
      </c>
      <c r="G13" s="646">
        <f>+FCFF!AJ99*FCFF!AJ31/1000</f>
        <v>516.81224096106894</v>
      </c>
      <c r="H13" s="646">
        <f>+FCFF!AL99*FCFF!AL31/1000</f>
        <v>600.25423814241196</v>
      </c>
      <c r="I13" s="23"/>
      <c r="J13" s="639"/>
      <c r="K13" s="642"/>
      <c r="L13" s="23"/>
      <c r="M13" s="643"/>
      <c r="N13" s="644"/>
      <c r="O13" s="644"/>
      <c r="P13" s="644"/>
      <c r="Q13" s="644"/>
      <c r="R13" s="644"/>
    </row>
    <row r="14" spans="1:18" ht="15" customHeight="1">
      <c r="A14" s="23"/>
      <c r="B14" s="647" t="s">
        <v>416</v>
      </c>
      <c r="C14" s="23"/>
      <c r="D14" s="548">
        <f>IFERROR(D13/D35,"")</f>
        <v>0.20646116683937243</v>
      </c>
      <c r="E14" s="548">
        <f>IFERROR(E13/E35,"")</f>
        <v>0.1637506893581207</v>
      </c>
      <c r="F14" s="548">
        <f>IFERROR(E13/F35,"")</f>
        <v>0.1267609098518144</v>
      </c>
      <c r="G14" s="548">
        <f>IFERROR(F13/G35,"")</f>
        <v>0.15107623255337363</v>
      </c>
      <c r="H14" s="548">
        <f>IFERROR(G13/H35,"")</f>
        <v>0.15598235563832677</v>
      </c>
      <c r="I14" s="476"/>
      <c r="J14" s="476"/>
      <c r="K14" s="642"/>
      <c r="L14" s="23"/>
      <c r="M14" s="643"/>
      <c r="N14" s="644"/>
      <c r="O14" s="644"/>
      <c r="P14" s="644"/>
      <c r="Q14" s="644"/>
      <c r="R14" s="644"/>
    </row>
    <row r="15" spans="1:18" ht="15" customHeight="1">
      <c r="A15" s="23"/>
      <c r="B15" s="477" t="s">
        <v>417</v>
      </c>
      <c r="C15" s="23"/>
      <c r="D15" s="643">
        <v>4.2500000000000003E-2</v>
      </c>
      <c r="E15" s="643">
        <v>4.2500000000000003E-2</v>
      </c>
      <c r="F15" s="643">
        <v>4.2500000000000003E-2</v>
      </c>
      <c r="G15" s="643">
        <v>4.2500000000000003E-2</v>
      </c>
      <c r="H15" s="643">
        <v>4.2500000000000003E-2</v>
      </c>
      <c r="I15" s="549"/>
      <c r="J15" s="549"/>
      <c r="K15" s="642"/>
      <c r="L15" s="23"/>
      <c r="M15" s="643"/>
      <c r="N15" s="644"/>
      <c r="O15" s="644"/>
      <c r="P15" s="644"/>
      <c r="Q15" s="644"/>
      <c r="R15" s="644"/>
    </row>
    <row r="16" spans="1:18" ht="15" customHeight="1">
      <c r="A16" s="23"/>
      <c r="B16" s="477" t="s">
        <v>22</v>
      </c>
      <c r="C16" s="23"/>
      <c r="D16" s="648">
        <f>+Inputs!M18</f>
        <v>1.5359179999999999</v>
      </c>
      <c r="E16" s="649">
        <v>1.5359179999999999</v>
      </c>
      <c r="F16" s="649">
        <v>1.5359179999999999</v>
      </c>
      <c r="G16" s="649">
        <v>1.5359179999999999</v>
      </c>
      <c r="H16" s="649">
        <v>1.5359179999999999</v>
      </c>
      <c r="I16" s="650"/>
      <c r="J16" s="650"/>
      <c r="K16" s="642"/>
      <c r="L16" s="23"/>
      <c r="M16" s="643"/>
      <c r="N16" s="644"/>
      <c r="O16" s="644"/>
      <c r="P16" s="644"/>
      <c r="Q16" s="644"/>
      <c r="R16" s="644"/>
    </row>
    <row r="17" spans="2:18" ht="15" customHeight="1">
      <c r="B17" s="477" t="s">
        <v>418</v>
      </c>
      <c r="C17" s="23"/>
      <c r="D17" s="649">
        <f>+D16/(1+(D28/D13)*(1-D32))</f>
        <v>0.31710742244959522</v>
      </c>
      <c r="E17" s="649">
        <f>+E16/(1+(E28/E13)*(1-E32))</f>
        <v>0.25150763129754605</v>
      </c>
      <c r="F17" s="649">
        <f>+F16/(1+(F28/F13)*(1-F32))</f>
        <v>0.24713582590423711</v>
      </c>
      <c r="G17" s="649">
        <f>+G16/(1+(G28/G13)*(1-G32))</f>
        <v>0.26388327699272901</v>
      </c>
      <c r="H17" s="649">
        <f>+H16/(1+(H28/H13)*(1-H32))</f>
        <v>0.27825690378685741</v>
      </c>
      <c r="I17" s="650"/>
      <c r="J17" s="650"/>
      <c r="K17" s="650"/>
      <c r="L17" s="23"/>
      <c r="M17" s="650"/>
      <c r="N17" s="650"/>
      <c r="O17" s="650"/>
      <c r="P17" s="650"/>
      <c r="Q17" s="23"/>
      <c r="R17" s="23"/>
    </row>
    <row r="18" spans="2:18" ht="15" customHeight="1">
      <c r="B18" s="477" t="s">
        <v>410</v>
      </c>
      <c r="C18" s="23"/>
      <c r="D18" s="651">
        <f>+N18</f>
        <v>7.6700000000000004E-2</v>
      </c>
      <c r="E18" s="651">
        <f>+D18*0.98</f>
        <v>7.5165999999999997E-2</v>
      </c>
      <c r="F18" s="651">
        <f t="shared" ref="F18:H18" si="2">+E18*0.98</f>
        <v>7.3662679999999994E-2</v>
      </c>
      <c r="G18" s="651">
        <f t="shared" si="2"/>
        <v>7.2189426399999992E-2</v>
      </c>
      <c r="H18" s="651">
        <f t="shared" si="2"/>
        <v>7.0745637871999986E-2</v>
      </c>
      <c r="I18" s="652"/>
      <c r="J18" s="652"/>
      <c r="K18" s="653" t="s">
        <v>412</v>
      </c>
      <c r="L18" s="291"/>
      <c r="M18" s="291"/>
      <c r="N18" s="654">
        <v>7.6700000000000004E-2</v>
      </c>
      <c r="O18" s="654">
        <v>7.5165999999999997E-2</v>
      </c>
      <c r="P18" s="654">
        <v>7.3662679999999994E-2</v>
      </c>
      <c r="Q18" s="654">
        <v>7.2189426399999992E-2</v>
      </c>
      <c r="R18" s="654">
        <v>7.0745637871999986E-2</v>
      </c>
    </row>
    <row r="19" spans="2:18" ht="15" customHeight="1">
      <c r="B19" s="655" t="s">
        <v>419</v>
      </c>
      <c r="C19" s="23"/>
      <c r="D19" s="656">
        <f>IFERROR(+D15+D16*D18,"")</f>
        <v>0.16030491059999999</v>
      </c>
      <c r="E19" s="656">
        <f>IFERROR(+E15+E16*E18,"")</f>
        <v>0.15794881238799999</v>
      </c>
      <c r="F19" s="656">
        <f>IFERROR(+F15+F16*F18,"")</f>
        <v>0.15563983614023999</v>
      </c>
      <c r="G19" s="656">
        <f>IFERROR(+G15+G16*G18,"")</f>
        <v>0.15337703941743519</v>
      </c>
      <c r="H19" s="656">
        <f>IFERROR(+H15+H16*H18,"")</f>
        <v>0.15115949862908648</v>
      </c>
      <c r="I19" s="657"/>
      <c r="J19" s="657"/>
      <c r="K19" s="657"/>
      <c r="L19" s="657"/>
      <c r="M19" s="657"/>
      <c r="N19" s="657"/>
      <c r="O19" s="657"/>
      <c r="P19" s="23"/>
      <c r="Q19" s="23"/>
      <c r="R19" s="23"/>
    </row>
    <row r="20" spans="2:18" ht="15" customHeight="1">
      <c r="B20" s="374"/>
      <c r="C20" s="23"/>
      <c r="D20" s="23"/>
      <c r="E20" s="23"/>
      <c r="F20" s="23"/>
      <c r="G20" s="23"/>
      <c r="H20" s="23"/>
      <c r="I20" s="549"/>
      <c r="J20" s="549"/>
      <c r="K20" s="23"/>
      <c r="L20" s="23"/>
      <c r="M20" s="23"/>
      <c r="N20" s="23"/>
      <c r="O20" s="23"/>
      <c r="P20" s="23"/>
      <c r="Q20" s="23"/>
      <c r="R20" s="23"/>
    </row>
    <row r="21" spans="2:18" ht="15" customHeight="1">
      <c r="B21" s="480" t="s">
        <v>420</v>
      </c>
      <c r="C21" s="23"/>
      <c r="D21" s="23"/>
      <c r="E21" s="23"/>
      <c r="F21" s="23"/>
      <c r="G21" s="23"/>
      <c r="H21" s="23"/>
      <c r="I21" s="23"/>
      <c r="J21" s="23"/>
      <c r="K21" s="371" t="s">
        <v>421</v>
      </c>
      <c r="L21" s="371"/>
      <c r="M21" s="371"/>
      <c r="N21" s="371"/>
      <c r="O21" s="371"/>
      <c r="P21" s="371"/>
      <c r="Q21" s="371"/>
      <c r="R21" s="371"/>
    </row>
    <row r="22" spans="2:18" ht="15" customHeight="1">
      <c r="B22" s="477" t="s">
        <v>422</v>
      </c>
      <c r="C22" s="23"/>
      <c r="D22" s="95">
        <f>IFERROR(Inputs!J14,0)</f>
        <v>0</v>
      </c>
      <c r="E22" s="24">
        <v>0</v>
      </c>
      <c r="F22" s="24">
        <v>0</v>
      </c>
      <c r="G22" s="24">
        <v>0</v>
      </c>
      <c r="H22" s="24">
        <v>0</v>
      </c>
      <c r="I22" s="23"/>
      <c r="J22" s="23"/>
      <c r="K22" s="371"/>
      <c r="L22" s="371"/>
      <c r="M22" s="371"/>
      <c r="N22" s="371"/>
      <c r="O22" s="371"/>
      <c r="P22" s="371"/>
      <c r="Q22" s="371"/>
      <c r="R22" s="371"/>
    </row>
    <row r="23" spans="2:18" ht="15" customHeight="1">
      <c r="B23" s="647" t="s">
        <v>423</v>
      </c>
      <c r="C23" s="23"/>
      <c r="D23" s="476">
        <f>+D22/D35</f>
        <v>0</v>
      </c>
      <c r="E23" s="24">
        <v>0</v>
      </c>
      <c r="F23" s="24">
        <v>0</v>
      </c>
      <c r="G23" s="24">
        <v>0</v>
      </c>
      <c r="H23" s="24">
        <v>0</v>
      </c>
      <c r="I23" s="23"/>
      <c r="J23" s="23"/>
      <c r="K23" s="371"/>
      <c r="L23" s="371"/>
      <c r="M23" s="371"/>
      <c r="N23" s="371"/>
      <c r="O23" s="371"/>
      <c r="P23" s="371"/>
      <c r="Q23" s="371"/>
      <c r="R23" s="371"/>
    </row>
    <row r="24" spans="2:18" ht="15" customHeight="1">
      <c r="B24" s="477" t="s">
        <v>424</v>
      </c>
      <c r="C24" s="23"/>
      <c r="D24" s="424">
        <f>+IS!AF50</f>
        <v>0</v>
      </c>
      <c r="E24" s="658">
        <f>D24</f>
        <v>0</v>
      </c>
      <c r="F24" s="658">
        <f t="shared" ref="F24:H24" si="3">E24</f>
        <v>0</v>
      </c>
      <c r="G24" s="658">
        <f t="shared" si="3"/>
        <v>0</v>
      </c>
      <c r="H24" s="658">
        <f t="shared" si="3"/>
        <v>0</v>
      </c>
      <c r="I24" s="23"/>
      <c r="J24" s="23"/>
      <c r="K24" s="23"/>
      <c r="L24" s="23"/>
      <c r="M24" s="23"/>
      <c r="N24" s="23"/>
      <c r="O24" s="659"/>
      <c r="P24" s="23"/>
      <c r="Q24" s="23"/>
      <c r="R24" s="23"/>
    </row>
    <row r="25" spans="2:18" ht="15" customHeight="1">
      <c r="B25" s="655" t="s">
        <v>425</v>
      </c>
      <c r="C25" s="23"/>
      <c r="D25" s="656">
        <f>IFERROR(D24/D22,0)</f>
        <v>0</v>
      </c>
      <c r="E25" s="656">
        <f>IFERROR(E24/E22,0)</f>
        <v>0</v>
      </c>
      <c r="F25" s="656">
        <f>IFERROR(F24/F22,0)</f>
        <v>0</v>
      </c>
      <c r="G25" s="656">
        <f>IFERROR(G24/G22,0)</f>
        <v>0</v>
      </c>
      <c r="H25" s="656">
        <f>IFERROR(H24/H22,0)</f>
        <v>0</v>
      </c>
      <c r="I25" s="23"/>
      <c r="J25" s="23"/>
      <c r="K25" s="23"/>
      <c r="L25" s="23"/>
      <c r="M25" s="23"/>
      <c r="N25" s="23"/>
      <c r="O25" s="659"/>
      <c r="P25" s="23"/>
      <c r="Q25" s="23"/>
      <c r="R25" s="23"/>
    </row>
    <row r="26" spans="2:18" ht="15" customHeight="1">
      <c r="B26" s="374"/>
      <c r="C26" s="23"/>
      <c r="D26" s="23"/>
      <c r="E26" s="23"/>
      <c r="F26" s="23"/>
      <c r="G26" s="23"/>
      <c r="H26" s="23"/>
      <c r="I26" s="23"/>
      <c r="J26" s="23"/>
      <c r="K26" s="23"/>
      <c r="L26" s="23"/>
      <c r="M26" s="23"/>
      <c r="N26" s="23"/>
      <c r="O26" s="659"/>
      <c r="P26" s="23"/>
      <c r="Q26" s="23"/>
      <c r="R26" s="23"/>
    </row>
    <row r="27" spans="2:18" ht="15" customHeight="1">
      <c r="B27" s="374" t="s">
        <v>426</v>
      </c>
      <c r="C27" s="23"/>
      <c r="D27" s="23"/>
      <c r="E27" s="23"/>
      <c r="F27" s="23"/>
      <c r="G27" s="23"/>
      <c r="H27" s="23"/>
      <c r="I27" s="23"/>
      <c r="J27" s="23"/>
      <c r="K27" s="23"/>
      <c r="L27" s="23"/>
      <c r="M27" s="23"/>
      <c r="N27" s="23"/>
      <c r="O27" s="659"/>
      <c r="P27" s="23"/>
      <c r="Q27" s="23"/>
      <c r="R27" s="23"/>
    </row>
    <row r="28" spans="2:18" ht="15" customHeight="1">
      <c r="B28" s="645" t="s">
        <v>427</v>
      </c>
      <c r="C28" s="609">
        <f>+BS!AF38+BS!AF39+BS!AF44+BS!AF45</f>
        <v>1568184</v>
      </c>
      <c r="D28" s="660">
        <f>(+BS!AI38+BS!AI39+BS!AI44+BS!AI45)/1000</f>
        <v>1709.3869999999999</v>
      </c>
      <c r="E28" s="660">
        <f>+Assumptions!G56</f>
        <v>1828.3334528402561</v>
      </c>
      <c r="F28" s="660">
        <f>+Assumptions!H56</f>
        <v>2369.8939506631546</v>
      </c>
      <c r="G28" s="660">
        <f>+Assumptions!I56</f>
        <v>2491.2647867253604</v>
      </c>
      <c r="H28" s="660">
        <f>+Assumptions!J56</f>
        <v>2713.0194898130203</v>
      </c>
      <c r="I28" s="23"/>
      <c r="J28" s="23"/>
      <c r="K28" s="23"/>
      <c r="L28" s="23"/>
      <c r="M28" s="23"/>
      <c r="N28" s="23"/>
      <c r="O28" s="659"/>
      <c r="P28" s="23"/>
      <c r="Q28" s="23"/>
      <c r="R28" s="23"/>
    </row>
    <row r="29" spans="2:18" ht="15" customHeight="1">
      <c r="B29" s="647" t="s">
        <v>428</v>
      </c>
      <c r="C29" s="23"/>
      <c r="D29" s="548">
        <f>IFERROR(D28/D35,"")</f>
        <v>0.79353883316062768</v>
      </c>
      <c r="E29" s="548">
        <f t="shared" ref="E29:H29" si="4">IFERROR(E28/E35,"")</f>
        <v>0.83624931064187924</v>
      </c>
      <c r="F29" s="548">
        <f>IFERROR(F28/F35,"")</f>
        <v>0.83909569006663298</v>
      </c>
      <c r="G29" s="548">
        <f t="shared" si="4"/>
        <v>0.82819181948988874</v>
      </c>
      <c r="H29" s="548">
        <f t="shared" si="4"/>
        <v>0.81883348994747285</v>
      </c>
      <c r="I29" s="659"/>
      <c r="J29" s="659"/>
      <c r="K29" s="659"/>
      <c r="L29" s="659"/>
      <c r="M29" s="659"/>
      <c r="N29" s="659"/>
      <c r="O29" s="23"/>
      <c r="P29" s="23"/>
      <c r="Q29" s="23"/>
      <c r="R29" s="23"/>
    </row>
    <row r="30" spans="2:18" ht="15" customHeight="1">
      <c r="B30" s="477" t="s">
        <v>429</v>
      </c>
      <c r="C30" s="23"/>
      <c r="D30" s="549">
        <f>+D31-D15</f>
        <v>5.6477001697099606E-2</v>
      </c>
      <c r="E30" s="549">
        <f>+D30</f>
        <v>5.6477001697099606E-2</v>
      </c>
      <c r="F30" s="549">
        <f t="shared" ref="F30:H30" si="5">+E30</f>
        <v>5.6477001697099606E-2</v>
      </c>
      <c r="G30" s="549">
        <f t="shared" si="5"/>
        <v>5.6477001697099606E-2</v>
      </c>
      <c r="H30" s="549">
        <f t="shared" si="5"/>
        <v>5.6477001697099606E-2</v>
      </c>
      <c r="I30" s="650"/>
      <c r="J30" s="650"/>
      <c r="K30" s="650"/>
      <c r="L30" s="650"/>
      <c r="M30" s="650"/>
      <c r="N30" s="650"/>
      <c r="O30" s="650"/>
      <c r="P30" s="23"/>
      <c r="Q30" s="23"/>
      <c r="R30" s="23"/>
    </row>
    <row r="31" spans="2:18" ht="15" customHeight="1">
      <c r="B31" s="477" t="s">
        <v>430</v>
      </c>
      <c r="C31" s="23"/>
      <c r="D31" s="606">
        <f>+(IS!AI36+IS!AH36+IS!AE36+IS!AD36)/(WACC!D28*1000)</f>
        <v>9.8977001697099609E-2</v>
      </c>
      <c r="E31" s="606">
        <f>+E15+E30</f>
        <v>9.8977001697099609E-2</v>
      </c>
      <c r="F31" s="606">
        <f t="shared" ref="F31:H31" si="6">+F15+F30</f>
        <v>9.8977001697099609E-2</v>
      </c>
      <c r="G31" s="606">
        <f t="shared" si="6"/>
        <v>9.8977001697099609E-2</v>
      </c>
      <c r="H31" s="606">
        <f t="shared" si="6"/>
        <v>9.8977001697099609E-2</v>
      </c>
      <c r="I31" s="650"/>
      <c r="J31" s="650"/>
      <c r="K31" s="650"/>
      <c r="L31" s="650"/>
      <c r="M31" s="650"/>
      <c r="N31" s="650"/>
      <c r="O31" s="650"/>
      <c r="P31" s="23"/>
      <c r="Q31" s="23"/>
      <c r="R31" s="23"/>
    </row>
    <row r="32" spans="2:18" ht="15" customHeight="1">
      <c r="B32" s="477" t="s">
        <v>431</v>
      </c>
      <c r="C32" s="23"/>
      <c r="D32" s="661">
        <v>0</v>
      </c>
      <c r="E32" s="661">
        <v>0</v>
      </c>
      <c r="F32" s="661">
        <v>0</v>
      </c>
      <c r="G32" s="661">
        <v>0</v>
      </c>
      <c r="H32" s="661">
        <v>0</v>
      </c>
      <c r="I32" s="650"/>
      <c r="J32" s="650"/>
      <c r="K32" s="650"/>
      <c r="L32" s="650"/>
      <c r="M32" s="650"/>
      <c r="N32" s="650"/>
      <c r="O32" s="23"/>
      <c r="P32" s="23"/>
      <c r="Q32" s="23"/>
      <c r="R32" s="23"/>
    </row>
    <row r="33" spans="1:14" ht="15" customHeight="1">
      <c r="A33" s="23"/>
      <c r="B33" s="655" t="s">
        <v>432</v>
      </c>
      <c r="C33" s="23"/>
      <c r="D33" s="656">
        <f>+D31*(1-D32)</f>
        <v>9.8977001697099609E-2</v>
      </c>
      <c r="E33" s="656">
        <f>+E31*(1-E32)</f>
        <v>9.8977001697099609E-2</v>
      </c>
      <c r="F33" s="656">
        <f>+F31*(1-F32)</f>
        <v>9.8977001697099609E-2</v>
      </c>
      <c r="G33" s="656">
        <f>+G31*(1-G32)</f>
        <v>9.8977001697099609E-2</v>
      </c>
      <c r="H33" s="656">
        <f>+H31*(1-H32)</f>
        <v>9.8977001697099609E-2</v>
      </c>
      <c r="I33" s="650"/>
      <c r="J33" s="650"/>
      <c r="K33" s="650"/>
      <c r="L33" s="650"/>
      <c r="M33" s="650"/>
      <c r="N33" s="650"/>
    </row>
    <row r="34" spans="1:14" ht="15" customHeight="1">
      <c r="A34" s="23"/>
      <c r="B34" s="372"/>
      <c r="C34" s="23"/>
      <c r="D34" s="656"/>
      <c r="E34" s="656"/>
      <c r="F34" s="656"/>
      <c r="G34" s="656"/>
      <c r="H34" s="656"/>
      <c r="I34" s="23"/>
      <c r="J34" s="23"/>
      <c r="K34" s="23"/>
      <c r="L34" s="23"/>
      <c r="M34" s="23"/>
      <c r="N34" s="23"/>
    </row>
    <row r="35" spans="1:14" ht="15" customHeight="1">
      <c r="A35" s="23"/>
      <c r="B35" s="374" t="s">
        <v>408</v>
      </c>
      <c r="C35" s="23"/>
      <c r="D35" s="659">
        <f>+D13+D24+D28</f>
        <v>2154.1315037999998</v>
      </c>
      <c r="E35" s="659">
        <f>+E13+E24+E28</f>
        <v>2186.3497279739263</v>
      </c>
      <c r="F35" s="659">
        <f>+F13+F24+F28</f>
        <v>2824.3428952363706</v>
      </c>
      <c r="G35" s="659">
        <f>+G13+G24+G28</f>
        <v>3008.0770276864296</v>
      </c>
      <c r="H35" s="659">
        <f>+H13+H24+H28</f>
        <v>3313.2737279554322</v>
      </c>
      <c r="I35" s="23"/>
      <c r="J35" s="23"/>
      <c r="K35" s="23"/>
      <c r="L35" s="23"/>
      <c r="M35" s="23"/>
      <c r="N35" s="23"/>
    </row>
    <row r="36" spans="1:14" ht="15" customHeight="1">
      <c r="A36" s="23"/>
      <c r="B36" s="374"/>
      <c r="C36" s="23"/>
      <c r="D36" s="23"/>
      <c r="E36" s="23"/>
      <c r="F36" s="23"/>
      <c r="G36" s="23"/>
      <c r="H36" s="23"/>
      <c r="I36" s="659"/>
      <c r="J36" s="659"/>
      <c r="K36" s="659"/>
      <c r="L36" s="659"/>
      <c r="M36" s="659"/>
      <c r="N36" s="659"/>
    </row>
    <row r="37" spans="1:14" ht="15" customHeight="1">
      <c r="A37" s="23"/>
      <c r="B37" s="374" t="s">
        <v>433</v>
      </c>
      <c r="C37" s="23"/>
      <c r="D37" s="662"/>
      <c r="E37" s="662"/>
      <c r="F37" s="662"/>
      <c r="G37" s="662"/>
      <c r="H37" s="662"/>
      <c r="I37" s="23"/>
      <c r="J37" s="23"/>
      <c r="K37" s="23"/>
      <c r="L37" s="23"/>
      <c r="M37" s="23"/>
      <c r="N37" s="23"/>
    </row>
    <row r="38" spans="1:14" ht="15" customHeight="1">
      <c r="A38" s="23"/>
      <c r="B38" s="374"/>
      <c r="C38" s="23"/>
      <c r="D38" s="23"/>
      <c r="E38" s="23"/>
      <c r="F38" s="23"/>
      <c r="G38" s="23"/>
      <c r="H38" s="23"/>
      <c r="I38" s="650"/>
      <c r="J38" s="650"/>
      <c r="K38" s="650"/>
      <c r="L38" s="650"/>
      <c r="M38" s="650"/>
      <c r="N38" s="650"/>
    </row>
    <row r="39" spans="1:14" ht="15" customHeight="1">
      <c r="A39" s="611" t="s">
        <v>39</v>
      </c>
      <c r="B39" s="663" t="s">
        <v>434</v>
      </c>
      <c r="C39" s="664"/>
      <c r="D39" s="665">
        <f>+D19*D14+D25*D23+D33*D29+D37</f>
        <v>0.11163883332901117</v>
      </c>
      <c r="E39" s="665">
        <f>+D39*0.9</f>
        <v>0.10047494999611006</v>
      </c>
      <c r="F39" s="665">
        <f>+F19*F14+F25*F23+F33*F29+F37</f>
        <v>0.10278022277807822</v>
      </c>
      <c r="G39" s="665">
        <f>+G19*G14+G25*G23+G33*G29+G37</f>
        <v>0.10514356839855112</v>
      </c>
      <c r="H39" s="856">
        <f>+H19*H14+H25*H23+H33*H29+H37</f>
        <v>0.10462389839744636</v>
      </c>
      <c r="I39" s="23"/>
      <c r="J39" s="23"/>
      <c r="K39" s="23"/>
      <c r="L39" s="23"/>
      <c r="M39" s="23"/>
      <c r="N39" s="23"/>
    </row>
    <row r="40" spans="1:14" ht="13.9">
      <c r="A40" s="23"/>
      <c r="B40" s="23"/>
      <c r="C40" s="23"/>
      <c r="D40" s="549">
        <f>+AVERAGE(D39:H39)</f>
        <v>0.10493229457983939</v>
      </c>
      <c r="E40" s="23"/>
      <c r="F40" s="23"/>
      <c r="G40" s="23"/>
      <c r="H40" s="23"/>
      <c r="I40" s="666"/>
      <c r="J40" s="666"/>
      <c r="K40" s="666"/>
      <c r="L40" s="666"/>
      <c r="M40" s="666"/>
      <c r="N40" s="666"/>
    </row>
    <row r="41" spans="1:14" ht="13.9">
      <c r="A41" s="23"/>
      <c r="B41" s="23" t="s">
        <v>435</v>
      </c>
      <c r="C41" s="25"/>
      <c r="D41" s="24">
        <f>+FCFF!Z126</f>
        <v>115418.66735704229</v>
      </c>
      <c r="E41" s="24">
        <f>+FCFF!AF126</f>
        <v>121119.72051183599</v>
      </c>
      <c r="F41" s="24">
        <f>+FCFF!AH126</f>
        <v>154387.75516494631</v>
      </c>
      <c r="G41" s="24">
        <f>+FCFF!AJ126</f>
        <v>162105.45040684348</v>
      </c>
      <c r="H41" s="24">
        <f>+FCFF!AL126</f>
        <v>174949.92822874393</v>
      </c>
      <c r="I41" s="666"/>
      <c r="J41" s="666"/>
      <c r="K41" s="666"/>
      <c r="L41" s="666"/>
      <c r="M41" s="666"/>
      <c r="N41" s="666"/>
    </row>
    <row r="42" spans="1:14" ht="13.9">
      <c r="A42" s="23"/>
      <c r="B42" s="23" t="s">
        <v>436</v>
      </c>
      <c r="C42" s="25">
        <v>0</v>
      </c>
      <c r="D42" s="24">
        <f>+FCFF!Z112+FCFF!Z115</f>
        <v>0</v>
      </c>
      <c r="E42" s="24">
        <f>+FCFF!AF112+FCFF!AF115</f>
        <v>0</v>
      </c>
      <c r="F42" s="24">
        <f>+FCFF!AH112+FCFF!AH115</f>
        <v>0</v>
      </c>
      <c r="G42" s="24">
        <f>+FCFF!AJ112+FCFF!AJ115</f>
        <v>0</v>
      </c>
      <c r="H42" s="24">
        <f>+FCFF!AL112+FCFF!AL115</f>
        <v>0</v>
      </c>
      <c r="I42" s="666"/>
      <c r="J42" s="666"/>
      <c r="K42" s="666"/>
      <c r="L42" s="666"/>
      <c r="M42" s="666"/>
      <c r="N42" s="666"/>
    </row>
    <row r="43" spans="1:14" ht="13.9">
      <c r="A43" s="23"/>
      <c r="B43" s="23" t="s">
        <v>437</v>
      </c>
      <c r="C43" s="48">
        <f>+BS!AF54</f>
        <v>2949583</v>
      </c>
      <c r="D43" s="24">
        <f>+C43+D41+D42</f>
        <v>3065001.6673570424</v>
      </c>
      <c r="E43" s="24">
        <f t="shared" ref="E43:H43" si="7">+D43+E41+E42</f>
        <v>3186121.3878688784</v>
      </c>
      <c r="F43" s="24">
        <f t="shared" si="7"/>
        <v>3340509.1430338249</v>
      </c>
      <c r="G43" s="24">
        <f t="shared" si="7"/>
        <v>3502614.5934406682</v>
      </c>
      <c r="H43" s="24">
        <f t="shared" si="7"/>
        <v>3677564.521669412</v>
      </c>
      <c r="I43" s="666"/>
      <c r="J43" s="666"/>
      <c r="K43" s="666"/>
      <c r="L43" s="666"/>
      <c r="M43" s="666"/>
      <c r="N43" s="666"/>
    </row>
    <row r="44" spans="1:14" ht="13.9">
      <c r="A44" s="23"/>
      <c r="B44" s="23" t="s">
        <v>438</v>
      </c>
      <c r="C44" s="48">
        <f>+C43+C28</f>
        <v>4517767</v>
      </c>
      <c r="D44" s="24">
        <f t="shared" ref="D44:G44" si="8">+D43+D28</f>
        <v>3066711.0543570425</v>
      </c>
      <c r="E44" s="24">
        <f t="shared" si="8"/>
        <v>3187949.7213217188</v>
      </c>
      <c r="F44" s="24">
        <f t="shared" si="8"/>
        <v>3342879.0369844879</v>
      </c>
      <c r="G44" s="24">
        <f t="shared" si="8"/>
        <v>3505105.8582273936</v>
      </c>
      <c r="H44" s="24">
        <f>+H43+H28</f>
        <v>3680277.5411592252</v>
      </c>
      <c r="I44" s="666"/>
      <c r="J44" s="666"/>
      <c r="K44" s="23"/>
      <c r="L44" s="666"/>
      <c r="M44" s="666"/>
      <c r="N44" s="666"/>
    </row>
    <row r="45" spans="1:14" ht="15" customHeight="1">
      <c r="A45" s="611" t="s">
        <v>39</v>
      </c>
      <c r="B45" s="607" t="s">
        <v>253</v>
      </c>
      <c r="C45" s="667"/>
      <c r="D45" s="668">
        <f>+D41/((D44+C44)/2)</f>
        <v>3.0435493788722328E-2</v>
      </c>
      <c r="E45" s="668">
        <f t="shared" ref="E45:H45" si="9">+E41/((E44+D44)/2)</f>
        <v>3.8729429094799137E-2</v>
      </c>
      <c r="F45" s="668">
        <f t="shared" si="9"/>
        <v>4.727968252684283E-2</v>
      </c>
      <c r="G45" s="668">
        <f t="shared" si="9"/>
        <v>4.7343985971752885E-2</v>
      </c>
      <c r="H45" s="669">
        <f t="shared" si="9"/>
        <v>4.8696059348392898E-2</v>
      </c>
      <c r="I45" s="23"/>
      <c r="J45" s="23"/>
      <c r="K45" s="23"/>
      <c r="L45" s="23"/>
      <c r="M45" s="23"/>
      <c r="N45" s="23"/>
    </row>
    <row r="46" spans="1:14" ht="15" customHeight="1">
      <c r="A46" s="23"/>
      <c r="B46" s="23"/>
      <c r="C46" s="23"/>
      <c r="D46" s="23"/>
      <c r="E46" s="23"/>
      <c r="F46" s="23"/>
      <c r="G46" s="23"/>
      <c r="H46" s="23"/>
      <c r="I46" s="23"/>
      <c r="J46" s="23"/>
      <c r="K46" s="23"/>
      <c r="L46" s="23"/>
      <c r="M46" s="23"/>
      <c r="N46" s="23"/>
    </row>
    <row r="48" spans="1:14" ht="15" customHeight="1">
      <c r="A48" s="23"/>
      <c r="B48" s="23" t="s">
        <v>439</v>
      </c>
      <c r="C48" s="23"/>
      <c r="D48" s="23"/>
      <c r="E48" s="660"/>
      <c r="F48" s="660"/>
      <c r="G48" s="660"/>
      <c r="H48" s="660"/>
      <c r="I48" s="23"/>
      <c r="J48" s="23"/>
      <c r="K48" s="23"/>
      <c r="L48" s="23"/>
      <c r="M48" s="23"/>
      <c r="N48" s="23"/>
    </row>
    <row r="49" spans="2:23" ht="15" customHeight="1">
      <c r="B49" s="23" t="s">
        <v>440</v>
      </c>
      <c r="C49" s="23"/>
      <c r="D49" s="23"/>
      <c r="E49" s="23"/>
      <c r="F49" s="23"/>
      <c r="G49" s="23"/>
      <c r="H49" s="23"/>
      <c r="I49" s="23"/>
      <c r="J49" s="23"/>
      <c r="K49" s="23"/>
      <c r="L49" s="23"/>
      <c r="M49" s="23"/>
      <c r="N49" s="23"/>
      <c r="O49" s="23"/>
      <c r="P49" s="23"/>
      <c r="Q49" s="23"/>
      <c r="R49" s="23"/>
      <c r="S49" s="23"/>
      <c r="T49" s="23"/>
      <c r="U49" s="23"/>
      <c r="V49" s="23"/>
      <c r="W49" s="23" t="s">
        <v>441</v>
      </c>
    </row>
    <row r="50" spans="2:23" ht="15" customHeight="1">
      <c r="B50" s="23" t="s">
        <v>442</v>
      </c>
      <c r="C50" s="23"/>
      <c r="D50" s="23"/>
      <c r="E50" s="23"/>
      <c r="F50" s="23"/>
      <c r="G50" s="23"/>
      <c r="H50" s="23"/>
      <c r="I50" s="23"/>
      <c r="J50" s="23"/>
      <c r="K50" s="23"/>
      <c r="L50" s="23"/>
      <c r="M50" s="23"/>
      <c r="N50" s="23"/>
      <c r="O50" s="23"/>
      <c r="P50" s="23"/>
      <c r="Q50" s="23"/>
      <c r="R50" s="23"/>
      <c r="S50" s="23"/>
      <c r="T50" s="23"/>
      <c r="U50" s="23"/>
      <c r="V50" s="23"/>
      <c r="W50" s="23"/>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abSelected="1" zoomScale="89" zoomScaleNormal="106" workbookViewId="0">
      <pane xSplit="3" ySplit="9" topLeftCell="H149" activePane="bottomRight" state="frozen"/>
      <selection pane="bottomRight" activeCell="AO163" sqref="AO163"/>
      <selection pane="bottomLeft"/>
      <selection pane="topRight"/>
    </sheetView>
  </sheetViews>
  <sheetFormatPr defaultColWidth="9" defaultRowHeight="14.25" customHeight="1" outlineLevelCol="1"/>
  <cols>
    <col min="1" max="1" width="2.125" style="96" customWidth="1"/>
    <col min="2" max="2" width="50.625" style="96" customWidth="1"/>
    <col min="3" max="3" width="3.375" style="23" customWidth="1"/>
    <col min="4" max="5" width="9.625" style="96" hidden="1" customWidth="1" outlineLevel="1"/>
    <col min="6" max="6" width="10.75" style="96" hidden="1" customWidth="1" outlineLevel="1"/>
    <col min="7" max="7" width="9.625" style="96" hidden="1" customWidth="1" outlineLevel="1"/>
    <col min="8" max="8" width="11.625" style="96" customWidth="1" collapsed="1"/>
    <col min="9" max="9" width="1.625" style="23" customWidth="1"/>
    <col min="10" max="11" width="9.625" style="96" hidden="1" customWidth="1" outlineLevel="1"/>
    <col min="12" max="12" width="10.375" style="96" hidden="1" customWidth="1" outlineLevel="1"/>
    <col min="13" max="13" width="9.625" style="96" hidden="1" customWidth="1" outlineLevel="1"/>
    <col min="14" max="14" width="11.625" style="96" customWidth="1" collapsed="1"/>
    <col min="15" max="15" width="1.625" style="23" customWidth="1"/>
    <col min="16" max="16" width="9.5" style="96" hidden="1" customWidth="1" outlineLevel="1"/>
    <col min="17" max="18" width="11.75" style="96" hidden="1" customWidth="1" outlineLevel="1"/>
    <col min="19" max="19" width="11.25" style="96" hidden="1" customWidth="1" outlineLevel="1"/>
    <col min="20" max="20" width="11.625" style="96" customWidth="1" collapsed="1"/>
    <col min="21" max="21" width="1.625" style="23" customWidth="1"/>
    <col min="22" max="23" width="10.25" style="96" hidden="1" customWidth="1" outlineLevel="1"/>
    <col min="24" max="24" width="12.375" style="96" hidden="1" customWidth="1" outlineLevel="1"/>
    <col min="25" max="25" width="10" style="96" hidden="1" customWidth="1" outlineLevel="1"/>
    <col min="26" max="26" width="11.625" style="96" customWidth="1" collapsed="1"/>
    <col min="27" max="27" width="1.625" style="23" customWidth="1"/>
    <col min="28" max="31" width="10.25" style="96" hidden="1" customWidth="1" outlineLevel="1"/>
    <col min="32" max="32" width="11.625" style="96" customWidth="1" collapsed="1"/>
    <col min="33" max="33" width="1.625" style="23" customWidth="1"/>
    <col min="34" max="34" width="15" style="96" bestFit="1" customWidth="1"/>
    <col min="35" max="35" width="1.625" style="23" customWidth="1"/>
    <col min="36" max="36" width="15" style="103" bestFit="1" customWidth="1"/>
    <col min="37" max="37" width="1.625" style="96" customWidth="1"/>
    <col min="38" max="38" width="12.75" style="96" customWidth="1"/>
    <col min="39" max="39" width="1.625" style="96" customWidth="1"/>
    <col min="40" max="16384" width="9" style="96"/>
  </cols>
  <sheetData>
    <row r="1" spans="1:60" s="574" customFormat="1" ht="15" customHeight="1"/>
    <row r="2" spans="1:60" s="574" customFormat="1" ht="15" customHeight="1"/>
    <row r="3" spans="1:60" s="574" customFormat="1" ht="15" customHeight="1"/>
    <row r="4" spans="1:60" s="574" customFormat="1" ht="15" customHeight="1"/>
    <row r="5" spans="1:60" s="286" customFormat="1" ht="3.95" customHeight="1">
      <c r="C5" s="36"/>
      <c r="I5" s="36"/>
      <c r="O5" s="36"/>
      <c r="U5" s="36"/>
      <c r="AA5" s="36"/>
      <c r="AG5" s="36"/>
      <c r="AI5" s="36"/>
      <c r="AJ5" s="287"/>
    </row>
    <row r="7" spans="1:60" s="41" customFormat="1" ht="15" customHeight="1">
      <c r="A7" s="30" t="s">
        <v>39</v>
      </c>
      <c r="B7" s="159" t="s">
        <v>443</v>
      </c>
      <c r="C7" s="18"/>
      <c r="D7" s="160"/>
      <c r="E7" s="160"/>
      <c r="F7" s="160"/>
      <c r="G7" s="160"/>
      <c r="H7" s="160"/>
      <c r="I7" s="18"/>
      <c r="J7" s="160"/>
      <c r="K7" s="160"/>
      <c r="L7" s="160"/>
      <c r="M7" s="160"/>
      <c r="N7" s="160"/>
      <c r="O7" s="18"/>
      <c r="P7" s="160"/>
      <c r="Q7" s="160"/>
      <c r="R7" s="160"/>
      <c r="S7" s="160"/>
      <c r="T7" s="160"/>
      <c r="U7" s="18"/>
      <c r="V7" s="160"/>
      <c r="W7" s="160"/>
      <c r="X7" s="160"/>
      <c r="Y7" s="160"/>
      <c r="Z7" s="160"/>
      <c r="AA7" s="18"/>
      <c r="AB7" s="160"/>
      <c r="AC7" s="160"/>
      <c r="AD7" s="160"/>
      <c r="AE7" s="160"/>
      <c r="AF7" s="160"/>
      <c r="AG7" s="18"/>
      <c r="AH7" s="160"/>
      <c r="AI7" s="18"/>
      <c r="AJ7" s="161"/>
      <c r="AK7" s="18"/>
      <c r="AL7" s="161"/>
    </row>
    <row r="8" spans="1:60" s="41" customFormat="1" ht="15" customHeight="1">
      <c r="B8" s="162"/>
      <c r="C8" s="18"/>
      <c r="D8" s="950">
        <v>2022</v>
      </c>
      <c r="E8" s="950"/>
      <c r="F8" s="950"/>
      <c r="G8" s="950"/>
      <c r="H8" s="950"/>
      <c r="I8" s="167"/>
      <c r="J8" s="950">
        <f>D8+1</f>
        <v>2023</v>
      </c>
      <c r="K8" s="950"/>
      <c r="L8" s="950"/>
      <c r="M8" s="950"/>
      <c r="N8" s="950"/>
      <c r="O8" s="167"/>
      <c r="P8" s="950">
        <f>J8+1</f>
        <v>2024</v>
      </c>
      <c r="Q8" s="950"/>
      <c r="R8" s="950"/>
      <c r="S8" s="950"/>
      <c r="T8" s="950"/>
      <c r="U8" s="167"/>
      <c r="V8" s="949">
        <f>P8+1</f>
        <v>2025</v>
      </c>
      <c r="W8" s="949"/>
      <c r="X8" s="949"/>
      <c r="Y8" s="949"/>
      <c r="Z8" s="949"/>
      <c r="AA8" s="167"/>
      <c r="AB8" s="949">
        <f>V8+1</f>
        <v>2026</v>
      </c>
      <c r="AC8" s="949"/>
      <c r="AD8" s="949"/>
      <c r="AE8" s="949"/>
      <c r="AF8" s="949"/>
      <c r="AG8" s="169"/>
      <c r="AH8" s="164">
        <f>AB8+1</f>
        <v>2027</v>
      </c>
      <c r="AI8" s="165"/>
      <c r="AJ8" s="164">
        <f>+AH8+1</f>
        <v>2028</v>
      </c>
      <c r="AK8" s="165"/>
      <c r="AL8" s="164">
        <f>+AJ8+1</f>
        <v>2029</v>
      </c>
    </row>
    <row r="9" spans="1:60" s="41" customFormat="1" ht="14.25" customHeight="1">
      <c r="B9" s="162"/>
      <c r="C9" s="18"/>
      <c r="D9" s="166" t="s">
        <v>197</v>
      </c>
      <c r="E9" s="166" t="s">
        <v>198</v>
      </c>
      <c r="F9" s="166" t="s">
        <v>199</v>
      </c>
      <c r="G9" s="166" t="s">
        <v>200</v>
      </c>
      <c r="H9" s="166" t="s">
        <v>201</v>
      </c>
      <c r="I9" s="163"/>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201</v>
      </c>
      <c r="AI9" s="163"/>
      <c r="AJ9" s="166" t="s">
        <v>201</v>
      </c>
      <c r="AK9" s="163"/>
      <c r="AL9" s="166" t="s">
        <v>201</v>
      </c>
    </row>
    <row r="16" spans="1:60" ht="14.25" customHeight="1">
      <c r="BA16" s="310"/>
      <c r="BB16" s="310"/>
      <c r="BC16" s="310"/>
      <c r="BD16" s="310"/>
      <c r="BE16" s="310"/>
      <c r="BF16" s="310"/>
      <c r="BG16" s="310"/>
      <c r="BH16" s="310"/>
    </row>
    <row r="18" spans="1:55" ht="14.25" customHeight="1">
      <c r="BC18" s="310"/>
    </row>
    <row r="21" spans="1:55" s="41" customFormat="1" ht="15" customHeight="1">
      <c r="B21" s="522" t="s">
        <v>364</v>
      </c>
      <c r="C21" s="523"/>
      <c r="D21" s="524"/>
      <c r="E21" s="524"/>
      <c r="F21" s="524"/>
      <c r="G21" s="524"/>
      <c r="H21" s="524"/>
      <c r="I21" s="523"/>
      <c r="J21" s="524"/>
      <c r="K21" s="524"/>
      <c r="L21" s="524"/>
      <c r="M21" s="524"/>
      <c r="N21" s="524"/>
      <c r="O21" s="523"/>
      <c r="P21" s="524"/>
      <c r="Q21" s="524"/>
      <c r="R21" s="524"/>
      <c r="S21" s="524"/>
      <c r="T21" s="524"/>
      <c r="U21" s="525"/>
      <c r="V21" s="524"/>
      <c r="W21" s="524"/>
      <c r="X21" s="526"/>
      <c r="Y21" s="526"/>
      <c r="Z21" s="526"/>
      <c r="AA21" s="527"/>
      <c r="AB21" s="526"/>
      <c r="AC21" s="526"/>
      <c r="AD21" s="526"/>
      <c r="AE21" s="526"/>
      <c r="AF21" s="526"/>
      <c r="AG21" s="527"/>
      <c r="AH21" s="526"/>
      <c r="AI21" s="527"/>
      <c r="AJ21" s="526"/>
      <c r="AK21" s="527"/>
      <c r="AL21" s="526"/>
      <c r="AM21" s="528"/>
    </row>
    <row r="22" spans="1:55" s="41" customFormat="1" ht="15" customHeight="1">
      <c r="C22" s="17"/>
      <c r="I22" s="17"/>
      <c r="O22" s="17"/>
      <c r="U22" s="17"/>
      <c r="AA22" s="17"/>
      <c r="AG22" s="17"/>
      <c r="AI22" s="17"/>
      <c r="AJ22" s="42"/>
      <c r="AK22" s="17"/>
      <c r="AL22" s="42"/>
    </row>
    <row r="23" spans="1:55" s="41" customFormat="1" ht="15" customHeight="1">
      <c r="A23" s="30" t="s">
        <v>39</v>
      </c>
      <c r="B23" s="159" t="s">
        <v>444</v>
      </c>
      <c r="C23" s="18"/>
      <c r="D23" s="160"/>
      <c r="E23" s="160"/>
      <c r="F23" s="160"/>
      <c r="G23" s="160"/>
      <c r="H23" s="160"/>
      <c r="I23" s="18"/>
      <c r="J23" s="160"/>
      <c r="K23" s="160"/>
      <c r="L23" s="160"/>
      <c r="M23" s="160"/>
      <c r="N23" s="160"/>
      <c r="O23" s="18"/>
      <c r="P23" s="160"/>
      <c r="Q23" s="160"/>
      <c r="R23" s="160"/>
      <c r="S23" s="160"/>
      <c r="T23" s="160"/>
      <c r="U23" s="18"/>
      <c r="V23" s="160"/>
      <c r="W23" s="160"/>
      <c r="X23" s="160"/>
      <c r="Y23" s="160"/>
      <c r="Z23" s="160"/>
      <c r="AA23" s="18"/>
      <c r="AB23" s="160"/>
      <c r="AC23" s="160"/>
      <c r="AD23" s="160"/>
      <c r="AE23" s="160"/>
      <c r="AF23" s="160"/>
      <c r="AG23" s="18"/>
      <c r="AH23" s="160"/>
      <c r="AI23" s="18"/>
      <c r="AJ23" s="161"/>
      <c r="AK23" s="18"/>
      <c r="AL23" s="161"/>
      <c r="AM23" s="161"/>
    </row>
    <row r="24" spans="1:55" s="41" customFormat="1" ht="15" customHeight="1">
      <c r="B24" s="162"/>
      <c r="C24" s="18"/>
      <c r="D24" s="950">
        <f>D$8</f>
        <v>2022</v>
      </c>
      <c r="E24" s="950">
        <f>F24</f>
        <v>0</v>
      </c>
      <c r="F24" s="950">
        <f>F$8</f>
        <v>0</v>
      </c>
      <c r="G24" s="950">
        <f>F24</f>
        <v>0</v>
      </c>
      <c r="H24" s="950">
        <f>F24</f>
        <v>0</v>
      </c>
      <c r="I24" s="167"/>
      <c r="J24" s="950">
        <f>J$8</f>
        <v>2023</v>
      </c>
      <c r="K24" s="950">
        <f>L24</f>
        <v>0</v>
      </c>
      <c r="L24" s="950">
        <f>L$8</f>
        <v>0</v>
      </c>
      <c r="M24" s="950">
        <f>L24</f>
        <v>0</v>
      </c>
      <c r="N24" s="950">
        <f>L24</f>
        <v>0</v>
      </c>
      <c r="O24" s="167"/>
      <c r="P24" s="950">
        <f>P$8</f>
        <v>2024</v>
      </c>
      <c r="Q24" s="950">
        <f>R24</f>
        <v>0</v>
      </c>
      <c r="R24" s="950">
        <f>R$8</f>
        <v>0</v>
      </c>
      <c r="S24" s="950">
        <f>R24</f>
        <v>0</v>
      </c>
      <c r="T24" s="950">
        <f>R24</f>
        <v>0</v>
      </c>
      <c r="U24" s="167"/>
      <c r="V24" s="949">
        <f>V$8</f>
        <v>2025</v>
      </c>
      <c r="W24" s="949">
        <f>X24</f>
        <v>0</v>
      </c>
      <c r="X24" s="949">
        <f>X$8</f>
        <v>0</v>
      </c>
      <c r="Y24" s="949">
        <f>X24</f>
        <v>0</v>
      </c>
      <c r="Z24" s="949">
        <f>X24</f>
        <v>0</v>
      </c>
      <c r="AA24" s="167"/>
      <c r="AB24" s="949">
        <f>AB$8</f>
        <v>2026</v>
      </c>
      <c r="AC24" s="949">
        <f>AD24</f>
        <v>0</v>
      </c>
      <c r="AD24" s="949">
        <f>AD$8</f>
        <v>0</v>
      </c>
      <c r="AE24" s="949">
        <f>AD24</f>
        <v>0</v>
      </c>
      <c r="AF24" s="949">
        <f>AD24</f>
        <v>0</v>
      </c>
      <c r="AG24" s="169"/>
      <c r="AH24" s="164">
        <f>AH$8</f>
        <v>2027</v>
      </c>
      <c r="AI24" s="165"/>
      <c r="AJ24" s="164">
        <f>AJ$8</f>
        <v>2028</v>
      </c>
      <c r="AK24" s="165"/>
      <c r="AL24" s="164">
        <f>AL$8</f>
        <v>2029</v>
      </c>
      <c r="AM24" s="161"/>
    </row>
    <row r="25" spans="1:55" s="41" customFormat="1" ht="14.25" customHeight="1">
      <c r="B25" s="162"/>
      <c r="C25" s="18"/>
      <c r="D25" s="166" t="s">
        <v>197</v>
      </c>
      <c r="E25" s="166" t="s">
        <v>198</v>
      </c>
      <c r="F25" s="166" t="s">
        <v>199</v>
      </c>
      <c r="G25" s="166" t="s">
        <v>200</v>
      </c>
      <c r="H25" s="166" t="s">
        <v>201</v>
      </c>
      <c r="I25" s="163"/>
      <c r="J25" s="166" t="s">
        <v>197</v>
      </c>
      <c r="K25" s="166" t="s">
        <v>198</v>
      </c>
      <c r="L25" s="166" t="s">
        <v>199</v>
      </c>
      <c r="M25" s="166" t="s">
        <v>200</v>
      </c>
      <c r="N25" s="166" t="s">
        <v>201</v>
      </c>
      <c r="O25" s="163"/>
      <c r="P25" s="166" t="s">
        <v>197</v>
      </c>
      <c r="Q25" s="166" t="s">
        <v>198</v>
      </c>
      <c r="R25" s="166" t="s">
        <v>199</v>
      </c>
      <c r="S25" s="166" t="s">
        <v>200</v>
      </c>
      <c r="T25" s="166" t="s">
        <v>201</v>
      </c>
      <c r="U25" s="163"/>
      <c r="V25" s="166" t="s">
        <v>197</v>
      </c>
      <c r="W25" s="166" t="s">
        <v>198</v>
      </c>
      <c r="X25" s="166" t="s">
        <v>199</v>
      </c>
      <c r="Y25" s="166" t="s">
        <v>200</v>
      </c>
      <c r="Z25" s="166" t="s">
        <v>201</v>
      </c>
      <c r="AA25" s="163"/>
      <c r="AB25" s="166" t="s">
        <v>197</v>
      </c>
      <c r="AC25" s="166" t="s">
        <v>198</v>
      </c>
      <c r="AD25" s="166" t="s">
        <v>199</v>
      </c>
      <c r="AE25" s="166" t="s">
        <v>200</v>
      </c>
      <c r="AF25" s="166" t="s">
        <v>201</v>
      </c>
      <c r="AG25" s="163"/>
      <c r="AH25" s="166" t="s">
        <v>201</v>
      </c>
      <c r="AI25" s="163"/>
      <c r="AJ25" s="166" t="s">
        <v>201</v>
      </c>
      <c r="AK25" s="163"/>
      <c r="AL25" s="166" t="s">
        <v>201</v>
      </c>
      <c r="AM25" s="161"/>
    </row>
    <row r="26" spans="1:55" s="41" customFormat="1" ht="3.95" customHeight="1">
      <c r="A26" s="43"/>
      <c r="B26" s="174"/>
      <c r="C26" s="35"/>
      <c r="D26" s="175"/>
      <c r="E26" s="175"/>
      <c r="F26" s="175"/>
      <c r="G26" s="175"/>
      <c r="H26" s="175"/>
      <c r="I26" s="176"/>
      <c r="J26" s="175"/>
      <c r="K26" s="175"/>
      <c r="L26" s="175"/>
      <c r="M26" s="175"/>
      <c r="N26" s="175"/>
      <c r="O26" s="176"/>
      <c r="P26" s="175"/>
      <c r="Q26" s="175"/>
      <c r="R26" s="175"/>
      <c r="S26" s="175"/>
      <c r="T26" s="175"/>
      <c r="U26" s="176"/>
      <c r="V26" s="175"/>
      <c r="W26" s="175"/>
      <c r="X26" s="175"/>
      <c r="Y26" s="175"/>
      <c r="Z26" s="177"/>
      <c r="AA26" s="178"/>
      <c r="AB26" s="177"/>
      <c r="AC26" s="177"/>
      <c r="AD26" s="177"/>
      <c r="AE26" s="177"/>
      <c r="AF26" s="177"/>
      <c r="AG26" s="178"/>
      <c r="AH26" s="177"/>
      <c r="AI26" s="178"/>
      <c r="AJ26" s="177"/>
      <c r="AK26" s="178"/>
      <c r="AL26" s="177"/>
      <c r="AM26" s="177"/>
    </row>
    <row r="27" spans="1:55" s="54" customFormat="1" ht="3.95" customHeight="1">
      <c r="A27" s="44"/>
      <c r="B27" s="45"/>
      <c r="C27" s="23"/>
      <c r="D27" s="66"/>
      <c r="E27" s="66"/>
      <c r="F27" s="66"/>
      <c r="G27" s="66"/>
      <c r="H27" s="57"/>
      <c r="I27" s="57"/>
      <c r="J27" s="66"/>
      <c r="K27" s="66"/>
      <c r="L27" s="66"/>
      <c r="M27" s="66"/>
      <c r="N27" s="57"/>
      <c r="O27" s="57"/>
      <c r="P27" s="66"/>
      <c r="Q27" s="66"/>
      <c r="R27" s="66"/>
      <c r="S27" s="66"/>
      <c r="T27" s="57"/>
      <c r="U27" s="71"/>
      <c r="V27" s="66"/>
      <c r="W27" s="66"/>
      <c r="X27" s="68"/>
      <c r="Y27" s="68"/>
      <c r="Z27" s="57"/>
      <c r="AA27" s="71"/>
      <c r="AB27" s="68"/>
      <c r="AC27" s="68"/>
      <c r="AD27" s="68"/>
      <c r="AE27" s="68"/>
      <c r="AF27" s="57"/>
      <c r="AG27" s="71"/>
      <c r="AH27" s="58"/>
      <c r="AI27" s="72"/>
      <c r="AJ27" s="58"/>
    </row>
    <row r="28" spans="1:55" s="54" customFormat="1" ht="14.25" customHeight="1">
      <c r="A28" s="44"/>
      <c r="B28" s="159" t="s">
        <v>445</v>
      </c>
      <c r="C28" s="184"/>
      <c r="D28" s="185"/>
      <c r="E28" s="185"/>
      <c r="F28" s="185"/>
      <c r="G28" s="185"/>
      <c r="H28" s="186"/>
      <c r="I28" s="186"/>
      <c r="J28" s="185"/>
      <c r="K28" s="185"/>
      <c r="L28" s="185"/>
      <c r="M28" s="185"/>
      <c r="N28" s="186"/>
      <c r="O28" s="186"/>
      <c r="P28" s="185"/>
      <c r="Q28" s="185"/>
      <c r="R28" s="185"/>
      <c r="S28" s="185"/>
      <c r="T28" s="186"/>
      <c r="U28" s="187"/>
      <c r="V28" s="185"/>
      <c r="W28" s="185"/>
      <c r="X28" s="188"/>
      <c r="Y28" s="188"/>
      <c r="Z28" s="186"/>
      <c r="AA28" s="187"/>
      <c r="AB28" s="188"/>
      <c r="AC28" s="188"/>
      <c r="AD28" s="188"/>
      <c r="AE28" s="188"/>
      <c r="AF28" s="186"/>
      <c r="AG28" s="187"/>
      <c r="AH28" s="189"/>
      <c r="AI28" s="190"/>
      <c r="AJ28" s="189"/>
      <c r="AK28" s="191"/>
      <c r="AL28" s="191"/>
      <c r="AM28" s="191"/>
    </row>
    <row r="29" spans="1:55" s="54" customFormat="1" ht="3.95" customHeight="1">
      <c r="A29" s="44"/>
      <c r="B29" s="192"/>
      <c r="C29" s="36"/>
      <c r="D29" s="193"/>
      <c r="E29" s="193"/>
      <c r="F29" s="193"/>
      <c r="G29" s="193"/>
      <c r="H29" s="194"/>
      <c r="I29" s="194"/>
      <c r="J29" s="193"/>
      <c r="K29" s="193"/>
      <c r="L29" s="193"/>
      <c r="M29" s="193"/>
      <c r="N29" s="194"/>
      <c r="O29" s="194"/>
      <c r="P29" s="193"/>
      <c r="Q29" s="193"/>
      <c r="R29" s="193"/>
      <c r="S29" s="193"/>
      <c r="T29" s="194"/>
      <c r="U29" s="195"/>
      <c r="V29" s="193"/>
      <c r="W29" s="193"/>
      <c r="X29" s="196"/>
      <c r="Y29" s="196"/>
      <c r="Z29" s="194"/>
      <c r="AA29" s="195"/>
      <c r="AB29" s="196"/>
      <c r="AC29" s="196"/>
      <c r="AD29" s="196"/>
      <c r="AE29" s="196"/>
      <c r="AF29" s="194"/>
      <c r="AG29" s="195"/>
      <c r="AH29" s="197"/>
      <c r="AI29" s="198"/>
      <c r="AJ29" s="197"/>
      <c r="AK29" s="199"/>
      <c r="AL29" s="199"/>
      <c r="AM29" s="199"/>
    </row>
    <row r="30" spans="1:55" s="54" customFormat="1" ht="3.95" customHeight="1">
      <c r="A30" s="44"/>
      <c r="B30" s="45"/>
      <c r="C30" s="23"/>
      <c r="D30" s="66"/>
      <c r="E30" s="66"/>
      <c r="F30" s="66"/>
      <c r="G30" s="66"/>
      <c r="H30" s="57"/>
      <c r="I30" s="57"/>
      <c r="J30" s="66"/>
      <c r="K30" s="66"/>
      <c r="L30" s="66"/>
      <c r="M30" s="66"/>
      <c r="N30" s="57"/>
      <c r="O30" s="57"/>
      <c r="P30" s="66"/>
      <c r="Q30" s="66"/>
      <c r="R30" s="66"/>
      <c r="S30" s="66"/>
      <c r="T30" s="57"/>
      <c r="U30" s="49"/>
      <c r="V30" s="66"/>
      <c r="W30" s="66"/>
      <c r="X30" s="68"/>
      <c r="Y30" s="68"/>
      <c r="Z30" s="57"/>
      <c r="AA30" s="71"/>
      <c r="AB30" s="68"/>
      <c r="AC30" s="68"/>
      <c r="AD30" s="68"/>
      <c r="AE30" s="68"/>
      <c r="AF30" s="57"/>
      <c r="AG30" s="71"/>
      <c r="AH30" s="58"/>
      <c r="AI30" s="72"/>
      <c r="AJ30" s="58"/>
    </row>
    <row r="31" spans="1:55" s="54" customFormat="1" ht="14.25" customHeight="1">
      <c r="A31" s="44"/>
      <c r="B31" s="28" t="s">
        <v>364</v>
      </c>
      <c r="C31" s="23"/>
      <c r="D31" s="50">
        <f>IS!P18</f>
        <v>34134</v>
      </c>
      <c r="E31" s="50">
        <f>IS!Q18</f>
        <v>34302</v>
      </c>
      <c r="F31" s="50">
        <f>IS!R18</f>
        <v>34378</v>
      </c>
      <c r="G31" s="50">
        <f>IS!S18</f>
        <v>38052</v>
      </c>
      <c r="H31" s="58">
        <f>IS!T18</f>
        <v>140866</v>
      </c>
      <c r="I31" s="57"/>
      <c r="J31" s="50">
        <v>52729</v>
      </c>
      <c r="K31" s="50">
        <v>39112</v>
      </c>
      <c r="L31" s="50">
        <v>38430</v>
      </c>
      <c r="M31" s="50">
        <v>23111</v>
      </c>
      <c r="N31" s="58">
        <f>+SUM(J31:M31)</f>
        <v>153382</v>
      </c>
      <c r="O31" s="57"/>
      <c r="P31" s="50">
        <v>37950</v>
      </c>
      <c r="Q31" s="50">
        <v>39774</v>
      </c>
      <c r="R31" s="50">
        <v>41539</v>
      </c>
      <c r="S31" s="50">
        <v>57921</v>
      </c>
      <c r="T31" s="58">
        <f>+SUM(P31:S31)</f>
        <v>177184</v>
      </c>
      <c r="U31" s="49"/>
      <c r="V31" s="50">
        <f>IS!AH18</f>
        <v>45846</v>
      </c>
      <c r="W31" s="50">
        <f>IS!AI18</f>
        <v>63997</v>
      </c>
      <c r="X31" s="298">
        <f>+R31*1.4</f>
        <v>58154.6</v>
      </c>
      <c r="Y31" s="298">
        <f>+S31*1.4</f>
        <v>81089.399999999994</v>
      </c>
      <c r="Z31" s="57">
        <v>249087</v>
      </c>
      <c r="AA31" s="71"/>
      <c r="AB31" s="298">
        <f t="shared" ref="AB31:AD31" si="0">+$AF$31/4</f>
        <v>75850.905748658915</v>
      </c>
      <c r="AC31" s="298">
        <f t="shared" si="0"/>
        <v>75850.905748658915</v>
      </c>
      <c r="AD31" s="298">
        <f t="shared" si="0"/>
        <v>75850.905748658915</v>
      </c>
      <c r="AE31" s="298">
        <f>+$AF$31/4</f>
        <v>75850.905748658915</v>
      </c>
      <c r="AF31" s="724">
        <f>+Assumptions!C41</f>
        <v>303403.62299463566</v>
      </c>
      <c r="AG31" s="179"/>
      <c r="AH31" s="857">
        <v>349576.11121016613</v>
      </c>
      <c r="AI31" s="72"/>
      <c r="AJ31" s="315">
        <f>+Assumptions!E41</f>
        <v>369151.60068647779</v>
      </c>
      <c r="AL31" s="315">
        <f>+Assumptions!F41</f>
        <v>400169.49209494132</v>
      </c>
      <c r="AS31" s="310"/>
      <c r="AT31" s="310"/>
      <c r="AU31" s="310"/>
      <c r="AV31" s="310"/>
      <c r="AW31" s="310"/>
      <c r="AX31" s="310"/>
      <c r="AY31" s="310"/>
      <c r="AZ31" s="310"/>
    </row>
    <row r="32" spans="1:55" s="54" customFormat="1" ht="14.25" customHeight="1">
      <c r="A32" s="55"/>
      <c r="B32" s="31" t="s">
        <v>446</v>
      </c>
      <c r="C32" s="23"/>
      <c r="D32" s="303">
        <f>D31/IS!J18-1</f>
        <v>0.78459768913054839</v>
      </c>
      <c r="E32" s="303">
        <f>E31/IS!K18-1</f>
        <v>0.96033832437992905</v>
      </c>
      <c r="F32" s="303">
        <f>F31/IS!L18-1</f>
        <v>0.5552137525446732</v>
      </c>
      <c r="G32" s="303">
        <f>G31/IS!M18-1</f>
        <v>-0.2018960526867738</v>
      </c>
      <c r="H32" s="304">
        <f>H31/IS!N18-1</f>
        <v>0.60253464085003761</v>
      </c>
      <c r="I32" s="57"/>
      <c r="J32" s="303">
        <f>J31/IS!P18-1</f>
        <v>0.5447647506884632</v>
      </c>
      <c r="K32" s="303">
        <f>K31/IS!Q18-1</f>
        <v>0.14022505976327904</v>
      </c>
      <c r="L32" s="303">
        <f>L31/IS!R18-1</f>
        <v>0.11786607714235853</v>
      </c>
      <c r="M32" s="303">
        <f>M31/IS!S18-1</f>
        <v>-0.39264690423630821</v>
      </c>
      <c r="N32" s="304">
        <f>N31/H31-1</f>
        <v>8.8850396831030798E-2</v>
      </c>
      <c r="O32" s="57"/>
      <c r="P32" s="303">
        <f>P31/IS!V18-1</f>
        <v>-0.2802821976521459</v>
      </c>
      <c r="Q32" s="303">
        <f>Q31/IS!W18-1</f>
        <v>1.6925751687461688E-2</v>
      </c>
      <c r="R32" s="303">
        <f>R31/IS!X18-1</f>
        <v>8.0900338277387407E-2</v>
      </c>
      <c r="S32" s="303">
        <f>S31/IS!Y18-1</f>
        <v>1.5062091644671369</v>
      </c>
      <c r="T32" s="304">
        <f>T31/N31-1</f>
        <v>0.15518118162496242</v>
      </c>
      <c r="U32" s="49"/>
      <c r="V32" s="303">
        <f>V31/IS!AB18-1</f>
        <v>0.21636464938579492</v>
      </c>
      <c r="W32" s="303">
        <f>W31/IS!AC18-1</f>
        <v>0.60901594006134663</v>
      </c>
      <c r="X32" s="303">
        <f>X31/IS!AD18-1</f>
        <v>0.39999999999999991</v>
      </c>
      <c r="Y32" s="303">
        <v>0.4</v>
      </c>
      <c r="Z32" s="304">
        <f>Z31/T31-1</f>
        <v>0.40580977966407805</v>
      </c>
      <c r="AA32" s="71"/>
      <c r="AB32" s="303">
        <f>AB31/IS!AH18-1</f>
        <v>0.65447161690570432</v>
      </c>
      <c r="AC32" s="303">
        <f>AC31/IS!AI18-1</f>
        <v>0.18522595978966061</v>
      </c>
      <c r="AD32" s="303">
        <f>AD31/IS!AJ18-1</f>
        <v>0.3042976092804166</v>
      </c>
      <c r="AE32" s="303">
        <f>AE31/IS!AK18-1</f>
        <v>-6.4601467655958422E-2</v>
      </c>
      <c r="AF32" s="304">
        <f>AF31/Z31-1</f>
        <v>0.2180628575342578</v>
      </c>
      <c r="AG32" s="71"/>
      <c r="AH32" s="304">
        <f>AH31/AF31-1</f>
        <v>0.15218172993388035</v>
      </c>
      <c r="AI32" s="72"/>
      <c r="AJ32" s="304">
        <f>AJ31/AH31-1</f>
        <v>5.599778946148537E-2</v>
      </c>
      <c r="AL32" s="304">
        <f>AL31/AJ31-1</f>
        <v>8.4024805393725366E-2</v>
      </c>
      <c r="AQ32" s="96"/>
      <c r="AR32" s="604">
        <v>2022</v>
      </c>
      <c r="AS32" s="604">
        <f>+AR32+1</f>
        <v>2023</v>
      </c>
      <c r="AT32" s="604">
        <f t="shared" ref="AT32:AY32" si="1">+AS32+1</f>
        <v>2024</v>
      </c>
      <c r="AU32" s="605">
        <f t="shared" si="1"/>
        <v>2025</v>
      </c>
      <c r="AV32" s="605">
        <f t="shared" si="1"/>
        <v>2026</v>
      </c>
      <c r="AW32" s="605">
        <f t="shared" si="1"/>
        <v>2027</v>
      </c>
      <c r="AX32" s="605">
        <f t="shared" si="1"/>
        <v>2028</v>
      </c>
      <c r="AY32" s="605">
        <f t="shared" si="1"/>
        <v>2029</v>
      </c>
    </row>
    <row r="33" spans="2:54" s="54" customFormat="1" ht="14.25" customHeight="1">
      <c r="B33" s="31"/>
      <c r="C33" s="23"/>
      <c r="D33" s="303"/>
      <c r="E33" s="303"/>
      <c r="F33" s="303"/>
      <c r="G33" s="303"/>
      <c r="H33" s="306"/>
      <c r="I33" s="48"/>
      <c r="J33" s="303"/>
      <c r="K33" s="303"/>
      <c r="L33" s="303"/>
      <c r="M33" s="303"/>
      <c r="N33" s="306"/>
      <c r="O33" s="71"/>
      <c r="P33" s="303"/>
      <c r="Q33" s="303"/>
      <c r="R33" s="303"/>
      <c r="S33" s="303"/>
      <c r="T33" s="306"/>
      <c r="U33" s="49"/>
      <c r="V33" s="303"/>
      <c r="W33" s="303"/>
      <c r="X33" s="50"/>
      <c r="Y33" s="50"/>
      <c r="Z33" s="66"/>
      <c r="AA33" s="71"/>
      <c r="AB33" s="50"/>
      <c r="AC33" s="50"/>
      <c r="AD33" s="50"/>
      <c r="AE33" s="50"/>
      <c r="AF33" s="66"/>
      <c r="AG33" s="71"/>
      <c r="AH33" s="68"/>
      <c r="AI33" s="72"/>
      <c r="AJ33" s="68"/>
      <c r="AQ33" s="96" t="s">
        <v>314</v>
      </c>
      <c r="AR33" s="310">
        <f>H61+H128</f>
        <v>85643</v>
      </c>
      <c r="AS33" s="310">
        <f>N61+N128</f>
        <v>65966</v>
      </c>
      <c r="AT33" s="310">
        <f>T61+T128</f>
        <v>97957</v>
      </c>
      <c r="AU33" s="310">
        <f>Z61+Z128</f>
        <v>113466</v>
      </c>
      <c r="AV33" s="310">
        <f>AF61+AF128</f>
        <v>121361.44919785425</v>
      </c>
      <c r="AW33" s="310">
        <f>AH61+AH128</f>
        <v>157309.25004457473</v>
      </c>
      <c r="AX33" s="310">
        <f>AJ61+AJ128</f>
        <v>166118.22030891498</v>
      </c>
      <c r="AY33" s="310">
        <f>AL61+AL128</f>
        <v>180076.27144272358</v>
      </c>
    </row>
    <row r="34" spans="2:54" s="54" customFormat="1" ht="14.25" customHeight="1">
      <c r="B34" s="28" t="s">
        <v>447</v>
      </c>
      <c r="C34" s="23"/>
      <c r="D34" s="50">
        <f>IS!P21</f>
        <v>7004</v>
      </c>
      <c r="E34" s="50">
        <f>IS!Q21</f>
        <v>4944</v>
      </c>
      <c r="F34" s="50">
        <f>IS!R21</f>
        <v>4459</v>
      </c>
      <c r="G34" s="50">
        <f>IS!S21</f>
        <v>5892</v>
      </c>
      <c r="H34" s="58">
        <f>IS!T21</f>
        <v>22299</v>
      </c>
      <c r="I34" s="57"/>
      <c r="J34" s="50">
        <f>IS!V21</f>
        <v>5907</v>
      </c>
      <c r="K34" s="50">
        <f>IS!W21</f>
        <v>6864</v>
      </c>
      <c r="L34" s="50">
        <f>IS!X21</f>
        <v>8319</v>
      </c>
      <c r="M34" s="50">
        <f>IS!Y21</f>
        <v>8013</v>
      </c>
      <c r="N34" s="58">
        <f>IS!Z21</f>
        <v>29103</v>
      </c>
      <c r="O34" s="57"/>
      <c r="P34" s="50">
        <f>IS!AB21</f>
        <v>7197</v>
      </c>
      <c r="Q34" s="50">
        <f>IS!AC21</f>
        <v>8176</v>
      </c>
      <c r="R34" s="50">
        <f>IS!AD21</f>
        <v>8130</v>
      </c>
      <c r="S34" s="50">
        <f>IS!AE21</f>
        <v>9500</v>
      </c>
      <c r="T34" s="58">
        <f>IS!AF21</f>
        <v>33003</v>
      </c>
      <c r="U34" s="49"/>
      <c r="V34" s="50">
        <f>IS!AH21</f>
        <v>15902</v>
      </c>
      <c r="W34" s="50">
        <f>IS!AI21</f>
        <v>27846</v>
      </c>
      <c r="X34" s="46">
        <f>(X35+Sensitivity!$U$39)*X$31</f>
        <v>5815.46</v>
      </c>
      <c r="Y34" s="46">
        <f>(Y35+Sensitivity!$U$39)*Y$31</f>
        <v>8108.94</v>
      </c>
      <c r="Z34" s="57">
        <f>SUM(V34:Y34)</f>
        <v>57672.4</v>
      </c>
      <c r="AA34" s="71"/>
      <c r="AB34" s="46">
        <f>(AB35+Sensitivity!$U$39)*AB$31</f>
        <v>15170.181149731783</v>
      </c>
      <c r="AC34" s="46">
        <f>(AC35+Sensitivity!$U$39)*AC$31</f>
        <v>15170.181149731783</v>
      </c>
      <c r="AD34" s="46">
        <f>(AD35+Sensitivity!$U$39)*AD$31</f>
        <v>15170.181149731783</v>
      </c>
      <c r="AE34" s="46">
        <f>(AE35+Sensitivity!$U$39)*AE$31</f>
        <v>15170.181149731783</v>
      </c>
      <c r="AF34" s="57">
        <f>SUM(AB34:AE34)</f>
        <v>60680.724598927132</v>
      </c>
      <c r="AG34" s="71"/>
      <c r="AH34" s="57">
        <f>(AH35+Sensitivity!$U$39)*AH$31</f>
        <v>52436.416681524919</v>
      </c>
      <c r="AI34" s="72"/>
      <c r="AJ34" s="57">
        <f>(AJ35+Sensitivity!$U$39)*AJ$31</f>
        <v>55372.740102971664</v>
      </c>
      <c r="AL34" s="57">
        <f>(AL35+Sensitivity!$U$39)*AL$31</f>
        <v>60025.423814241192</v>
      </c>
      <c r="AQ34" s="96" t="s">
        <v>448</v>
      </c>
      <c r="AR34" s="310">
        <f>H136</f>
        <v>340577.15617302054</v>
      </c>
      <c r="AS34" s="310">
        <f>N136</f>
        <v>-61634.368315252133</v>
      </c>
      <c r="AT34" s="310">
        <f>T136</f>
        <v>175059.24445045236</v>
      </c>
      <c r="AU34" s="310">
        <f>Z136</f>
        <v>47148.377218198017</v>
      </c>
      <c r="AV34" s="310">
        <f>AF136</f>
        <v>161535.98368483869</v>
      </c>
      <c r="AW34" s="310">
        <f>AH136</f>
        <v>111726.8485000232</v>
      </c>
      <c r="AX34" s="310">
        <f>AJ136</f>
        <v>186503.00709723259</v>
      </c>
      <c r="AY34" s="310">
        <f>AL136</f>
        <v>172823.36636428483</v>
      </c>
    </row>
    <row r="35" spans="2:54" s="54" customFormat="1" ht="14.25" customHeight="1">
      <c r="B35" s="31" t="s">
        <v>449</v>
      </c>
      <c r="C35" s="23"/>
      <c r="D35" s="303">
        <f>D34/D31</f>
        <v>0.20519130485732701</v>
      </c>
      <c r="E35" s="303">
        <f t="shared" ref="E35:H35" si="2">E34/E31</f>
        <v>0.14413153751967817</v>
      </c>
      <c r="F35" s="303">
        <f t="shared" si="2"/>
        <v>0.1297050439234394</v>
      </c>
      <c r="G35" s="303">
        <f t="shared" si="2"/>
        <v>0.15484074424471775</v>
      </c>
      <c r="H35" s="304">
        <f t="shared" si="2"/>
        <v>0.15829937671262051</v>
      </c>
      <c r="I35" s="57"/>
      <c r="J35" s="303">
        <f>J34/J31</f>
        <v>0.11202564053936165</v>
      </c>
      <c r="K35" s="303">
        <f t="shared" ref="K35:N35" si="3">K34/K31</f>
        <v>0.17549601145428512</v>
      </c>
      <c r="L35" s="303">
        <f t="shared" si="3"/>
        <v>0.21647150663544107</v>
      </c>
      <c r="M35" s="303">
        <f t="shared" si="3"/>
        <v>0.34671801306737049</v>
      </c>
      <c r="N35" s="304">
        <f t="shared" si="3"/>
        <v>0.18974195146757769</v>
      </c>
      <c r="O35" s="57"/>
      <c r="P35" s="303">
        <f>P34/P31</f>
        <v>0.18964426877470356</v>
      </c>
      <c r="Q35" s="303">
        <f t="shared" ref="Q35:T35" si="4">Q34/Q31</f>
        <v>0.2055614220344949</v>
      </c>
      <c r="R35" s="303">
        <f t="shared" si="4"/>
        <v>0.19571968511519294</v>
      </c>
      <c r="S35" s="303">
        <f t="shared" si="4"/>
        <v>0.16401650523989572</v>
      </c>
      <c r="T35" s="304">
        <f>T34/T31</f>
        <v>0.18626399674914212</v>
      </c>
      <c r="U35" s="49"/>
      <c r="V35" s="303">
        <f>V34/V31</f>
        <v>0.34685686864721021</v>
      </c>
      <c r="W35" s="303">
        <f t="shared" ref="W35" si="5">W34/W31</f>
        <v>0.43511414597559261</v>
      </c>
      <c r="X35" s="314">
        <v>0.1</v>
      </c>
      <c r="Y35" s="314">
        <v>0.1</v>
      </c>
      <c r="Z35" s="304">
        <f>Z34/Z31</f>
        <v>0.23153516642779431</v>
      </c>
      <c r="AA35" s="71"/>
      <c r="AB35" s="314">
        <v>0.2</v>
      </c>
      <c r="AC35" s="314">
        <v>0.2</v>
      </c>
      <c r="AD35" s="314">
        <v>0.2</v>
      </c>
      <c r="AE35" s="314">
        <v>0.2</v>
      </c>
      <c r="AF35" s="304">
        <f>AF34/AF31</f>
        <v>0.2</v>
      </c>
      <c r="AG35" s="71"/>
      <c r="AH35" s="314">
        <v>0.15</v>
      </c>
      <c r="AI35" s="72"/>
      <c r="AJ35" s="314">
        <v>0.15</v>
      </c>
      <c r="AL35" s="314">
        <v>0.15</v>
      </c>
      <c r="AP35" s="742"/>
      <c r="AQ35" s="96" t="s">
        <v>450</v>
      </c>
      <c r="AR35" s="326">
        <f>H32</f>
        <v>0.60253464085003761</v>
      </c>
      <c r="AS35" s="326">
        <f>N32</f>
        <v>8.8850396831030798E-2</v>
      </c>
      <c r="AT35" s="326">
        <f>T32</f>
        <v>0.15518118162496242</v>
      </c>
      <c r="AU35" s="326">
        <f>Z32</f>
        <v>0.40580977966407805</v>
      </c>
      <c r="AV35" s="326">
        <f>AF32</f>
        <v>0.2180628575342578</v>
      </c>
      <c r="AW35" s="326">
        <f>AH32</f>
        <v>0.15218172993388035</v>
      </c>
      <c r="AX35" s="326">
        <f>+AJ32</f>
        <v>5.599778946148537E-2</v>
      </c>
      <c r="AY35" s="326">
        <f>+AL32</f>
        <v>8.4024805393725366E-2</v>
      </c>
      <c r="AZ35" s="742"/>
      <c r="BA35" s="742"/>
      <c r="BB35" s="742"/>
    </row>
    <row r="36" spans="2:54" s="54" customFormat="1" ht="14.25" customHeight="1">
      <c r="B36" s="31"/>
      <c r="C36" s="23"/>
      <c r="D36" s="46"/>
      <c r="E36" s="46"/>
      <c r="F36" s="46"/>
      <c r="G36" s="46"/>
      <c r="H36" s="57"/>
      <c r="I36" s="57"/>
      <c r="J36" s="46"/>
      <c r="K36" s="46"/>
      <c r="L36" s="46"/>
      <c r="M36" s="46"/>
      <c r="N36" s="57"/>
      <c r="O36" s="57"/>
      <c r="P36" s="46"/>
      <c r="Q36" s="46"/>
      <c r="R36" s="46"/>
      <c r="S36" s="46"/>
      <c r="T36" s="57"/>
      <c r="U36" s="49"/>
      <c r="V36" s="565">
        <f>+AVERAGE(V35:W35,P35:S35, J35:M35)</f>
        <v>0.23876240674835483</v>
      </c>
      <c r="W36" s="46"/>
      <c r="X36" s="50"/>
      <c r="Y36" s="50"/>
      <c r="Z36" s="57"/>
      <c r="AA36" s="71"/>
      <c r="AB36" s="50"/>
      <c r="AC36" s="50"/>
      <c r="AD36" s="50"/>
      <c r="AE36" s="50"/>
      <c r="AF36" s="57"/>
      <c r="AG36" s="71"/>
      <c r="AH36" s="58"/>
      <c r="AI36" s="72"/>
      <c r="AJ36" s="58"/>
    </row>
    <row r="37" spans="2:54" s="54" customFormat="1" ht="14.25" customHeight="1">
      <c r="B37" s="28" t="s">
        <v>451</v>
      </c>
      <c r="C37" s="23"/>
      <c r="D37" s="50">
        <f>IS!P22</f>
        <v>0</v>
      </c>
      <c r="E37" s="50">
        <f>IS!Q22</f>
        <v>0</v>
      </c>
      <c r="F37" s="50">
        <f>IS!R22</f>
        <v>0</v>
      </c>
      <c r="G37" s="50">
        <f>IS!S22</f>
        <v>0</v>
      </c>
      <c r="H37" s="58">
        <v>0</v>
      </c>
      <c r="I37" s="57"/>
      <c r="J37" s="50">
        <f>IS!V22</f>
        <v>0</v>
      </c>
      <c r="K37" s="50">
        <f>IS!W22</f>
        <v>0</v>
      </c>
      <c r="L37" s="50">
        <f>IS!X22</f>
        <v>0</v>
      </c>
      <c r="M37" s="50">
        <f>IS!Y22</f>
        <v>0</v>
      </c>
      <c r="N37" s="58">
        <v>0</v>
      </c>
      <c r="O37" s="57"/>
      <c r="P37" s="50">
        <f>IS!AB22</f>
        <v>0</v>
      </c>
      <c r="Q37" s="50">
        <f>IS!AC22</f>
        <v>0</v>
      </c>
      <c r="R37" s="50">
        <f>IS!AD22</f>
        <v>0</v>
      </c>
      <c r="S37" s="50">
        <f>IS!AE22</f>
        <v>0</v>
      </c>
      <c r="T37" s="58">
        <v>0</v>
      </c>
      <c r="U37" s="49"/>
      <c r="V37" s="58">
        <v>0</v>
      </c>
      <c r="W37" s="58">
        <v>0</v>
      </c>
      <c r="X37" s="58">
        <v>0</v>
      </c>
      <c r="Y37" s="58">
        <v>0</v>
      </c>
      <c r="Z37" s="57">
        <f>SUM(V37:Y37)</f>
        <v>0</v>
      </c>
      <c r="AA37" s="71"/>
      <c r="AB37" s="58">
        <v>0</v>
      </c>
      <c r="AC37" s="58">
        <v>0</v>
      </c>
      <c r="AD37" s="58">
        <v>0</v>
      </c>
      <c r="AE37" s="58">
        <v>0</v>
      </c>
      <c r="AF37" s="57">
        <f>SUM(AB37:AE37)</f>
        <v>0</v>
      </c>
      <c r="AG37" s="71"/>
      <c r="AH37" s="58">
        <v>0</v>
      </c>
      <c r="AI37" s="72"/>
      <c r="AJ37" s="58">
        <v>0</v>
      </c>
      <c r="AL37" s="58">
        <v>0</v>
      </c>
    </row>
    <row r="38" spans="2:54" s="54" customFormat="1" ht="14.25" customHeight="1">
      <c r="B38" s="31" t="s">
        <v>452</v>
      </c>
      <c r="C38" s="23"/>
      <c r="D38" s="305">
        <f>+D37/D34</f>
        <v>0</v>
      </c>
      <c r="E38" s="305">
        <f t="shared" ref="E38:Y38" si="6">+E37/E34</f>
        <v>0</v>
      </c>
      <c r="F38" s="305">
        <f t="shared" si="6"/>
        <v>0</v>
      </c>
      <c r="G38" s="305">
        <f t="shared" si="6"/>
        <v>0</v>
      </c>
      <c r="H38" s="305">
        <f t="shared" si="6"/>
        <v>0</v>
      </c>
      <c r="I38" s="305"/>
      <c r="J38" s="305">
        <f t="shared" si="6"/>
        <v>0</v>
      </c>
      <c r="K38" s="305">
        <f t="shared" si="6"/>
        <v>0</v>
      </c>
      <c r="L38" s="305">
        <f t="shared" si="6"/>
        <v>0</v>
      </c>
      <c r="M38" s="305">
        <f t="shared" si="6"/>
        <v>0</v>
      </c>
      <c r="N38" s="305">
        <f t="shared" si="6"/>
        <v>0</v>
      </c>
      <c r="O38" s="305"/>
      <c r="P38" s="305">
        <f t="shared" si="6"/>
        <v>0</v>
      </c>
      <c r="Q38" s="305">
        <f t="shared" si="6"/>
        <v>0</v>
      </c>
      <c r="R38" s="305">
        <f t="shared" si="6"/>
        <v>0</v>
      </c>
      <c r="S38" s="305">
        <f t="shared" si="6"/>
        <v>0</v>
      </c>
      <c r="T38" s="305">
        <f t="shared" si="6"/>
        <v>0</v>
      </c>
      <c r="U38" s="305"/>
      <c r="V38" s="305">
        <f t="shared" si="6"/>
        <v>0</v>
      </c>
      <c r="W38" s="305">
        <f t="shared" si="6"/>
        <v>0</v>
      </c>
      <c r="X38" s="305">
        <f t="shared" si="6"/>
        <v>0</v>
      </c>
      <c r="Y38" s="305">
        <f t="shared" si="6"/>
        <v>0</v>
      </c>
      <c r="Z38" s="304"/>
      <c r="AA38" s="71"/>
      <c r="AB38" s="305">
        <f t="shared" ref="AB38:AE38" si="7">+AB37/AB34</f>
        <v>0</v>
      </c>
      <c r="AC38" s="305">
        <f t="shared" si="7"/>
        <v>0</v>
      </c>
      <c r="AD38" s="305">
        <f t="shared" si="7"/>
        <v>0</v>
      </c>
      <c r="AE38" s="305">
        <f t="shared" si="7"/>
        <v>0</v>
      </c>
      <c r="AF38" s="304"/>
      <c r="AG38" s="71"/>
      <c r="AH38" s="305">
        <f t="shared" ref="AH38" si="8">+AH37/AH34</f>
        <v>0</v>
      </c>
      <c r="AI38" s="72"/>
      <c r="AJ38" s="305">
        <f t="shared" ref="AJ38" si="9">+AJ37/AJ34</f>
        <v>0</v>
      </c>
      <c r="AL38" s="305">
        <f t="shared" ref="AL38" si="10">+AL37/AL34</f>
        <v>0</v>
      </c>
    </row>
    <row r="39" spans="2:54" s="54" customFormat="1" ht="14.25" customHeight="1">
      <c r="B39" s="31"/>
      <c r="C39" s="23"/>
      <c r="D39" s="60"/>
      <c r="E39" s="60"/>
      <c r="F39" s="60"/>
      <c r="G39" s="60"/>
      <c r="H39" s="179"/>
      <c r="I39" s="57"/>
      <c r="J39" s="60"/>
      <c r="K39" s="60"/>
      <c r="L39" s="60"/>
      <c r="M39" s="60"/>
      <c r="N39" s="179"/>
      <c r="O39" s="57"/>
      <c r="P39" s="60"/>
      <c r="Q39" s="60"/>
      <c r="R39" s="60"/>
      <c r="S39" s="60"/>
      <c r="T39" s="179"/>
      <c r="U39" s="49"/>
      <c r="V39" s="60"/>
      <c r="W39" s="60"/>
      <c r="X39" s="62"/>
      <c r="Y39" s="62"/>
      <c r="Z39" s="179"/>
      <c r="AA39" s="71"/>
      <c r="AB39" s="62"/>
      <c r="AC39" s="62"/>
      <c r="AD39" s="62"/>
      <c r="AE39" s="62"/>
      <c r="AF39" s="179"/>
      <c r="AG39" s="71"/>
      <c r="AH39" s="180"/>
      <c r="AI39" s="72"/>
      <c r="AJ39" s="180"/>
    </row>
    <row r="40" spans="2:54" s="54" customFormat="1" ht="14.25" customHeight="1">
      <c r="B40" s="28" t="s">
        <v>453</v>
      </c>
      <c r="C40" s="23"/>
      <c r="D40" s="46">
        <f t="shared" ref="D40:W40" si="11">D31-D34-D37</f>
        <v>27130</v>
      </c>
      <c r="E40" s="46">
        <f t="shared" si="11"/>
        <v>29358</v>
      </c>
      <c r="F40" s="46">
        <f t="shared" si="11"/>
        <v>29919</v>
      </c>
      <c r="G40" s="46">
        <f t="shared" si="11"/>
        <v>32160</v>
      </c>
      <c r="H40" s="46">
        <f t="shared" si="11"/>
        <v>118567</v>
      </c>
      <c r="I40" s="46"/>
      <c r="J40" s="46">
        <f t="shared" si="11"/>
        <v>46822</v>
      </c>
      <c r="K40" s="46">
        <f t="shared" si="11"/>
        <v>32248</v>
      </c>
      <c r="L40" s="46">
        <f t="shared" si="11"/>
        <v>30111</v>
      </c>
      <c r="M40" s="46">
        <f t="shared" si="11"/>
        <v>15098</v>
      </c>
      <c r="N40" s="46">
        <f t="shared" si="11"/>
        <v>124279</v>
      </c>
      <c r="O40" s="46"/>
      <c r="P40" s="46">
        <f t="shared" si="11"/>
        <v>30753</v>
      </c>
      <c r="Q40" s="46">
        <f t="shared" si="11"/>
        <v>31598</v>
      </c>
      <c r="R40" s="46">
        <f t="shared" si="11"/>
        <v>33409</v>
      </c>
      <c r="S40" s="46">
        <f t="shared" si="11"/>
        <v>48421</v>
      </c>
      <c r="T40" s="46">
        <f t="shared" si="11"/>
        <v>144181</v>
      </c>
      <c r="U40" s="46"/>
      <c r="V40" s="46">
        <f t="shared" si="11"/>
        <v>29944</v>
      </c>
      <c r="W40" s="46">
        <f t="shared" si="11"/>
        <v>36151</v>
      </c>
      <c r="X40" s="46">
        <f>X31-X34-X37</f>
        <v>52339.14</v>
      </c>
      <c r="Y40" s="46">
        <f>Y31-Y34-Y37</f>
        <v>72980.459999999992</v>
      </c>
      <c r="Z40" s="57">
        <f>SUM(V40:Y40)</f>
        <v>191414.59999999998</v>
      </c>
      <c r="AA40" s="71"/>
      <c r="AB40" s="46">
        <f t="shared" ref="AB40:AE40" si="12">AB31-AB34-AB37</f>
        <v>60680.724598927132</v>
      </c>
      <c r="AC40" s="46">
        <f t="shared" si="12"/>
        <v>60680.724598927132</v>
      </c>
      <c r="AD40" s="46">
        <f t="shared" si="12"/>
        <v>60680.724598927132</v>
      </c>
      <c r="AE40" s="46">
        <f t="shared" si="12"/>
        <v>60680.724598927132</v>
      </c>
      <c r="AF40" s="57">
        <f>SUM(AB40:AE40)</f>
        <v>242722.89839570853</v>
      </c>
      <c r="AG40" s="57"/>
      <c r="AH40" s="57">
        <f t="shared" ref="AH40:AL40" si="13">AH31-AH34-AH37</f>
        <v>297139.69452864118</v>
      </c>
      <c r="AI40" s="57"/>
      <c r="AJ40" s="57">
        <f t="shared" si="13"/>
        <v>313778.86058350612</v>
      </c>
      <c r="AK40" s="57"/>
      <c r="AL40" s="57">
        <f t="shared" si="13"/>
        <v>340144.06828070013</v>
      </c>
    </row>
    <row r="41" spans="2:54" s="54" customFormat="1" ht="14.25" customHeight="1">
      <c r="B41" s="31" t="s">
        <v>449</v>
      </c>
      <c r="C41" s="21"/>
      <c r="D41" s="303">
        <f>D40/D31</f>
        <v>0.79480869514267305</v>
      </c>
      <c r="E41" s="303">
        <f t="shared" ref="E41:H41" si="14">E40/E31</f>
        <v>0.85586846248032189</v>
      </c>
      <c r="F41" s="303">
        <f t="shared" si="14"/>
        <v>0.8702949560765606</v>
      </c>
      <c r="G41" s="303">
        <f t="shared" si="14"/>
        <v>0.84515925575528228</v>
      </c>
      <c r="H41" s="306">
        <f t="shared" si="14"/>
        <v>0.84170062328737949</v>
      </c>
      <c r="I41" s="48"/>
      <c r="J41" s="303">
        <f>J40/J31</f>
        <v>0.88797435946063841</v>
      </c>
      <c r="K41" s="303">
        <f t="shared" ref="K41:N41" si="15">K40/K31</f>
        <v>0.82450398854571483</v>
      </c>
      <c r="L41" s="303">
        <f t="shared" si="15"/>
        <v>0.78352849336455899</v>
      </c>
      <c r="M41" s="303">
        <f t="shared" si="15"/>
        <v>0.65328198693262951</v>
      </c>
      <c r="N41" s="306">
        <f t="shared" si="15"/>
        <v>0.81025804853242234</v>
      </c>
      <c r="O41" s="71"/>
      <c r="P41" s="303">
        <f>P40/P31</f>
        <v>0.81035573122529647</v>
      </c>
      <c r="Q41" s="303">
        <f t="shared" ref="Q41:T41" si="16">Q40/Q31</f>
        <v>0.7944385779655051</v>
      </c>
      <c r="R41" s="303">
        <f t="shared" si="16"/>
        <v>0.804280314884807</v>
      </c>
      <c r="S41" s="303">
        <f t="shared" si="16"/>
        <v>0.83598349476010425</v>
      </c>
      <c r="T41" s="306">
        <f t="shared" si="16"/>
        <v>0.81373600325085782</v>
      </c>
      <c r="U41" s="49"/>
      <c r="V41" s="303">
        <f>V40/V31</f>
        <v>0.65314313135278979</v>
      </c>
      <c r="W41" s="303">
        <f t="shared" ref="W41:AL41" si="17">W40/W31</f>
        <v>0.56488585402440739</v>
      </c>
      <c r="X41" s="303">
        <f t="shared" si="17"/>
        <v>0.9</v>
      </c>
      <c r="Y41" s="303">
        <f t="shared" si="17"/>
        <v>0.89999999999999991</v>
      </c>
      <c r="Z41" s="304">
        <f>Z40/Z$31</f>
        <v>0.76846483357220563</v>
      </c>
      <c r="AA41" s="181"/>
      <c r="AB41" s="303">
        <f t="shared" si="17"/>
        <v>0.8</v>
      </c>
      <c r="AC41" s="303">
        <f t="shared" si="17"/>
        <v>0.8</v>
      </c>
      <c r="AD41" s="303">
        <f t="shared" si="17"/>
        <v>0.8</v>
      </c>
      <c r="AE41" s="303">
        <f t="shared" si="17"/>
        <v>0.8</v>
      </c>
      <c r="AF41" s="304">
        <f>AF40/AF$31</f>
        <v>0.8</v>
      </c>
      <c r="AG41" s="181"/>
      <c r="AH41" s="306">
        <f t="shared" si="17"/>
        <v>0.84999999999999987</v>
      </c>
      <c r="AI41" s="182"/>
      <c r="AJ41" s="306">
        <f t="shared" si="17"/>
        <v>0.85</v>
      </c>
      <c r="AL41" s="306">
        <f t="shared" si="17"/>
        <v>0.85</v>
      </c>
    </row>
    <row r="42" spans="2:54" s="54" customFormat="1" ht="14.25" customHeight="1">
      <c r="B42" s="28"/>
      <c r="C42" s="23"/>
      <c r="D42" s="60"/>
      <c r="E42" s="60"/>
      <c r="F42" s="60"/>
      <c r="G42" s="60"/>
      <c r="H42" s="66"/>
      <c r="I42" s="48"/>
      <c r="J42" s="60"/>
      <c r="K42" s="60"/>
      <c r="L42" s="60"/>
      <c r="M42" s="60"/>
      <c r="N42" s="66"/>
      <c r="O42" s="71"/>
      <c r="P42" s="60"/>
      <c r="Q42" s="60"/>
      <c r="R42" s="60"/>
      <c r="S42" s="60"/>
      <c r="T42" s="66"/>
      <c r="U42" s="49"/>
      <c r="V42" s="60"/>
      <c r="W42" s="60"/>
      <c r="X42" s="50"/>
      <c r="Y42" s="50"/>
      <c r="Z42" s="66"/>
      <c r="AA42" s="71"/>
      <c r="AB42" s="50"/>
      <c r="AC42" s="50"/>
      <c r="AD42" s="50"/>
      <c r="AE42" s="50"/>
      <c r="AF42" s="66"/>
      <c r="AG42" s="71"/>
      <c r="AH42" s="68"/>
      <c r="AI42" s="72"/>
      <c r="AJ42" s="68"/>
    </row>
    <row r="43" spans="2:54" s="54" customFormat="1" ht="14.25" customHeight="1">
      <c r="B43" s="28" t="s">
        <v>454</v>
      </c>
      <c r="C43" s="21"/>
      <c r="D43" s="62">
        <f>IS!P27</f>
        <v>9379</v>
      </c>
      <c r="E43" s="62">
        <f>IS!Q27</f>
        <v>8273</v>
      </c>
      <c r="F43" s="62">
        <f>IS!R27</f>
        <v>8676</v>
      </c>
      <c r="G43" s="62">
        <f>IS!S27</f>
        <v>7663</v>
      </c>
      <c r="H43" s="68">
        <f>IS!T27</f>
        <v>33991</v>
      </c>
      <c r="I43" s="48"/>
      <c r="J43" s="62">
        <f>IS!V27</f>
        <v>10277</v>
      </c>
      <c r="K43" s="62">
        <f>IS!W27</f>
        <v>11727</v>
      </c>
      <c r="L43" s="62">
        <f>IS!X27</f>
        <v>10777</v>
      </c>
      <c r="M43" s="62">
        <f>IS!Y27</f>
        <v>12577</v>
      </c>
      <c r="N43" s="68">
        <f>IS!Z27</f>
        <v>45358</v>
      </c>
      <c r="O43" s="71"/>
      <c r="P43" s="62">
        <f>IS!AB27</f>
        <v>12424</v>
      </c>
      <c r="Q43" s="62">
        <f>IS!AC27</f>
        <v>10799</v>
      </c>
      <c r="R43" s="62">
        <f>IS!AD27</f>
        <v>11389</v>
      </c>
      <c r="S43" s="62">
        <f>IS!AE27</f>
        <v>12763</v>
      </c>
      <c r="T43" s="68">
        <f>IS!AF27</f>
        <v>47375</v>
      </c>
      <c r="U43" s="49"/>
      <c r="V43" s="62">
        <f>IS!AH27</f>
        <v>6958</v>
      </c>
      <c r="W43" s="62">
        <f>IS!AI27</f>
        <v>12627</v>
      </c>
      <c r="X43" s="46">
        <f>(X44+Sensitivity!$U$40)*X$31</f>
        <v>11630.92</v>
      </c>
      <c r="Y43" s="46">
        <f>(Y44+Sensitivity!$U$40)*Y$31</f>
        <v>16217.88</v>
      </c>
      <c r="Z43" s="57">
        <f>SUM(V43:Y43)</f>
        <v>47433.799999999996</v>
      </c>
      <c r="AA43" s="71"/>
      <c r="AB43" s="46">
        <f>(AB44+Sensitivity!$U$40)*AB$31</f>
        <v>15170.181149731783</v>
      </c>
      <c r="AC43" s="46">
        <f>(AC44+Sensitivity!$U$40)*AC$31</f>
        <v>15170.181149731783</v>
      </c>
      <c r="AD43" s="46">
        <f>(AD44+Sensitivity!$U$40)*AD$31</f>
        <v>15170.181149731783</v>
      </c>
      <c r="AE43" s="46">
        <f>(AE44+Sensitivity!$U$40)*AE$31</f>
        <v>15170.181149731783</v>
      </c>
      <c r="AF43" s="57">
        <f>SUM(AB43:AE43)</f>
        <v>60680.724598927132</v>
      </c>
      <c r="AG43" s="57"/>
      <c r="AH43" s="57">
        <f>(AH44+Sensitivity!$U$40)*AH$31</f>
        <v>69915.222242033225</v>
      </c>
      <c r="AI43" s="57"/>
      <c r="AJ43" s="57">
        <f>(AJ44+Sensitivity!$U$40)*AJ$31</f>
        <v>73830.320137295566</v>
      </c>
      <c r="AK43" s="57"/>
      <c r="AL43" s="57">
        <f>(AL44+Sensitivity!$U$40)*AL$31</f>
        <v>80033.898418988276</v>
      </c>
    </row>
    <row r="44" spans="2:54" s="54" customFormat="1" ht="14.25" customHeight="1">
      <c r="B44" s="31" t="s">
        <v>449</v>
      </c>
      <c r="C44" s="23"/>
      <c r="D44" s="303">
        <f>D43/D31</f>
        <v>0.2747700240229683</v>
      </c>
      <c r="E44" s="303">
        <f t="shared" ref="E44:H44" si="18">E43/E31</f>
        <v>0.24118127222902455</v>
      </c>
      <c r="F44" s="303">
        <f t="shared" si="18"/>
        <v>0.25237070219326313</v>
      </c>
      <c r="G44" s="303">
        <f t="shared" si="18"/>
        <v>0.2013823189319878</v>
      </c>
      <c r="H44" s="306">
        <f t="shared" si="18"/>
        <v>0.24130024278392231</v>
      </c>
      <c r="I44" s="48"/>
      <c r="J44" s="303">
        <f>J43/J31</f>
        <v>0.19490223596123576</v>
      </c>
      <c r="K44" s="303">
        <f t="shared" ref="K44:N44" si="19">K43/K31</f>
        <v>0.29983125383514009</v>
      </c>
      <c r="L44" s="303">
        <f t="shared" si="19"/>
        <v>0.28043195420244599</v>
      </c>
      <c r="M44" s="303">
        <f t="shared" si="19"/>
        <v>0.54419973172947944</v>
      </c>
      <c r="N44" s="306">
        <f t="shared" si="19"/>
        <v>0.2957191847804827</v>
      </c>
      <c r="O44" s="71"/>
      <c r="P44" s="303">
        <f>P43/P31</f>
        <v>0.32737812911725955</v>
      </c>
      <c r="Q44" s="303">
        <f t="shared" ref="Q44:T44" si="20">Q43/Q31</f>
        <v>0.27150902599688237</v>
      </c>
      <c r="R44" s="303">
        <f t="shared" si="20"/>
        <v>0.27417607549531764</v>
      </c>
      <c r="S44" s="303">
        <f t="shared" si="20"/>
        <v>0.2203518585659778</v>
      </c>
      <c r="T44" s="306">
        <f t="shared" si="20"/>
        <v>0.2673774155679971</v>
      </c>
      <c r="U44" s="49"/>
      <c r="V44" s="303">
        <f>V43/V31</f>
        <v>0.15176896566767004</v>
      </c>
      <c r="W44" s="303">
        <f t="shared" ref="W44" si="21">W43/W31</f>
        <v>0.19730612372454959</v>
      </c>
      <c r="X44" s="314">
        <v>0.2</v>
      </c>
      <c r="Y44" s="314">
        <v>0.2</v>
      </c>
      <c r="Z44" s="306">
        <f t="shared" ref="Z44" si="22">Z43/Z31</f>
        <v>0.19043065274382043</v>
      </c>
      <c r="AA44" s="71"/>
      <c r="AB44" s="314">
        <v>0.2</v>
      </c>
      <c r="AC44" s="314">
        <v>0.2</v>
      </c>
      <c r="AD44" s="314">
        <v>0.2</v>
      </c>
      <c r="AE44" s="314">
        <v>0.2</v>
      </c>
      <c r="AF44" s="306">
        <f t="shared" ref="AF44" si="23">AF43/AF31</f>
        <v>0.2</v>
      </c>
      <c r="AG44" s="71"/>
      <c r="AH44" s="314">
        <v>0.2</v>
      </c>
      <c r="AI44" s="72"/>
      <c r="AJ44" s="314">
        <v>0.2</v>
      </c>
      <c r="AL44" s="314">
        <v>0.2</v>
      </c>
    </row>
    <row r="45" spans="2:54" s="54" customFormat="1" ht="14.25" customHeight="1">
      <c r="B45" s="29"/>
      <c r="C45" s="21"/>
      <c r="D45" s="46"/>
      <c r="E45" s="46"/>
      <c r="F45" s="46"/>
      <c r="G45" s="46"/>
      <c r="H45" s="66"/>
      <c r="I45" s="48"/>
      <c r="J45" s="46"/>
      <c r="K45" s="46"/>
      <c r="L45" s="46"/>
      <c r="M45" s="46"/>
      <c r="N45" s="66"/>
      <c r="O45" s="71"/>
      <c r="P45" s="46"/>
      <c r="Q45" s="46"/>
      <c r="R45" s="46"/>
      <c r="S45" s="46"/>
      <c r="T45" s="66"/>
      <c r="U45" s="49"/>
      <c r="V45" s="46"/>
      <c r="W45" s="794">
        <f>+AVERAGE(V44:W44)</f>
        <v>0.17453754469610983</v>
      </c>
      <c r="X45" s="50"/>
      <c r="Y45" s="50"/>
      <c r="Z45" s="66"/>
      <c r="AA45" s="71"/>
      <c r="AB45" s="50"/>
      <c r="AC45" s="50"/>
      <c r="AD45" s="50"/>
      <c r="AE45" s="50"/>
      <c r="AF45" s="66"/>
      <c r="AG45" s="71"/>
      <c r="AH45" s="68"/>
      <c r="AI45" s="72"/>
      <c r="AJ45" s="68"/>
    </row>
    <row r="46" spans="2:54" s="54" customFormat="1" ht="14.25" customHeight="1">
      <c r="B46" s="28" t="s">
        <v>455</v>
      </c>
      <c r="C46" s="23"/>
      <c r="D46" s="50">
        <f>IS!P29</f>
        <v>0</v>
      </c>
      <c r="E46" s="50">
        <f>IS!Q29</f>
        <v>0</v>
      </c>
      <c r="F46" s="50">
        <f>IS!R29</f>
        <v>0</v>
      </c>
      <c r="G46" s="50">
        <f>IS!S29</f>
        <v>0</v>
      </c>
      <c r="H46" s="68">
        <f>IS!T29</f>
        <v>0</v>
      </c>
      <c r="I46" s="48"/>
      <c r="J46" s="50">
        <f>IS!V29</f>
        <v>0</v>
      </c>
      <c r="K46" s="50">
        <f>IS!W29</f>
        <v>0</v>
      </c>
      <c r="L46" s="50">
        <f>IS!X29</f>
        <v>0</v>
      </c>
      <c r="M46" s="50">
        <f>IS!Y29</f>
        <v>0</v>
      </c>
      <c r="N46" s="68">
        <f>IS!Z29</f>
        <v>0</v>
      </c>
      <c r="O46" s="71"/>
      <c r="P46" s="50">
        <f>IS!AB29</f>
        <v>0</v>
      </c>
      <c r="Q46" s="50">
        <f>IS!AC29</f>
        <v>0</v>
      </c>
      <c r="R46" s="50">
        <f>IS!AD29</f>
        <v>0</v>
      </c>
      <c r="S46" s="50">
        <f>IS!AE29</f>
        <v>0</v>
      </c>
      <c r="T46" s="68">
        <f>IS!AF29</f>
        <v>0</v>
      </c>
      <c r="U46" s="49"/>
      <c r="V46" s="50">
        <f>IS!AH29</f>
        <v>0</v>
      </c>
      <c r="W46" s="50">
        <f>IS!AI29</f>
        <v>0</v>
      </c>
      <c r="X46" s="46">
        <f>X47*X40</f>
        <v>0</v>
      </c>
      <c r="Y46" s="46">
        <f>Y47*Y40</f>
        <v>0</v>
      </c>
      <c r="Z46" s="57">
        <f>SUM(V46:Y46)</f>
        <v>0</v>
      </c>
      <c r="AA46" s="71"/>
      <c r="AB46" s="46">
        <f t="shared" ref="AB46:AE46" si="24">AB47*AB40</f>
        <v>0</v>
      </c>
      <c r="AC46" s="46">
        <f t="shared" si="24"/>
        <v>0</v>
      </c>
      <c r="AD46" s="46">
        <f t="shared" si="24"/>
        <v>0</v>
      </c>
      <c r="AE46" s="46">
        <f t="shared" si="24"/>
        <v>0</v>
      </c>
      <c r="AF46" s="57">
        <f>SUM(AB46:AE46)</f>
        <v>0</v>
      </c>
      <c r="AG46" s="71"/>
      <c r="AH46" s="57">
        <f t="shared" ref="AH46:AJ46" si="25">AH47*AH40</f>
        <v>0</v>
      </c>
      <c r="AI46" s="72"/>
      <c r="AJ46" s="57">
        <f t="shared" si="25"/>
        <v>0</v>
      </c>
      <c r="AL46" s="57">
        <f>AL47*AL40</f>
        <v>0</v>
      </c>
      <c r="AS46" s="310"/>
    </row>
    <row r="47" spans="2:54" s="54" customFormat="1" ht="14.25" customHeight="1">
      <c r="B47" s="31" t="s">
        <v>456</v>
      </c>
      <c r="C47" s="21"/>
      <c r="D47" s="303">
        <f>D46/D40</f>
        <v>0</v>
      </c>
      <c r="E47" s="303">
        <f t="shared" ref="E47:G47" si="26">E46/E40</f>
        <v>0</v>
      </c>
      <c r="F47" s="303">
        <f t="shared" si="26"/>
        <v>0</v>
      </c>
      <c r="G47" s="303">
        <f t="shared" si="26"/>
        <v>0</v>
      </c>
      <c r="H47" s="306">
        <f>H46/H40</f>
        <v>0</v>
      </c>
      <c r="I47" s="48"/>
      <c r="J47" s="303">
        <f>J46/J40</f>
        <v>0</v>
      </c>
      <c r="K47" s="303">
        <f t="shared" ref="K47" si="27">K46/K40</f>
        <v>0</v>
      </c>
      <c r="L47" s="303">
        <f t="shared" ref="L47" si="28">L46/L40</f>
        <v>0</v>
      </c>
      <c r="M47" s="303">
        <f t="shared" ref="M47" si="29">M46/M40</f>
        <v>0</v>
      </c>
      <c r="N47" s="306">
        <f>N46/N40</f>
        <v>0</v>
      </c>
      <c r="O47" s="85"/>
      <c r="P47" s="303">
        <f>P46/P40</f>
        <v>0</v>
      </c>
      <c r="Q47" s="303">
        <f t="shared" ref="Q47" si="30">Q46/Q40</f>
        <v>0</v>
      </c>
      <c r="R47" s="303">
        <f t="shared" ref="R47" si="31">R46/R40</f>
        <v>0</v>
      </c>
      <c r="S47" s="303">
        <f t="shared" ref="S47" si="32">S46/S40</f>
        <v>0</v>
      </c>
      <c r="T47" s="306">
        <f>T46/T40</f>
        <v>0</v>
      </c>
      <c r="U47" s="82"/>
      <c r="V47" s="303">
        <f>V46/V40</f>
        <v>0</v>
      </c>
      <c r="W47" s="303">
        <f t="shared" ref="W47" si="33">W46/W40</f>
        <v>0</v>
      </c>
      <c r="X47" s="314">
        <v>0</v>
      </c>
      <c r="Y47" s="314">
        <v>0</v>
      </c>
      <c r="Z47" s="304">
        <f>Z46/Z$40</f>
        <v>0</v>
      </c>
      <c r="AA47" s="71"/>
      <c r="AB47" s="314">
        <v>0</v>
      </c>
      <c r="AC47" s="314">
        <v>0</v>
      </c>
      <c r="AD47" s="314">
        <v>0</v>
      </c>
      <c r="AE47" s="314">
        <v>0</v>
      </c>
      <c r="AF47" s="304">
        <f>AF46/AF$40</f>
        <v>0</v>
      </c>
      <c r="AG47" s="71"/>
      <c r="AH47" s="314">
        <v>0</v>
      </c>
      <c r="AI47" s="72"/>
      <c r="AJ47" s="314">
        <v>0</v>
      </c>
      <c r="AL47" s="314">
        <v>0</v>
      </c>
    </row>
    <row r="48" spans="2:54" s="54" customFormat="1" ht="14.25" customHeight="1">
      <c r="B48" s="31"/>
      <c r="C48" s="23"/>
      <c r="D48" s="303"/>
      <c r="E48" s="303"/>
      <c r="F48" s="303"/>
      <c r="G48" s="303"/>
      <c r="H48" s="306"/>
      <c r="I48" s="48"/>
      <c r="J48" s="303"/>
      <c r="K48" s="303"/>
      <c r="L48" s="303"/>
      <c r="M48" s="303"/>
      <c r="N48" s="306"/>
      <c r="O48" s="71"/>
      <c r="P48" s="303"/>
      <c r="Q48" s="303"/>
      <c r="R48" s="303"/>
      <c r="S48" s="303"/>
      <c r="T48" s="306"/>
      <c r="U48" s="49"/>
      <c r="V48" s="303"/>
      <c r="W48" s="303"/>
      <c r="X48" s="50"/>
      <c r="Y48" s="50"/>
      <c r="Z48" s="66"/>
      <c r="AA48" s="71"/>
      <c r="AB48" s="50"/>
      <c r="AC48" s="50"/>
      <c r="AD48" s="50"/>
      <c r="AE48" s="50"/>
      <c r="AF48" s="66"/>
      <c r="AG48" s="71"/>
      <c r="AH48" s="68"/>
      <c r="AI48" s="72"/>
      <c r="AJ48" s="68"/>
      <c r="AQ48" s="742">
        <f ca="1">+Z171</f>
        <v>-0.36486966696841616</v>
      </c>
      <c r="AR48" s="742">
        <f ca="1">+AF171</f>
        <v>-0.30525663101683842</v>
      </c>
      <c r="AS48" s="742">
        <f ca="1">+AL171</f>
        <v>-4.4897991960559125</v>
      </c>
    </row>
    <row r="49" spans="2:38" s="54" customFormat="1" ht="14.25" customHeight="1">
      <c r="B49" s="28" t="s">
        <v>457</v>
      </c>
      <c r="C49" s="21"/>
      <c r="D49" s="50">
        <f>IS!P28</f>
        <v>173</v>
      </c>
      <c r="E49" s="50">
        <f>IS!Q28</f>
        <v>194</v>
      </c>
      <c r="F49" s="50">
        <f>IS!R28</f>
        <v>243</v>
      </c>
      <c r="G49" s="50">
        <f>IS!S28</f>
        <v>305</v>
      </c>
      <c r="H49" s="68">
        <f>IS!T28</f>
        <v>915</v>
      </c>
      <c r="I49" s="48"/>
      <c r="J49" s="50">
        <f>IS!V28</f>
        <v>480</v>
      </c>
      <c r="K49" s="50">
        <f>IS!W28</f>
        <v>562</v>
      </c>
      <c r="L49" s="50">
        <f>IS!X28</f>
        <v>476</v>
      </c>
      <c r="M49" s="50">
        <f>IS!Y28</f>
        <v>459</v>
      </c>
      <c r="N49" s="68">
        <f>IS!Z28</f>
        <v>1977</v>
      </c>
      <c r="O49" s="85"/>
      <c r="P49" s="50">
        <f>IS!AB28</f>
        <v>1055</v>
      </c>
      <c r="Q49" s="50">
        <f>IS!AC28</f>
        <v>1119</v>
      </c>
      <c r="R49" s="50">
        <f>IS!AD28</f>
        <v>0</v>
      </c>
      <c r="S49" s="50">
        <f>IS!AE28</f>
        <v>0</v>
      </c>
      <c r="T49" s="68">
        <f>+SUM(Q49:S49)</f>
        <v>1119</v>
      </c>
      <c r="U49" s="82"/>
      <c r="V49" s="50">
        <f>IS!AH28</f>
        <v>1621</v>
      </c>
      <c r="W49" s="50">
        <f>IS!AI28</f>
        <v>1818</v>
      </c>
      <c r="X49" s="46">
        <f>X52+X55</f>
        <v>1722.8441371901436</v>
      </c>
      <c r="Y49" s="46">
        <f>Y52+Y55</f>
        <v>1756.5617489679369</v>
      </c>
      <c r="Z49" s="57">
        <f>SUM(V49:Y49)</f>
        <v>6918.4058861580806</v>
      </c>
      <c r="AA49" s="183"/>
      <c r="AB49" s="46">
        <f t="shared" ref="AB49:AE49" si="34">AB52+AB55</f>
        <v>2042.889855763593</v>
      </c>
      <c r="AC49" s="46">
        <f t="shared" si="34"/>
        <v>2041.8710656174126</v>
      </c>
      <c r="AD49" s="46">
        <f t="shared" si="34"/>
        <v>2040.852784866305</v>
      </c>
      <c r="AE49" s="46">
        <f t="shared" si="34"/>
        <v>2039.8350132555731</v>
      </c>
      <c r="AF49" s="57">
        <f>SUM(AB49:AE49)</f>
        <v>8165.4487195028842</v>
      </c>
      <c r="AG49" s="183"/>
      <c r="AH49" s="66">
        <f>AH52+AH55</f>
        <v>10273.292744625849</v>
      </c>
      <c r="AI49" s="183"/>
      <c r="AJ49" s="66">
        <f>AJ52+AJ55</f>
        <v>10247.594917719338</v>
      </c>
      <c r="AK49" s="66"/>
      <c r="AL49" s="66">
        <f>AL52+AL55</f>
        <v>10221.972191515864</v>
      </c>
    </row>
    <row r="50" spans="2:38" s="54" customFormat="1" ht="14.25" customHeight="1">
      <c r="B50" s="31" t="s">
        <v>458</v>
      </c>
      <c r="C50" s="23"/>
      <c r="D50" s="680">
        <f>D49/(D79+D82)</f>
        <v>6.1748532847720976E-5</v>
      </c>
      <c r="E50" s="680">
        <f>E49/(E79+E82)</f>
        <v>6.7880301136610162E-5</v>
      </c>
      <c r="F50" s="680">
        <f>F49/(F79+F82)</f>
        <v>7.7591632365098324E-5</v>
      </c>
      <c r="G50" s="680">
        <f>G49/(G79+G82)</f>
        <v>8.8468263388293876E-5</v>
      </c>
      <c r="H50" s="681">
        <f>H49/(H79+H82)</f>
        <v>2.6540479016488161E-4</v>
      </c>
      <c r="I50" s="48"/>
      <c r="J50" s="680">
        <f>J49/(J79+J82)</f>
        <v>1.385534100303432E-4</v>
      </c>
      <c r="K50" s="680">
        <f>K49/(K79+K82)</f>
        <v>1.6027958234905414E-4</v>
      </c>
      <c r="L50" s="680">
        <f>L49/(L79+L82)</f>
        <v>1.3334678006745779E-4</v>
      </c>
      <c r="M50" s="680">
        <f>M49/(M79+M82)</f>
        <v>1.2072386979181051E-4</v>
      </c>
      <c r="N50" s="681">
        <f>N49/(N79+N82)</f>
        <v>5.1998058949544526E-4</v>
      </c>
      <c r="O50" s="71"/>
      <c r="P50" s="680">
        <f>P49/(P79+P82)</f>
        <v>2.7420908871872619E-4</v>
      </c>
      <c r="Q50" s="680">
        <f>Q49/(Q79+Q82)</f>
        <v>2.9080034022860182E-4</v>
      </c>
      <c r="R50" s="680">
        <f>R49/(R79+R82)</f>
        <v>0</v>
      </c>
      <c r="S50" s="680">
        <f>S49/(S79+S82)</f>
        <v>0</v>
      </c>
      <c r="T50" s="681">
        <f>T49/(T79+T82)</f>
        <v>2.7391532956493725E-4</v>
      </c>
      <c r="U50" s="49"/>
      <c r="V50" s="679">
        <f>V49/(V79+V82)</f>
        <v>3.9400270041332609E-4</v>
      </c>
      <c r="W50" s="679">
        <f>W49/(W79+W82)</f>
        <v>4.3983810667356344E-4</v>
      </c>
      <c r="X50" s="679">
        <f>X49/( X79+X82)</f>
        <v>4.1698668335260101E-4</v>
      </c>
      <c r="Y50" s="679">
        <f>Y49/( Y79+Y82)</f>
        <v>4.2532307437262543E-4</v>
      </c>
      <c r="Z50" s="681">
        <f>Z49/( Z79+Z82)</f>
        <v>1.6751803134659596E-3</v>
      </c>
      <c r="AA50" s="71"/>
      <c r="AB50" s="680">
        <f t="shared" ref="AB50:AE50" si="35">AB49/( AB79+AB82)</f>
        <v>4.9488851256548211E-4</v>
      </c>
      <c r="AC50" s="680">
        <f t="shared" si="35"/>
        <v>4.9487740514936481E-4</v>
      </c>
      <c r="AD50" s="680">
        <f t="shared" si="35"/>
        <v>4.9486628847230957E-4</v>
      </c>
      <c r="AE50" s="680">
        <f t="shared" si="35"/>
        <v>4.9485516252864472E-4</v>
      </c>
      <c r="AF50" s="681">
        <f>AF49/( AF79+AF82)</f>
        <v>1.9809025862145293E-3</v>
      </c>
      <c r="AG50" s="683"/>
      <c r="AH50" s="681">
        <f>AH49/( AH79+AH82)</f>
        <v>2.4978462201174596E-3</v>
      </c>
      <c r="AI50" s="688"/>
      <c r="AJ50" s="681">
        <f>AJ49/( AJ79+AJ82)</f>
        <v>2.4971475461576615E-3</v>
      </c>
      <c r="AK50" s="689"/>
      <c r="AL50" s="681">
        <f>AL49/( AL79+AL82)</f>
        <v>2.4963917395901315E-3</v>
      </c>
    </row>
    <row r="51" spans="2:38" s="54" customFormat="1" ht="14.25" customHeight="1">
      <c r="B51" s="31"/>
      <c r="C51" s="23"/>
      <c r="D51" s="303"/>
      <c r="E51" s="303"/>
      <c r="F51" s="303"/>
      <c r="G51" s="303"/>
      <c r="H51" s="306"/>
      <c r="I51" s="48"/>
      <c r="J51" s="303"/>
      <c r="K51" s="303"/>
      <c r="L51" s="303"/>
      <c r="M51" s="303"/>
      <c r="N51" s="306"/>
      <c r="O51" s="71"/>
      <c r="P51" s="303"/>
      <c r="Q51" s="303"/>
      <c r="R51" s="303"/>
      <c r="S51" s="303"/>
      <c r="T51" s="306"/>
      <c r="U51" s="49"/>
      <c r="V51" s="303"/>
      <c r="W51" s="303"/>
      <c r="X51" s="50"/>
      <c r="Y51" s="50"/>
      <c r="Z51" s="66"/>
      <c r="AA51" s="71"/>
      <c r="AB51" s="50"/>
      <c r="AC51" s="50"/>
      <c r="AD51" s="50"/>
      <c r="AE51" s="50"/>
      <c r="AF51" s="66"/>
      <c r="AG51" s="71"/>
      <c r="AH51" s="68"/>
      <c r="AI51" s="72"/>
      <c r="AJ51" s="68"/>
    </row>
    <row r="52" spans="2:38" s="54" customFormat="1" ht="14.25" customHeight="1">
      <c r="B52" s="299" t="s">
        <v>459</v>
      </c>
      <c r="C52" s="23"/>
      <c r="D52" s="50">
        <f>+IS!P28</f>
        <v>173</v>
      </c>
      <c r="E52" s="50">
        <f>+IS!Q28</f>
        <v>194</v>
      </c>
      <c r="F52" s="50">
        <f>+IS!R28</f>
        <v>243</v>
      </c>
      <c r="G52" s="50">
        <f>+IS!S28</f>
        <v>305</v>
      </c>
      <c r="H52" s="50">
        <f>+IS!T28</f>
        <v>915</v>
      </c>
      <c r="I52" s="50"/>
      <c r="J52" s="50">
        <f>+IS!V28</f>
        <v>480</v>
      </c>
      <c r="K52" s="50">
        <f>+IS!W28</f>
        <v>562</v>
      </c>
      <c r="L52" s="50">
        <f>+IS!X28</f>
        <v>476</v>
      </c>
      <c r="M52" s="50">
        <f>+IS!Y28</f>
        <v>459</v>
      </c>
      <c r="N52" s="50">
        <f>+IS!Z28</f>
        <v>1977</v>
      </c>
      <c r="O52" s="50"/>
      <c r="P52" s="50">
        <f>+IS!AB28</f>
        <v>1055</v>
      </c>
      <c r="Q52" s="50">
        <f>+IS!AC28</f>
        <v>1119</v>
      </c>
      <c r="R52" s="50">
        <f>+IS!AD28</f>
        <v>0</v>
      </c>
      <c r="S52" s="50">
        <f>+IS!AE28</f>
        <v>0</v>
      </c>
      <c r="T52" s="50">
        <f>+IS!AF28</f>
        <v>2174</v>
      </c>
      <c r="U52" s="50"/>
      <c r="V52" s="50">
        <f>+IS!AH28</f>
        <v>1621</v>
      </c>
      <c r="W52" s="50">
        <f>+IS!AI28</f>
        <v>1818</v>
      </c>
      <c r="X52" s="46">
        <f>+X53*W79</f>
        <v>1722.8441371901436</v>
      </c>
      <c r="Y52" s="46">
        <f t="shared" ref="Y52" si="36">+Y53*X79</f>
        <v>1756.5617489679369</v>
      </c>
      <c r="Z52" s="46">
        <f>+SUM(V52:Y52)</f>
        <v>6918.4058861580806</v>
      </c>
      <c r="AA52" s="46"/>
      <c r="AB52" s="46">
        <f>+AB53*Y79</f>
        <v>2042.889855763593</v>
      </c>
      <c r="AC52" s="46">
        <f>+AC53*AB79</f>
        <v>2041.8710656174126</v>
      </c>
      <c r="AD52" s="46">
        <f t="shared" ref="AD52:AE52" si="37">+AD53*AC79</f>
        <v>2040.852784866305</v>
      </c>
      <c r="AE52" s="46">
        <f t="shared" si="37"/>
        <v>2039.8350132555731</v>
      </c>
      <c r="AF52" s="46">
        <f>+SUM(AB52:AE52)</f>
        <v>8165.4487195028842</v>
      </c>
      <c r="AG52" s="46"/>
      <c r="AH52" s="46">
        <f>+AH53*AF79*4</f>
        <v>10273.292744625849</v>
      </c>
      <c r="AI52" s="46"/>
      <c r="AJ52" s="46">
        <f>+AJ53*AH79*4</f>
        <v>10247.594917719338</v>
      </c>
      <c r="AK52" s="46"/>
      <c r="AL52" s="46">
        <f>+AL53*AJ79*4</f>
        <v>10221.972191515864</v>
      </c>
    </row>
    <row r="53" spans="2:38" s="54" customFormat="1" ht="14.25" customHeight="1">
      <c r="B53" s="300" t="s">
        <v>460</v>
      </c>
      <c r="C53" s="23"/>
      <c r="D53" s="680">
        <f>D52/D79</f>
        <v>6.1870233443901039E-5</v>
      </c>
      <c r="E53" s="680">
        <f>E52/E79</f>
        <v>6.8011852292279879E-5</v>
      </c>
      <c r="F53" s="680">
        <f>F52/F79</f>
        <v>7.780518925391868E-5</v>
      </c>
      <c r="G53" s="680">
        <f>G52/G79</f>
        <v>8.8784456374229107E-5</v>
      </c>
      <c r="H53" s="681">
        <f>H52/H79</f>
        <v>2.6635336912268732E-4</v>
      </c>
      <c r="I53" s="682"/>
      <c r="J53" s="680">
        <f>J52/J79</f>
        <v>1.3897188598746473E-4</v>
      </c>
      <c r="K53" s="680">
        <f>K52/K79</f>
        <v>1.6074691827849775E-4</v>
      </c>
      <c r="L53" s="680">
        <f>L52/L79</f>
        <v>1.3371169623399321E-4</v>
      </c>
      <c r="M53" s="680">
        <f>M52/M79</f>
        <v>1.21020272082047E-4</v>
      </c>
      <c r="N53" s="681">
        <f>N52/N79</f>
        <v>5.212572503403201E-4</v>
      </c>
      <c r="O53" s="683"/>
      <c r="P53" s="680">
        <f>P52/P79</f>
        <v>2.7655142729371228E-4</v>
      </c>
      <c r="Q53" s="680">
        <f>Q52/Q79</f>
        <v>2.9336468848681233E-4</v>
      </c>
      <c r="R53" s="680">
        <f>R52/R79</f>
        <v>0</v>
      </c>
      <c r="S53" s="680">
        <f t="shared" ref="S53:W53" si="38">S52/S79</f>
        <v>0</v>
      </c>
      <c r="T53" s="680">
        <f t="shared" si="38"/>
        <v>5.375945241521882E-4</v>
      </c>
      <c r="U53" s="680"/>
      <c r="V53" s="680">
        <f t="shared" si="38"/>
        <v>3.9804049159596804E-4</v>
      </c>
      <c r="W53" s="680">
        <f t="shared" si="38"/>
        <v>4.4457997585378061E-4</v>
      </c>
      <c r="X53" s="680">
        <f>+AVERAGE(V53:W53)</f>
        <v>4.2131023372487435E-4</v>
      </c>
      <c r="Y53" s="680">
        <f>+X53*1.02</f>
        <v>4.2973643839937182E-4</v>
      </c>
      <c r="Z53" s="680"/>
      <c r="AA53" s="680"/>
      <c r="AB53" s="680">
        <v>5.0000000000000001E-4</v>
      </c>
      <c r="AC53" s="680">
        <v>5.0000000000000001E-4</v>
      </c>
      <c r="AD53" s="680">
        <v>5.0000000000000001E-4</v>
      </c>
      <c r="AE53" s="680">
        <v>5.0000000000000001E-4</v>
      </c>
      <c r="AF53" s="680"/>
      <c r="AG53" s="680"/>
      <c r="AH53" s="680">
        <f>0.05832%*1.08</f>
        <v>6.2985600000000004E-4</v>
      </c>
      <c r="AI53" s="680"/>
      <c r="AJ53" s="680">
        <f>0.05832%*1.08</f>
        <v>6.2985600000000004E-4</v>
      </c>
      <c r="AK53" s="680"/>
      <c r="AL53" s="680">
        <f>0.05832%*1.08</f>
        <v>6.2985600000000004E-4</v>
      </c>
    </row>
    <row r="54" spans="2:38" s="54" customFormat="1" ht="14.25" customHeight="1">
      <c r="B54" s="31"/>
      <c r="C54" s="23"/>
      <c r="D54" s="303"/>
      <c r="E54" s="303"/>
      <c r="F54" s="303"/>
      <c r="G54" s="303"/>
      <c r="H54" s="306"/>
      <c r="I54" s="48"/>
      <c r="J54" s="303"/>
      <c r="K54" s="303"/>
      <c r="L54" s="303"/>
      <c r="M54" s="303"/>
      <c r="N54" s="306"/>
      <c r="O54" s="71"/>
      <c r="P54" s="303"/>
      <c r="Q54" s="303"/>
      <c r="R54" s="303"/>
      <c r="S54" s="303"/>
      <c r="T54" s="306"/>
      <c r="U54" s="49"/>
      <c r="V54" s="303"/>
      <c r="W54" s="303"/>
      <c r="X54" s="50"/>
      <c r="Y54" s="50"/>
      <c r="Z54" s="66"/>
      <c r="AA54" s="71"/>
      <c r="AB54" s="50"/>
      <c r="AC54" s="50"/>
      <c r="AD54" s="50"/>
      <c r="AE54" s="50"/>
      <c r="AF54" s="66"/>
      <c r="AG54" s="71"/>
      <c r="AH54" s="68"/>
      <c r="AI54" s="72"/>
      <c r="AJ54" s="68"/>
    </row>
    <row r="55" spans="2:38" s="54" customFormat="1" ht="14.25" customHeight="1">
      <c r="B55" s="299" t="s">
        <v>461</v>
      </c>
      <c r="C55" s="23"/>
      <c r="D55" s="50">
        <f>IS!P65</f>
        <v>0</v>
      </c>
      <c r="E55" s="50">
        <f>IS!Q65</f>
        <v>0</v>
      </c>
      <c r="F55" s="50">
        <f>IS!R65</f>
        <v>0</v>
      </c>
      <c r="G55" s="50">
        <f>IS!S65</f>
        <v>0</v>
      </c>
      <c r="H55" s="68">
        <f>IS!T65</f>
        <v>0</v>
      </c>
      <c r="I55" s="48"/>
      <c r="J55" s="50">
        <f>IS!V65</f>
        <v>0</v>
      </c>
      <c r="K55" s="50">
        <f>IS!W65</f>
        <v>0</v>
      </c>
      <c r="L55" s="50">
        <f>IS!X65</f>
        <v>0</v>
      </c>
      <c r="M55" s="50">
        <f>IS!Y65</f>
        <v>0</v>
      </c>
      <c r="N55" s="68">
        <f>IS!Z65</f>
        <v>0</v>
      </c>
      <c r="O55" s="71"/>
      <c r="P55" s="50">
        <f>IS!AB65</f>
        <v>0</v>
      </c>
      <c r="Q55" s="50">
        <f>IS!AC65</f>
        <v>0</v>
      </c>
      <c r="R55" s="50">
        <f>IS!AD65</f>
        <v>0</v>
      </c>
      <c r="S55" s="50">
        <f>IS!AE65</f>
        <v>0</v>
      </c>
      <c r="T55" s="68">
        <f>IS!AF65</f>
        <v>0</v>
      </c>
      <c r="U55" s="49"/>
      <c r="V55" s="50">
        <f>IS!AH65</f>
        <v>0</v>
      </c>
      <c r="W55" s="50">
        <f>IS!AI65</f>
        <v>0</v>
      </c>
      <c r="X55" s="46">
        <f>X56*W82</f>
        <v>0</v>
      </c>
      <c r="Y55" s="46">
        <f>Y56*X82</f>
        <v>0</v>
      </c>
      <c r="Z55" s="57">
        <f>SUM(V55:Y55)</f>
        <v>0</v>
      </c>
      <c r="AA55" s="71"/>
      <c r="AB55" s="46">
        <f>AB56*Y82</f>
        <v>0</v>
      </c>
      <c r="AC55" s="46">
        <f t="shared" ref="AC55:AE55" si="39">AC56*AB82</f>
        <v>0</v>
      </c>
      <c r="AD55" s="46">
        <f t="shared" si="39"/>
        <v>0</v>
      </c>
      <c r="AE55" s="46">
        <f t="shared" si="39"/>
        <v>0</v>
      </c>
      <c r="AF55" s="57">
        <f>SUM(AB55:AE55)</f>
        <v>0</v>
      </c>
      <c r="AG55" s="71"/>
      <c r="AH55" s="57">
        <f>AH56*AF82</f>
        <v>0</v>
      </c>
      <c r="AI55" s="72"/>
      <c r="AJ55" s="57">
        <f>AJ56*AH82</f>
        <v>0</v>
      </c>
      <c r="AL55" s="57">
        <f>AL56*AJ82</f>
        <v>0</v>
      </c>
    </row>
    <row r="56" spans="2:38" s="54" customFormat="1" ht="14.25" customHeight="1">
      <c r="B56" s="300" t="s">
        <v>462</v>
      </c>
      <c r="C56" s="23"/>
      <c r="D56" s="303">
        <f>D55/D82</f>
        <v>0</v>
      </c>
      <c r="E56" s="303">
        <f>E55/E82</f>
        <v>0</v>
      </c>
      <c r="F56" s="303">
        <f>F55/F82</f>
        <v>0</v>
      </c>
      <c r="G56" s="303">
        <f>G55/G82</f>
        <v>0</v>
      </c>
      <c r="H56" s="306">
        <f>H55/H82</f>
        <v>0</v>
      </c>
      <c r="I56" s="48"/>
      <c r="J56" s="303">
        <f>J55/J82</f>
        <v>0</v>
      </c>
      <c r="K56" s="303">
        <f>K55/K82</f>
        <v>0</v>
      </c>
      <c r="L56" s="303">
        <f>L55/L82</f>
        <v>0</v>
      </c>
      <c r="M56" s="303">
        <f>M55/M82</f>
        <v>0</v>
      </c>
      <c r="N56" s="306">
        <f>N55/N82</f>
        <v>0</v>
      </c>
      <c r="O56" s="71"/>
      <c r="P56" s="303">
        <f>P55/P82</f>
        <v>0</v>
      </c>
      <c r="Q56" s="303">
        <f>Q55/Q82</f>
        <v>0</v>
      </c>
      <c r="R56" s="303">
        <f>R55/R82</f>
        <v>0</v>
      </c>
      <c r="S56" s="303">
        <f>S55/S82</f>
        <v>0</v>
      </c>
      <c r="T56" s="306">
        <f>T55/T82</f>
        <v>0</v>
      </c>
      <c r="U56" s="49"/>
      <c r="V56" s="303">
        <f>V55/V82</f>
        <v>0</v>
      </c>
      <c r="W56" s="303">
        <f>W55/W82</f>
        <v>0</v>
      </c>
      <c r="X56" s="314">
        <v>0</v>
      </c>
      <c r="Y56" s="314">
        <v>0</v>
      </c>
      <c r="Z56" s="304">
        <f>Z55/Z82</f>
        <v>0</v>
      </c>
      <c r="AA56" s="71"/>
      <c r="AB56" s="314">
        <v>0</v>
      </c>
      <c r="AC56" s="314">
        <v>0</v>
      </c>
      <c r="AD56" s="314">
        <v>0</v>
      </c>
      <c r="AE56" s="314">
        <v>0</v>
      </c>
      <c r="AF56" s="304">
        <f>AF55/AF82</f>
        <v>0</v>
      </c>
      <c r="AG56" s="71"/>
      <c r="AH56" s="314">
        <v>0</v>
      </c>
      <c r="AI56" s="72"/>
      <c r="AJ56" s="314">
        <v>0</v>
      </c>
      <c r="AL56" s="314">
        <v>0</v>
      </c>
    </row>
    <row r="57" spans="2:38" s="54" customFormat="1" ht="14.25" customHeight="1">
      <c r="B57" s="31"/>
      <c r="C57" s="23"/>
      <c r="D57" s="46"/>
      <c r="E57" s="46"/>
      <c r="F57" s="46"/>
      <c r="G57" s="46"/>
      <c r="H57" s="66"/>
      <c r="I57" s="48"/>
      <c r="J57" s="46"/>
      <c r="K57" s="46"/>
      <c r="L57" s="46"/>
      <c r="M57" s="46"/>
      <c r="N57" s="66"/>
      <c r="O57" s="71"/>
      <c r="P57" s="46"/>
      <c r="Q57" s="46"/>
      <c r="R57" s="46"/>
      <c r="S57" s="46"/>
      <c r="T57" s="66"/>
      <c r="U57" s="49"/>
      <c r="V57" s="46"/>
      <c r="W57" s="46"/>
      <c r="X57" s="50"/>
      <c r="Y57" s="50"/>
      <c r="Z57" s="66"/>
      <c r="AA57" s="71"/>
      <c r="AB57" s="50"/>
      <c r="AC57" s="50"/>
      <c r="AD57" s="50"/>
      <c r="AE57" s="50"/>
      <c r="AF57" s="66"/>
      <c r="AG57" s="71"/>
      <c r="AH57" s="68"/>
      <c r="AI57" s="72"/>
      <c r="AJ57" s="68"/>
    </row>
    <row r="58" spans="2:38" s="54" customFormat="1" ht="14.25" customHeight="1">
      <c r="B58" s="39" t="s">
        <v>463</v>
      </c>
      <c r="C58" s="23"/>
      <c r="D58" s="50">
        <f>IS!P30+IS!P32</f>
        <v>-400</v>
      </c>
      <c r="E58" s="50">
        <f>IS!Q30+IS!Q32</f>
        <v>-636</v>
      </c>
      <c r="F58" s="50">
        <f>IS!R30+IS!R32</f>
        <v>-2884</v>
      </c>
      <c r="G58" s="50">
        <f>IS!S30+IS!S32</f>
        <v>8244</v>
      </c>
      <c r="H58" s="68">
        <f>IS!T30+IS!T32</f>
        <v>4324</v>
      </c>
      <c r="I58" s="48"/>
      <c r="J58" s="50">
        <f>IS!V30+IS!V32</f>
        <v>11382</v>
      </c>
      <c r="K58" s="50">
        <f>IS!W30+IS!W32</f>
        <v>1921</v>
      </c>
      <c r="L58" s="50">
        <f>IS!X30+IS!X32</f>
        <v>-2216</v>
      </c>
      <c r="M58" s="50">
        <f>IS!Y30+IS!Y32</f>
        <v>18132</v>
      </c>
      <c r="N58" s="68">
        <f>IS!Z30+IS!Z32</f>
        <v>29219</v>
      </c>
      <c r="O58" s="71"/>
      <c r="P58" s="50">
        <f>IS!AB30+IS!AB32</f>
        <v>-4859</v>
      </c>
      <c r="Q58" s="50">
        <f>IS!AC30+IS!AC32</f>
        <v>9027</v>
      </c>
      <c r="R58" s="50">
        <f>IS!AD30+IS!AD32</f>
        <v>6229</v>
      </c>
      <c r="S58" s="50">
        <f>IS!AE30+IS!AE32</f>
        <v>-4256</v>
      </c>
      <c r="T58" s="68">
        <f>IS!AF30+IS!AF32</f>
        <v>6141</v>
      </c>
      <c r="U58" s="49"/>
      <c r="V58" s="50">
        <f>IS!AH30+IS!AH32</f>
        <v>11610</v>
      </c>
      <c r="W58" s="50">
        <f>IS!AI30+IS!AI32</f>
        <v>38306</v>
      </c>
      <c r="X58" s="46">
        <f>X59*X$31</f>
        <v>11630.92</v>
      </c>
      <c r="Y58" s="46">
        <f>Y59*Y$31</f>
        <v>16217.88</v>
      </c>
      <c r="Z58" s="57">
        <f>SUM(V58:Y58)</f>
        <v>77764.800000000003</v>
      </c>
      <c r="AA58" s="71"/>
      <c r="AB58" s="46">
        <f>AB59*AB$31</f>
        <v>15170.181149731783</v>
      </c>
      <c r="AC58" s="46">
        <f>AC59*AC$31</f>
        <v>15170.181149731783</v>
      </c>
      <c r="AD58" s="46">
        <f>AD59*AD$31</f>
        <v>15170.181149731783</v>
      </c>
      <c r="AE58" s="46">
        <f>AE59*AE$31</f>
        <v>15170.181149731783</v>
      </c>
      <c r="AF58" s="57">
        <f>SUM(AB58:AE58)</f>
        <v>60680.724598927132</v>
      </c>
      <c r="AG58" s="71"/>
      <c r="AH58" s="57">
        <f>AH59*AH$31</f>
        <v>69915.222242033225</v>
      </c>
      <c r="AI58" s="72"/>
      <c r="AJ58" s="57">
        <f>AJ59*AJ$31</f>
        <v>73830.320137295566</v>
      </c>
      <c r="AL58" s="57">
        <f>AL59*AL$31</f>
        <v>80033.898418988276</v>
      </c>
    </row>
    <row r="59" spans="2:38" s="54" customFormat="1" ht="14.25" customHeight="1">
      <c r="B59" s="31" t="s">
        <v>449</v>
      </c>
      <c r="C59" s="21"/>
      <c r="D59" s="303">
        <f>D58/D31</f>
        <v>-1.1718521122634324E-2</v>
      </c>
      <c r="E59" s="303">
        <f>E58/E31</f>
        <v>-1.8541192933356654E-2</v>
      </c>
      <c r="F59" s="303">
        <f>F58/F31</f>
        <v>-8.3890860433998488E-2</v>
      </c>
      <c r="G59" s="303">
        <f>G58/G31</f>
        <v>0.21665089877010407</v>
      </c>
      <c r="H59" s="306">
        <f>H58/H31</f>
        <v>3.0695838598384279E-2</v>
      </c>
      <c r="I59" s="48"/>
      <c r="J59" s="303">
        <f>J58/J31</f>
        <v>0.21585844601642359</v>
      </c>
      <c r="K59" s="303">
        <f>K58/K31</f>
        <v>4.91153610145224E-2</v>
      </c>
      <c r="L59" s="303">
        <f>L58/L31</f>
        <v>-5.7663283892792093E-2</v>
      </c>
      <c r="M59" s="303">
        <f>M58/M31</f>
        <v>0.78456146423780881</v>
      </c>
      <c r="N59" s="306">
        <f>N58/N31</f>
        <v>0.19049823316947229</v>
      </c>
      <c r="O59" s="85"/>
      <c r="P59" s="303">
        <f>P58/P31</f>
        <v>-0.12803689064558629</v>
      </c>
      <c r="Q59" s="303">
        <f>Q58/Q31</f>
        <v>0.22695730879469</v>
      </c>
      <c r="R59" s="303">
        <f>R58/R31</f>
        <v>0.14995546354028744</v>
      </c>
      <c r="S59" s="303">
        <f>S58/S31</f>
        <v>-7.3479394347473276E-2</v>
      </c>
      <c r="T59" s="306">
        <f>T58/T31</f>
        <v>3.4658885678165073E-2</v>
      </c>
      <c r="U59" s="82"/>
      <c r="V59" s="303">
        <f>V58/V31</f>
        <v>0.25323910482921086</v>
      </c>
      <c r="W59" s="303">
        <f>W58/W31</f>
        <v>0.59855930746753749</v>
      </c>
      <c r="X59" s="314">
        <v>0.2</v>
      </c>
      <c r="Y59" s="314">
        <v>0.2</v>
      </c>
      <c r="Z59" s="304">
        <f>Z58/Z$31</f>
        <v>0.31219935203362681</v>
      </c>
      <c r="AA59" s="71"/>
      <c r="AB59" s="314">
        <v>0.2</v>
      </c>
      <c r="AC59" s="314">
        <v>0.2</v>
      </c>
      <c r="AD59" s="314">
        <v>0.2</v>
      </c>
      <c r="AE59" s="314">
        <v>0.2</v>
      </c>
      <c r="AF59" s="304">
        <f>+AVERAGE(AB59:AE59)</f>
        <v>0.2</v>
      </c>
      <c r="AG59" s="71"/>
      <c r="AH59" s="314">
        <v>0.2</v>
      </c>
      <c r="AI59" s="72"/>
      <c r="AJ59" s="314">
        <v>0.2</v>
      </c>
      <c r="AL59" s="314">
        <v>0.2</v>
      </c>
    </row>
    <row r="60" spans="2:38" s="54" customFormat="1" ht="14.25" customHeight="1">
      <c r="B60" s="39"/>
      <c r="C60" s="23"/>
      <c r="D60" s="46"/>
      <c r="E60" s="46"/>
      <c r="F60" s="46"/>
      <c r="G60" s="46"/>
      <c r="H60" s="66"/>
      <c r="I60" s="48"/>
      <c r="J60" s="46"/>
      <c r="K60" s="46"/>
      <c r="L60" s="46"/>
      <c r="M60" s="46"/>
      <c r="N60" s="66"/>
      <c r="O60" s="71"/>
      <c r="P60" s="46"/>
      <c r="Q60" s="46"/>
      <c r="R60" s="565"/>
      <c r="S60" s="786">
        <f>+AVERAGE(V59:W59,P59:R59,J59:L59,D59:F59)</f>
        <v>0.10853038569402763</v>
      </c>
      <c r="T60" s="66"/>
      <c r="U60" s="49"/>
      <c r="V60" s="46"/>
      <c r="W60" s="46"/>
      <c r="X60" s="50"/>
      <c r="Y60" s="743"/>
      <c r="Z60" s="742"/>
      <c r="AA60" s="71"/>
      <c r="AB60" s="50"/>
      <c r="AC60" s="50"/>
      <c r="AD60" s="50"/>
      <c r="AE60" s="50"/>
      <c r="AF60" s="66"/>
      <c r="AG60" s="71"/>
      <c r="AH60" s="68"/>
      <c r="AI60" s="72"/>
      <c r="AJ60" s="68"/>
    </row>
    <row r="61" spans="2:38" s="54" customFormat="1" ht="14.25" customHeight="1">
      <c r="B61" s="28" t="s">
        <v>464</v>
      </c>
      <c r="C61" s="23"/>
      <c r="D61" s="50">
        <f>IS!P33</f>
        <v>17288</v>
      </c>
      <c r="E61" s="50">
        <f>IS!Q33</f>
        <v>21112</v>
      </c>
      <c r="F61" s="50">
        <f>IS!R33</f>
        <v>20961</v>
      </c>
      <c r="G61" s="50">
        <f>IS!S33</f>
        <v>25367</v>
      </c>
      <c r="H61" s="68">
        <f>IS!T33</f>
        <v>84728</v>
      </c>
      <c r="I61" s="48"/>
      <c r="J61" s="50">
        <f>IS!V33</f>
        <v>36065</v>
      </c>
      <c r="K61" s="50">
        <f>IS!W33</f>
        <v>19959</v>
      </c>
      <c r="L61" s="50">
        <f>IS!X33</f>
        <v>18675</v>
      </c>
      <c r="M61" s="50">
        <f>IS!Y33</f>
        <v>-10710</v>
      </c>
      <c r="N61" s="68">
        <f>IS!Z33</f>
        <v>63989</v>
      </c>
      <c r="O61" s="71"/>
      <c r="P61" s="50">
        <f>IS!AB33</f>
        <v>16906</v>
      </c>
      <c r="Q61" s="50">
        <f>IS!AC33</f>
        <v>19586</v>
      </c>
      <c r="R61" s="50">
        <f>IS!AD33</f>
        <v>19162</v>
      </c>
      <c r="S61" s="50">
        <f>IS!AE33</f>
        <v>37759</v>
      </c>
      <c r="T61" s="68">
        <f>IS!AF33</f>
        <v>93413</v>
      </c>
      <c r="U61" s="49"/>
      <c r="V61" s="50">
        <f>IS!AH33</f>
        <v>18699</v>
      </c>
      <c r="W61" s="50">
        <f>IS!AI33</f>
        <v>21706</v>
      </c>
      <c r="X61" s="46">
        <f>X40-X43-X46-X49-X58</f>
        <v>27354.45586280986</v>
      </c>
      <c r="Y61" s="46">
        <f>Y40-Y43-Y46-Y49-Y58</f>
        <v>38788.138251032062</v>
      </c>
      <c r="Z61" s="66">
        <f>SUM(V61:Y61)</f>
        <v>106547.59411384191</v>
      </c>
      <c r="AA61" s="71"/>
      <c r="AB61" s="46">
        <f t="shared" ref="AB61:AE61" si="40">AB40-AB43-AB46-AB49-AB58</f>
        <v>28297.472443699975</v>
      </c>
      <c r="AC61" s="46">
        <f t="shared" si="40"/>
        <v>28298.491233846151</v>
      </c>
      <c r="AD61" s="46">
        <f t="shared" si="40"/>
        <v>28299.509514597259</v>
      </c>
      <c r="AE61" s="46">
        <f t="shared" si="40"/>
        <v>28300.527286207995</v>
      </c>
      <c r="AF61" s="66">
        <f>SUM(AB61:AE61)</f>
        <v>113196.00047835137</v>
      </c>
      <c r="AG61" s="71"/>
      <c r="AH61" s="54">
        <f>AH40-AH43-AH46-AH49-AH58</f>
        <v>147035.95729994887</v>
      </c>
      <c r="AI61" s="72"/>
      <c r="AJ61" s="54">
        <f>AJ40-AJ43-AJ46-AJ49-AJ58</f>
        <v>155870.62539119564</v>
      </c>
      <c r="AL61" s="54">
        <f>AL40-AL43-AL46-AL49-AL58</f>
        <v>169854.2992512077</v>
      </c>
    </row>
    <row r="62" spans="2:38" s="54" customFormat="1" ht="14.25" customHeight="1">
      <c r="B62" s="31" t="s">
        <v>449</v>
      </c>
      <c r="C62" s="23"/>
      <c r="D62" s="303">
        <f>D61/D31</f>
        <v>0.50647448292025543</v>
      </c>
      <c r="E62" s="303">
        <f>E61/E31</f>
        <v>0.6154743163663926</v>
      </c>
      <c r="F62" s="303">
        <f>F61/F31</f>
        <v>0.60972133341090229</v>
      </c>
      <c r="G62" s="303">
        <f>G61/G31</f>
        <v>0.66664038683906235</v>
      </c>
      <c r="H62" s="306">
        <f>H61/H31</f>
        <v>0.60147942015816447</v>
      </c>
      <c r="I62" s="48"/>
      <c r="J62" s="303">
        <f>J61/J31</f>
        <v>0.6839689734301807</v>
      </c>
      <c r="K62" s="303">
        <f>K61/K31</f>
        <v>0.51030374309674775</v>
      </c>
      <c r="L62" s="303">
        <f>L61/L31</f>
        <v>0.48594847775175642</v>
      </c>
      <c r="M62" s="303">
        <f>M61/M31</f>
        <v>-0.4634156894985072</v>
      </c>
      <c r="N62" s="306">
        <f>N61/N31</f>
        <v>0.41718715364253955</v>
      </c>
      <c r="O62" s="71"/>
      <c r="P62" s="303">
        <f>P61/P31</f>
        <v>0.44548089591567852</v>
      </c>
      <c r="Q62" s="303">
        <f>Q61/Q31</f>
        <v>0.4924322421682506</v>
      </c>
      <c r="R62" s="303">
        <f>R61/R31</f>
        <v>0.46130142757408699</v>
      </c>
      <c r="S62" s="303">
        <f>S61/S31</f>
        <v>0.65190518119507601</v>
      </c>
      <c r="T62" s="306">
        <f>T61/T31</f>
        <v>0.52720900307025464</v>
      </c>
      <c r="U62" s="49"/>
      <c r="V62" s="303">
        <f>V61/V31</f>
        <v>0.40786546263578066</v>
      </c>
      <c r="W62" s="303">
        <f>W61/W31</f>
        <v>0.33917214869447004</v>
      </c>
      <c r="X62" s="305">
        <f t="shared" ref="X62:Y62" si="41">X61/X$31</f>
        <v>0.47037475733320944</v>
      </c>
      <c r="Y62" s="305">
        <f t="shared" si="41"/>
        <v>0.47833796095460152</v>
      </c>
      <c r="Z62" s="304">
        <f>Z61/Z$31</f>
        <v>0.42775252869014407</v>
      </c>
      <c r="AA62" s="71"/>
      <c r="AB62" s="305">
        <f t="shared" ref="AB62" si="42">AB61/AB$31</f>
        <v>0.37306703412965231</v>
      </c>
      <c r="AC62" s="305">
        <f t="shared" ref="AC62" si="43">AC61/AC$31</f>
        <v>0.3730804656125874</v>
      </c>
      <c r="AD62" s="305">
        <f t="shared" ref="AD62" si="44">AD61/AD$31</f>
        <v>0.37309389037978113</v>
      </c>
      <c r="AE62" s="305">
        <f t="shared" ref="AE62" si="45">AE61/AE$31</f>
        <v>0.37310730843459128</v>
      </c>
      <c r="AF62" s="304">
        <f>AF61/AF$31</f>
        <v>0.37308717463915297</v>
      </c>
      <c r="AG62" s="71"/>
      <c r="AH62" s="304">
        <f>AH61/AH$31</f>
        <v>0.42061214306360439</v>
      </c>
      <c r="AI62" s="72"/>
      <c r="AJ62" s="304">
        <f>AJ61/AJ$31</f>
        <v>0.42224014497387297</v>
      </c>
      <c r="AL62" s="304">
        <f>AL61/AL$31</f>
        <v>0.42445589333159184</v>
      </c>
    </row>
    <row r="63" spans="2:38" s="54" customFormat="1" ht="14.25" customHeight="1">
      <c r="B63" s="31"/>
      <c r="C63" s="23"/>
      <c r="D63" s="46"/>
      <c r="E63" s="46"/>
      <c r="F63" s="46"/>
      <c r="G63" s="46"/>
      <c r="H63" s="66"/>
      <c r="I63" s="48"/>
      <c r="J63" s="46"/>
      <c r="K63" s="46"/>
      <c r="L63" s="46"/>
      <c r="M63" s="46"/>
      <c r="N63" s="66"/>
      <c r="O63" s="71"/>
      <c r="P63" s="46"/>
      <c r="Q63" s="46"/>
      <c r="R63" s="46"/>
      <c r="S63" s="46"/>
      <c r="T63" s="66"/>
      <c r="U63" s="49"/>
      <c r="V63" s="46"/>
      <c r="W63" s="46"/>
      <c r="X63" s="50"/>
      <c r="Y63" s="50"/>
      <c r="Z63" s="66"/>
      <c r="AA63" s="71"/>
      <c r="AB63" s="50"/>
      <c r="AC63" s="50"/>
      <c r="AD63" s="50"/>
      <c r="AE63" s="50"/>
      <c r="AF63" s="66"/>
      <c r="AG63" s="71"/>
      <c r="AH63" s="68"/>
      <c r="AI63" s="72"/>
      <c r="AJ63" s="68"/>
    </row>
    <row r="64" spans="2:38" s="54" customFormat="1" ht="14.25" customHeight="1">
      <c r="B64" s="28" t="s">
        <v>465</v>
      </c>
      <c r="C64" s="23"/>
      <c r="D64" s="318">
        <f>IS!P59</f>
        <v>103188.981</v>
      </c>
      <c r="E64" s="318">
        <f>IS!Q59</f>
        <v>103188.981</v>
      </c>
      <c r="F64" s="318">
        <f>IS!R59</f>
        <v>103188.981</v>
      </c>
      <c r="G64" s="318">
        <f>IS!S59</f>
        <v>103188.981</v>
      </c>
      <c r="H64" s="327">
        <f>IS!T59</f>
        <v>103188.981</v>
      </c>
      <c r="I64" s="328"/>
      <c r="J64" s="318">
        <f>IS!V59</f>
        <v>103188.981</v>
      </c>
      <c r="K64" s="318">
        <f>IS!W59</f>
        <v>103188.981</v>
      </c>
      <c r="L64" s="318">
        <f>IS!X59</f>
        <v>103188.981</v>
      </c>
      <c r="M64" s="318">
        <f>IS!Y59</f>
        <v>103188.981</v>
      </c>
      <c r="N64" s="327">
        <f>IS!Z59</f>
        <v>103188.981</v>
      </c>
      <c r="O64" s="330"/>
      <c r="P64" s="318">
        <f>IS!AB59</f>
        <v>103188.981</v>
      </c>
      <c r="Q64" s="318">
        <f>IS!AC59</f>
        <v>103188.981</v>
      </c>
      <c r="R64" s="318">
        <f>IS!AD59</f>
        <v>103188.981</v>
      </c>
      <c r="S64" s="318">
        <f>IS!AE59</f>
        <v>103188.981</v>
      </c>
      <c r="T64" s="327">
        <f>IS!AF59</f>
        <v>103188.981</v>
      </c>
      <c r="U64" s="331"/>
      <c r="V64" s="318">
        <f>IS!AH59</f>
        <v>103188.981</v>
      </c>
      <c r="W64" s="318">
        <f>IS!AI59</f>
        <v>103188.981</v>
      </c>
      <c r="X64" s="318">
        <f>W64+X101</f>
        <v>103270.7111032586</v>
      </c>
      <c r="Y64" s="318">
        <f>X64+Y101</f>
        <v>103334.14396763353</v>
      </c>
      <c r="Z64" s="327">
        <f>AVERAGE(V64:Y64)</f>
        <v>103245.70426772303</v>
      </c>
      <c r="AA64" s="71"/>
      <c r="AB64" s="318">
        <f>Y64+AB101</f>
        <v>103381.74379354388</v>
      </c>
      <c r="AC64" s="318">
        <f t="shared" ref="AC64:AE64" si="46">AB64+AC101</f>
        <v>103427.4253090558</v>
      </c>
      <c r="AD64" s="318">
        <f t="shared" si="46"/>
        <v>103427.4253090558</v>
      </c>
      <c r="AE64" s="318">
        <f t="shared" si="46"/>
        <v>103427.4253090558</v>
      </c>
      <c r="AF64" s="327">
        <f>AVERAGE(AB64:AE64)</f>
        <v>103416.00493017782</v>
      </c>
      <c r="AG64" s="71"/>
      <c r="AH64" s="327">
        <f>AE64+AH101</f>
        <v>103586.54442491589</v>
      </c>
      <c r="AI64" s="72"/>
      <c r="AJ64" s="327">
        <f>AF64+AJ101</f>
        <v>103563.9857079277</v>
      </c>
      <c r="AL64" s="327">
        <f>AH64+AL101</f>
        <v>103724.62973919313</v>
      </c>
    </row>
    <row r="65" spans="2:38" s="54" customFormat="1" ht="14.25" customHeight="1">
      <c r="B65" s="28" t="s">
        <v>466</v>
      </c>
      <c r="C65" s="23"/>
      <c r="D65" s="318">
        <f>IS!P60</f>
        <v>103188.981</v>
      </c>
      <c r="E65" s="318">
        <f>IS!Q60</f>
        <v>103188.981</v>
      </c>
      <c r="F65" s="318">
        <f>IS!R60</f>
        <v>103188.981</v>
      </c>
      <c r="G65" s="318">
        <f>IS!S60</f>
        <v>103188.981</v>
      </c>
      <c r="H65" s="327">
        <f>IS!T60</f>
        <v>103188.981</v>
      </c>
      <c r="I65" s="328"/>
      <c r="J65" s="318">
        <f>IS!V60</f>
        <v>103188.981</v>
      </c>
      <c r="K65" s="318">
        <f>IS!W60</f>
        <v>103188.981</v>
      </c>
      <c r="L65" s="318">
        <f>IS!X60</f>
        <v>103188.981</v>
      </c>
      <c r="M65" s="318">
        <f>IS!Y60</f>
        <v>103188.981</v>
      </c>
      <c r="N65" s="327">
        <f>IS!Z60</f>
        <v>103188.981</v>
      </c>
      <c r="O65" s="330"/>
      <c r="P65" s="318">
        <f>IS!AB60</f>
        <v>103188.981</v>
      </c>
      <c r="Q65" s="318">
        <f>IS!AC60</f>
        <v>103188.981</v>
      </c>
      <c r="R65" s="318">
        <f>IS!AD60</f>
        <v>103188.981</v>
      </c>
      <c r="S65" s="318">
        <f>IS!AE60</f>
        <v>103188.981</v>
      </c>
      <c r="T65" s="327">
        <f>IS!AF60</f>
        <v>103188.981</v>
      </c>
      <c r="U65" s="331"/>
      <c r="V65" s="318">
        <f>IS!AH60</f>
        <v>103188.981</v>
      </c>
      <c r="W65" s="318">
        <f>IS!AI60</f>
        <v>103188.981</v>
      </c>
      <c r="X65" s="318">
        <f>W65</f>
        <v>103188.981</v>
      </c>
      <c r="Y65" s="318">
        <f>X65</f>
        <v>103188.981</v>
      </c>
      <c r="Z65" s="327">
        <f>AVERAGE(V65:Y65)</f>
        <v>103188.981</v>
      </c>
      <c r="AA65" s="71"/>
      <c r="AB65" s="318">
        <f>Y65</f>
        <v>103188.981</v>
      </c>
      <c r="AC65" s="318">
        <f t="shared" ref="AC65:AE65" si="47">AB65</f>
        <v>103188.981</v>
      </c>
      <c r="AD65" s="318">
        <f t="shared" si="47"/>
        <v>103188.981</v>
      </c>
      <c r="AE65" s="318">
        <f t="shared" si="47"/>
        <v>103188.981</v>
      </c>
      <c r="AF65" s="327">
        <f>AVERAGE(AB65:AE65)</f>
        <v>103188.981</v>
      </c>
      <c r="AG65" s="71"/>
      <c r="AH65" s="327">
        <f>AF65</f>
        <v>103188.981</v>
      </c>
      <c r="AI65" s="72"/>
      <c r="AJ65" s="327">
        <f>AH65</f>
        <v>103188.981</v>
      </c>
      <c r="AL65" s="327">
        <f>AJ65</f>
        <v>103188.981</v>
      </c>
    </row>
    <row r="66" spans="2:38" ht="14.25" customHeight="1">
      <c r="U66" s="203"/>
    </row>
    <row r="67" spans="2:38" s="55" customFormat="1" ht="14.25" customHeight="1">
      <c r="B67" s="159" t="s">
        <v>467</v>
      </c>
      <c r="C67" s="32"/>
      <c r="D67" s="355" t="s">
        <v>468</v>
      </c>
      <c r="E67" s="355" t="s">
        <v>469</v>
      </c>
      <c r="F67" s="355" t="s">
        <v>470</v>
      </c>
      <c r="G67" s="355" t="s">
        <v>471</v>
      </c>
      <c r="H67" s="355" t="s">
        <v>472</v>
      </c>
      <c r="I67" s="37"/>
      <c r="J67" s="355" t="s">
        <v>473</v>
      </c>
      <c r="K67" s="355" t="s">
        <v>474</v>
      </c>
      <c r="L67" s="355" t="s">
        <v>475</v>
      </c>
      <c r="M67" s="355" t="s">
        <v>476</v>
      </c>
      <c r="N67" s="355" t="s">
        <v>477</v>
      </c>
      <c r="O67" s="37"/>
      <c r="P67" s="355" t="s">
        <v>478</v>
      </c>
      <c r="Q67" s="355" t="s">
        <v>479</v>
      </c>
      <c r="R67" s="355" t="s">
        <v>480</v>
      </c>
      <c r="S67" s="355" t="s">
        <v>481</v>
      </c>
      <c r="T67" s="355" t="s">
        <v>482</v>
      </c>
      <c r="U67" s="37"/>
      <c r="V67" s="355" t="s">
        <v>483</v>
      </c>
      <c r="W67" s="355" t="s">
        <v>484</v>
      </c>
      <c r="X67" s="355" t="s">
        <v>485</v>
      </c>
      <c r="Y67" s="355" t="s">
        <v>486</v>
      </c>
      <c r="Z67" s="355" t="s">
        <v>487</v>
      </c>
      <c r="AA67" s="37"/>
      <c r="AB67" s="355" t="s">
        <v>488</v>
      </c>
      <c r="AC67" s="355" t="s">
        <v>489</v>
      </c>
      <c r="AD67" s="355" t="s">
        <v>490</v>
      </c>
      <c r="AE67" s="355" t="s">
        <v>491</v>
      </c>
      <c r="AF67" s="355" t="s">
        <v>492</v>
      </c>
      <c r="AG67" s="37"/>
      <c r="AH67" s="355" t="s">
        <v>493</v>
      </c>
      <c r="AI67" s="37"/>
      <c r="AJ67" s="355" t="s">
        <v>494</v>
      </c>
      <c r="AK67" s="355"/>
      <c r="AL67" s="355" t="s">
        <v>495</v>
      </c>
    </row>
    <row r="68" spans="2:38" ht="3.95" customHeight="1">
      <c r="B68" s="286"/>
      <c r="C68" s="36"/>
      <c r="D68" s="286"/>
      <c r="E68" s="286"/>
      <c r="F68" s="286"/>
      <c r="G68" s="286"/>
      <c r="H68" s="286"/>
      <c r="I68" s="36"/>
      <c r="J68" s="286"/>
      <c r="K68" s="286"/>
      <c r="L68" s="286"/>
      <c r="M68" s="286"/>
      <c r="N68" s="286"/>
      <c r="O68" s="36"/>
      <c r="P68" s="286"/>
      <c r="Q68" s="286"/>
      <c r="R68" s="286"/>
      <c r="S68" s="286"/>
      <c r="T68" s="286"/>
      <c r="U68" s="36"/>
      <c r="V68" s="286"/>
      <c r="W68" s="286"/>
      <c r="X68" s="286"/>
      <c r="Y68" s="286"/>
      <c r="Z68" s="286"/>
      <c r="AA68" s="36"/>
      <c r="AB68" s="286"/>
      <c r="AC68" s="286"/>
      <c r="AD68" s="286"/>
      <c r="AE68" s="286"/>
      <c r="AF68" s="286"/>
      <c r="AG68" s="36"/>
      <c r="AH68" s="286"/>
      <c r="AI68" s="36"/>
      <c r="AJ68" s="287"/>
      <c r="AK68" s="286"/>
      <c r="AL68" s="286"/>
    </row>
    <row r="69" spans="2:38" ht="3.95" customHeight="1">
      <c r="U69" s="203"/>
    </row>
    <row r="70" spans="2:38" ht="14.25" customHeight="1">
      <c r="B70" s="28" t="s">
        <v>496</v>
      </c>
      <c r="D70" s="50">
        <f>BS!P18</f>
        <v>28924</v>
      </c>
      <c r="E70" s="50">
        <f>BS!Q18</f>
        <v>28321</v>
      </c>
      <c r="F70" s="50">
        <f>BS!R18</f>
        <v>29152</v>
      </c>
      <c r="G70" s="50">
        <f>BS!S18</f>
        <v>27790</v>
      </c>
      <c r="H70" s="68">
        <f>BS!T18</f>
        <v>27790</v>
      </c>
      <c r="J70" s="50">
        <f>BS!V18</f>
        <v>54790</v>
      </c>
      <c r="K70" s="50">
        <f>BS!W18</f>
        <v>27629</v>
      </c>
      <c r="L70" s="50">
        <f>BS!X18</f>
        <v>26445</v>
      </c>
      <c r="M70" s="50">
        <f>BS!Y18</f>
        <v>64174</v>
      </c>
      <c r="N70" s="68">
        <f>BS!Z18</f>
        <v>64174</v>
      </c>
      <c r="P70" s="50">
        <f>BS!AB18</f>
        <v>57350</v>
      </c>
      <c r="Q70" s="50">
        <f>BS!AC18</f>
        <v>53573</v>
      </c>
      <c r="R70" s="50">
        <f>BS!AD18</f>
        <v>47112</v>
      </c>
      <c r="S70" s="50">
        <f>BS!AE18</f>
        <v>57612</v>
      </c>
      <c r="T70" s="68">
        <f>BS!AF18</f>
        <v>57612</v>
      </c>
      <c r="U70" s="203"/>
      <c r="V70" s="50">
        <f>BS!AH18</f>
        <v>51788</v>
      </c>
      <c r="W70" s="50">
        <f>BS!AI18</f>
        <v>54156</v>
      </c>
      <c r="X70" s="46">
        <f>X31*X71/92</f>
        <v>50569.217391304344</v>
      </c>
      <c r="Y70" s="46">
        <f>Y31*Y71/92</f>
        <v>70512.521739130432</v>
      </c>
      <c r="Z70" s="310">
        <f>Y70</f>
        <v>70512.521739130432</v>
      </c>
      <c r="AB70" s="46">
        <f>AB31*AB71/90</f>
        <v>75850.905748658915</v>
      </c>
      <c r="AC70" s="46">
        <f>AC31*AC71/91</f>
        <v>75017.379311860466</v>
      </c>
      <c r="AD70" s="46">
        <f t="shared" ref="AD70:AE70" si="48">AD31*AD71/92</f>
        <v>74201.973014992414</v>
      </c>
      <c r="AE70" s="46">
        <f t="shared" si="48"/>
        <v>74201.973014992414</v>
      </c>
      <c r="AF70" s="310">
        <f>AE70</f>
        <v>74201.973014992414</v>
      </c>
      <c r="AH70" s="310">
        <f>AH31*AH71/365</f>
        <v>86196.849339493012</v>
      </c>
      <c r="AJ70" s="310">
        <f>AJ31*AJ71/366</f>
        <v>90774.983775363391</v>
      </c>
      <c r="AL70" s="310">
        <f>AL31*AL71/365</f>
        <v>98671.929557656767</v>
      </c>
    </row>
    <row r="71" spans="2:38" ht="14.25" customHeight="1">
      <c r="B71" s="31" t="s">
        <v>497</v>
      </c>
      <c r="D71" s="321">
        <f>D70/D31*90</f>
        <v>76.262963613991914</v>
      </c>
      <c r="E71" s="321">
        <f>E70/E31*91</f>
        <v>75.132966007812954</v>
      </c>
      <c r="F71" s="321">
        <f>F70/F31*92</f>
        <v>78.01454418523474</v>
      </c>
      <c r="G71" s="321">
        <f>G70/G31*92</f>
        <v>67.189109639440758</v>
      </c>
      <c r="H71" s="322">
        <f>H70/H31*365</f>
        <v>72.007084747206562</v>
      </c>
      <c r="I71" s="323"/>
      <c r="J71" s="321">
        <f>J70/J31*90</f>
        <v>93.517798554874929</v>
      </c>
      <c r="K71" s="321">
        <f>K70/K31*91</f>
        <v>64.283058907752093</v>
      </c>
      <c r="L71" s="321">
        <f>L70/L31*92</f>
        <v>63.308352849336458</v>
      </c>
      <c r="M71" s="321">
        <f>M70/M31*92</f>
        <v>255.46311280342692</v>
      </c>
      <c r="N71" s="322">
        <f>N70/N31*365</f>
        <v>152.71355178573756</v>
      </c>
      <c r="O71" s="323"/>
      <c r="P71" s="321">
        <f>P70/P31*90</f>
        <v>136.00790513833994</v>
      </c>
      <c r="Q71" s="321">
        <f>Q70/Q31*91</f>
        <v>122.57110172474481</v>
      </c>
      <c r="R71" s="321">
        <f>R70/R31*92</f>
        <v>104.34300296107271</v>
      </c>
      <c r="S71" s="321">
        <f>S70/S31*92</f>
        <v>91.509193556741081</v>
      </c>
      <c r="T71" s="322">
        <f>T70/T31*365</f>
        <v>118.68103214737222</v>
      </c>
      <c r="U71" s="324"/>
      <c r="V71" s="321">
        <f>V70/V31*90</f>
        <v>101.66470357283079</v>
      </c>
      <c r="W71" s="321">
        <f>W70/W31*91</f>
        <v>77.006672187758795</v>
      </c>
      <c r="X71" s="325">
        <v>80</v>
      </c>
      <c r="Y71" s="325">
        <v>80</v>
      </c>
      <c r="Z71" s="322">
        <f>Z70/Z31*365</f>
        <v>103.32562692867396</v>
      </c>
      <c r="AA71" s="323"/>
      <c r="AB71" s="325">
        <v>90</v>
      </c>
      <c r="AC71" s="325">
        <v>90</v>
      </c>
      <c r="AD71" s="325">
        <v>90</v>
      </c>
      <c r="AE71" s="325">
        <v>90</v>
      </c>
      <c r="AF71" s="322">
        <f>AF70/AF31*365</f>
        <v>89.266304347826093</v>
      </c>
      <c r="AG71" s="323"/>
      <c r="AH71" s="325">
        <v>90</v>
      </c>
      <c r="AI71" s="323"/>
      <c r="AJ71" s="325">
        <v>90</v>
      </c>
      <c r="AK71" s="322"/>
      <c r="AL71" s="325">
        <v>90</v>
      </c>
    </row>
    <row r="72" spans="2:38" ht="14.25" customHeight="1">
      <c r="B72" s="28"/>
      <c r="D72" s="46"/>
      <c r="E72" s="46"/>
      <c r="F72" s="46"/>
      <c r="G72" s="46"/>
      <c r="J72" s="46"/>
      <c r="K72" s="46"/>
      <c r="L72" s="46"/>
      <c r="M72" s="46"/>
      <c r="N72" s="310"/>
      <c r="P72" s="46"/>
      <c r="Q72" s="46"/>
      <c r="R72" s="46"/>
      <c r="S72" s="46"/>
      <c r="U72" s="203"/>
      <c r="V72" s="46"/>
      <c r="W72" s="46"/>
      <c r="X72" s="46"/>
      <c r="Y72" s="46"/>
      <c r="Z72" s="310"/>
      <c r="AB72" s="46"/>
      <c r="AC72" s="46"/>
      <c r="AD72" s="46"/>
      <c r="AE72" s="46"/>
    </row>
    <row r="73" spans="2:38" ht="14.25" customHeight="1">
      <c r="B73" s="28" t="s">
        <v>498</v>
      </c>
      <c r="D73" s="50">
        <f>BS!P19</f>
        <v>0</v>
      </c>
      <c r="E73" s="50">
        <f>BS!Q19</f>
        <v>0</v>
      </c>
      <c r="F73" s="50">
        <f>BS!R19</f>
        <v>0</v>
      </c>
      <c r="G73" s="50">
        <f>BS!S19</f>
        <v>0</v>
      </c>
      <c r="H73" s="68">
        <f>BS!T19</f>
        <v>0</v>
      </c>
      <c r="J73" s="50">
        <f>BS!V19</f>
        <v>0</v>
      </c>
      <c r="K73" s="50">
        <f>BS!W19</f>
        <v>0</v>
      </c>
      <c r="L73" s="50">
        <f>BS!X19</f>
        <v>0</v>
      </c>
      <c r="M73" s="50">
        <f>BS!Y19</f>
        <v>0</v>
      </c>
      <c r="N73" s="68">
        <f>BS!Z19</f>
        <v>0</v>
      </c>
      <c r="P73" s="50">
        <f>BS!AB19</f>
        <v>0</v>
      </c>
      <c r="Q73" s="50">
        <f>BS!AC19</f>
        <v>0</v>
      </c>
      <c r="R73" s="50">
        <f>BS!AD19</f>
        <v>0</v>
      </c>
      <c r="S73" s="50">
        <f>BS!AE19</f>
        <v>0</v>
      </c>
      <c r="T73" s="68">
        <f>BS!AF19</f>
        <v>0</v>
      </c>
      <c r="U73" s="203"/>
      <c r="V73" s="50">
        <f>BS!AH19</f>
        <v>0</v>
      </c>
      <c r="W73" s="50">
        <f>BS!AI19</f>
        <v>0</v>
      </c>
      <c r="X73" s="46">
        <f>X74*X34/92</f>
        <v>0</v>
      </c>
      <c r="Y73" s="46">
        <f>Y74*Y34/92</f>
        <v>0</v>
      </c>
      <c r="Z73" s="310">
        <f>Y73</f>
        <v>0</v>
      </c>
      <c r="AB73" s="46">
        <f t="shared" ref="AB73:AE73" si="49">AB74*AB34/92</f>
        <v>0</v>
      </c>
      <c r="AC73" s="46">
        <f t="shared" si="49"/>
        <v>0</v>
      </c>
      <c r="AD73" s="46">
        <f t="shared" si="49"/>
        <v>0</v>
      </c>
      <c r="AE73" s="46">
        <f t="shared" si="49"/>
        <v>0</v>
      </c>
      <c r="AF73" s="310">
        <f>AE73</f>
        <v>0</v>
      </c>
      <c r="AH73" s="310">
        <f>AH74*AH34/365</f>
        <v>0</v>
      </c>
      <c r="AJ73" s="310">
        <f>AJ74*AJ34/366</f>
        <v>0</v>
      </c>
      <c r="AL73" s="310">
        <f>AL74*AL34/365</f>
        <v>0</v>
      </c>
    </row>
    <row r="74" spans="2:38" ht="14.25" customHeight="1">
      <c r="B74" s="31" t="s">
        <v>499</v>
      </c>
      <c r="D74" s="321">
        <f>D73/D34*90</f>
        <v>0</v>
      </c>
      <c r="E74" s="321">
        <f>E73/E34*91</f>
        <v>0</v>
      </c>
      <c r="F74" s="321">
        <f>F73/F34*92</f>
        <v>0</v>
      </c>
      <c r="G74" s="321">
        <f>G73/G34*92</f>
        <v>0</v>
      </c>
      <c r="H74" s="322">
        <v>0</v>
      </c>
      <c r="I74" s="323"/>
      <c r="J74" s="321">
        <f>J73/J34*90</f>
        <v>0</v>
      </c>
      <c r="K74" s="321">
        <f>K73/K34*91</f>
        <v>0</v>
      </c>
      <c r="L74" s="321">
        <f>L73/L34*92</f>
        <v>0</v>
      </c>
      <c r="M74" s="321">
        <f>M73/M34*92</f>
        <v>0</v>
      </c>
      <c r="N74" s="322">
        <v>0</v>
      </c>
      <c r="O74" s="323"/>
      <c r="P74" s="321">
        <f>P73/P34*90</f>
        <v>0</v>
      </c>
      <c r="Q74" s="321">
        <f>Q73/Q34*91</f>
        <v>0</v>
      </c>
      <c r="R74" s="321">
        <f>R73/R34*92</f>
        <v>0</v>
      </c>
      <c r="S74" s="321">
        <f>S73/S34*92</f>
        <v>0</v>
      </c>
      <c r="T74" s="322">
        <v>0</v>
      </c>
      <c r="U74" s="324"/>
      <c r="V74" s="321">
        <f>V73/V34*90</f>
        <v>0</v>
      </c>
      <c r="W74" s="321">
        <f>W73/W34*91</f>
        <v>0</v>
      </c>
      <c r="X74" s="325">
        <v>0</v>
      </c>
      <c r="Y74" s="325">
        <v>0</v>
      </c>
      <c r="Z74" s="322">
        <f>Z73/Z34*365</f>
        <v>0</v>
      </c>
      <c r="AA74" s="323"/>
      <c r="AB74" s="325">
        <v>0</v>
      </c>
      <c r="AC74" s="325">
        <v>0</v>
      </c>
      <c r="AD74" s="325">
        <v>0</v>
      </c>
      <c r="AE74" s="325">
        <v>0</v>
      </c>
      <c r="AF74" s="322">
        <f>AF73/AF34*365</f>
        <v>0</v>
      </c>
      <c r="AG74" s="323"/>
      <c r="AH74" s="325">
        <v>0</v>
      </c>
      <c r="AI74" s="323"/>
      <c r="AJ74" s="325">
        <v>0</v>
      </c>
      <c r="AK74" s="322"/>
      <c r="AL74" s="325">
        <v>0</v>
      </c>
    </row>
    <row r="75" spans="2:38" ht="14.25" customHeight="1">
      <c r="B75" s="28"/>
      <c r="D75" s="46"/>
      <c r="E75" s="46"/>
      <c r="F75" s="46"/>
      <c r="G75" s="46"/>
      <c r="J75" s="46"/>
      <c r="K75" s="46"/>
      <c r="L75" s="46"/>
      <c r="M75" s="46"/>
      <c r="P75" s="46"/>
      <c r="Q75" s="46"/>
      <c r="R75" s="46"/>
      <c r="S75" s="46"/>
      <c r="U75" s="203"/>
      <c r="V75" s="46"/>
      <c r="W75" s="46"/>
      <c r="X75" s="46"/>
      <c r="Y75" s="46"/>
      <c r="AB75" s="46"/>
      <c r="AC75" s="46"/>
      <c r="AD75" s="46"/>
      <c r="AE75" s="46"/>
    </row>
    <row r="76" spans="2:38" ht="14.25" customHeight="1">
      <c r="B76" s="28" t="s">
        <v>500</v>
      </c>
      <c r="D76" s="50">
        <f>BS!P20</f>
        <v>448360</v>
      </c>
      <c r="E76" s="50">
        <f>BS!Q20</f>
        <v>411216</v>
      </c>
      <c r="F76" s="50">
        <f>BS!R20</f>
        <v>361385</v>
      </c>
      <c r="G76" s="50">
        <f>BS!S20</f>
        <v>305858</v>
      </c>
      <c r="H76" s="68">
        <f>BS!T20</f>
        <v>305858</v>
      </c>
      <c r="J76" s="50">
        <f>BS!V20</f>
        <v>282502</v>
      </c>
      <c r="K76" s="50">
        <f>BS!W20</f>
        <v>261893</v>
      </c>
      <c r="L76" s="50">
        <f>BS!X20</f>
        <v>198018</v>
      </c>
      <c r="M76" s="50">
        <f>BS!Y20</f>
        <v>384295</v>
      </c>
      <c r="N76" s="68">
        <f>BS!Z20</f>
        <v>384295</v>
      </c>
      <c r="P76" s="50">
        <f>BS!AB20</f>
        <v>453695</v>
      </c>
      <c r="Q76" s="50">
        <f>BS!AC20</f>
        <v>461016</v>
      </c>
      <c r="R76" s="50">
        <f>BS!AD20</f>
        <v>409302</v>
      </c>
      <c r="S76" s="50">
        <f>BS!AE20</f>
        <v>398261</v>
      </c>
      <c r="T76" s="68">
        <f>BS!AF20</f>
        <v>398261</v>
      </c>
      <c r="U76" s="203"/>
      <c r="V76" s="50">
        <f>BS!AH20</f>
        <v>437103</v>
      </c>
      <c r="W76" s="50">
        <f>BS!AI20</f>
        <v>485644</v>
      </c>
      <c r="X76" s="46">
        <f>X77*X$31</f>
        <v>494314.1</v>
      </c>
      <c r="Y76" s="46">
        <f>Y77*Y$31</f>
        <v>567625.79999999993</v>
      </c>
      <c r="Z76" s="310">
        <f>Y76</f>
        <v>567625.79999999993</v>
      </c>
      <c r="AB76" s="46">
        <f t="shared" ref="AB76:AC76" si="50">AB77*AB$31</f>
        <v>568881.79311494192</v>
      </c>
      <c r="AC76" s="46">
        <f t="shared" si="50"/>
        <v>568881.79311494192</v>
      </c>
      <c r="AD76" s="46">
        <f>AD77*AD$31</f>
        <v>568881.79311494192</v>
      </c>
      <c r="AE76" s="46">
        <f>AE77*AE$31</f>
        <v>568881.79311494192</v>
      </c>
      <c r="AF76" s="66">
        <f>AF77*AF$31</f>
        <v>667487.97058819851</v>
      </c>
      <c r="AH76" s="57">
        <f>AH77*AH$31</f>
        <v>769067.4446623656</v>
      </c>
      <c r="AJ76" s="57">
        <f>AJ77*AJ$31</f>
        <v>775218.3614416034</v>
      </c>
      <c r="AL76" s="57">
        <f>AL77*AL$31</f>
        <v>820347.45879462967</v>
      </c>
    </row>
    <row r="77" spans="2:38" ht="14.25" customHeight="1">
      <c r="B77" s="31" t="s">
        <v>449</v>
      </c>
      <c r="D77" s="303">
        <f>D76/D31</f>
        <v>13.135290326360813</v>
      </c>
      <c r="E77" s="303">
        <f>E76/E31</f>
        <v>11.988105649816337</v>
      </c>
      <c r="F77" s="303">
        <f>F76/F31</f>
        <v>10.512100762115306</v>
      </c>
      <c r="G77" s="303">
        <f>G76/G31</f>
        <v>8.0378955114054449</v>
      </c>
      <c r="H77" s="306">
        <f>H76/H31</f>
        <v>2.1712691494043983</v>
      </c>
      <c r="J77" s="303">
        <f>J76/J31</f>
        <v>5.3576210434485763</v>
      </c>
      <c r="K77" s="303">
        <f>K76/K31</f>
        <v>6.6959756596440991</v>
      </c>
      <c r="L77" s="303">
        <f>L76/L31</f>
        <v>5.1526932084309136</v>
      </c>
      <c r="M77" s="303">
        <f>M76/M31</f>
        <v>16.628228981870105</v>
      </c>
      <c r="N77" s="306">
        <f>N76/N31</f>
        <v>2.505476522668892</v>
      </c>
      <c r="P77" s="303">
        <f>P76/P31</f>
        <v>11.955072463768117</v>
      </c>
      <c r="Q77" s="303">
        <f>Q76/Q31</f>
        <v>11.590888520138785</v>
      </c>
      <c r="R77" s="303">
        <f>R76/R31</f>
        <v>9.8534389369026698</v>
      </c>
      <c r="S77" s="303">
        <f>S76/S31</f>
        <v>6.8759344624574856</v>
      </c>
      <c r="T77" s="306">
        <f>T76/T31</f>
        <v>2.2477255282644033</v>
      </c>
      <c r="U77" s="203"/>
      <c r="V77" s="303">
        <f>V76/V31</f>
        <v>9.5341578327444054</v>
      </c>
      <c r="W77" s="303">
        <f>W76/W31</f>
        <v>7.5885432129631081</v>
      </c>
      <c r="X77" s="314">
        <v>8.5</v>
      </c>
      <c r="Y77" s="314">
        <v>7</v>
      </c>
      <c r="Z77" s="304">
        <f>Z76/Z$31</f>
        <v>2.278825470618699</v>
      </c>
      <c r="AB77" s="314">
        <v>7.5</v>
      </c>
      <c r="AC77" s="314">
        <v>7.5</v>
      </c>
      <c r="AD77" s="314">
        <v>7.5</v>
      </c>
      <c r="AE77" s="314">
        <v>7.5</v>
      </c>
      <c r="AF77" s="304">
        <v>2.2000000000000002</v>
      </c>
      <c r="AH77" s="314">
        <v>2.2000000000000002</v>
      </c>
      <c r="AJ77" s="314">
        <v>2.1</v>
      </c>
      <c r="AL77" s="314">
        <v>2.0499999999999998</v>
      </c>
    </row>
    <row r="78" spans="2:38" ht="14.25" customHeight="1">
      <c r="B78" s="28"/>
      <c r="D78" s="46"/>
      <c r="E78" s="46"/>
      <c r="F78" s="46"/>
      <c r="G78" s="46"/>
      <c r="J78" s="46"/>
      <c r="K78" s="46"/>
      <c r="L78" s="46"/>
      <c r="M78" s="46"/>
      <c r="P78" s="46"/>
      <c r="Q78" s="46"/>
      <c r="R78" s="46"/>
      <c r="S78" s="46"/>
      <c r="U78" s="203"/>
      <c r="V78" s="46"/>
      <c r="W78" s="794"/>
      <c r="X78" s="46"/>
      <c r="Y78" s="46"/>
      <c r="AB78" s="46"/>
      <c r="AC78" s="46"/>
      <c r="AD78" s="794"/>
      <c r="AE78" s="565"/>
      <c r="AJ78" s="799"/>
    </row>
    <row r="79" spans="2:38" ht="14.25" customHeight="1">
      <c r="B79" s="28" t="s">
        <v>501</v>
      </c>
      <c r="D79" s="50">
        <f>BS!P24</f>
        <v>2796175</v>
      </c>
      <c r="E79" s="50">
        <f>BS!Q24</f>
        <v>2852444</v>
      </c>
      <c r="F79" s="50">
        <f>BS!R24</f>
        <v>3123185</v>
      </c>
      <c r="G79" s="50">
        <f>BS!S24</f>
        <v>3435286</v>
      </c>
      <c r="H79" s="68">
        <f>BS!T24</f>
        <v>3435286</v>
      </c>
      <c r="J79" s="50">
        <f>BS!V24</f>
        <v>3453936</v>
      </c>
      <c r="K79" s="50">
        <f>BS!W24</f>
        <v>3496179</v>
      </c>
      <c r="L79" s="50">
        <f>BS!X24</f>
        <v>3559898</v>
      </c>
      <c r="M79" s="50">
        <f>BS!Y24</f>
        <v>3792753</v>
      </c>
      <c r="N79" s="68">
        <f>BS!Z24</f>
        <v>3792753</v>
      </c>
      <c r="P79" s="50">
        <f>BS!AB24</f>
        <v>3814842</v>
      </c>
      <c r="Q79" s="50">
        <f>BS!AC24</f>
        <v>3814365</v>
      </c>
      <c r="R79" s="50">
        <f>BS!AD24</f>
        <v>3865233</v>
      </c>
      <c r="S79" s="50">
        <f>BS!AE24</f>
        <v>4043940</v>
      </c>
      <c r="T79" s="68">
        <f>BS!AF24</f>
        <v>4043940</v>
      </c>
      <c r="U79" s="203"/>
      <c r="V79" s="50">
        <f>BS!AH24</f>
        <v>4072450</v>
      </c>
      <c r="W79" s="50">
        <f>BS!AI24</f>
        <v>4089253</v>
      </c>
      <c r="X79" s="46">
        <f>W79-X80*X106-X109-X52-X37</f>
        <v>4087532.7107716464</v>
      </c>
      <c r="Y79" s="46">
        <f>X79-Y80*Y106-Y109-Y52-Y37</f>
        <v>4085779.711527186</v>
      </c>
      <c r="Z79" s="57">
        <f>Y79</f>
        <v>4085779.711527186</v>
      </c>
      <c r="AB79" s="46">
        <f>Y79-AB80*AB106-AB109-AB52-AB37</f>
        <v>4083742.1312348251</v>
      </c>
      <c r="AC79" s="46">
        <f>AB79-AC80*AC106-AC109-AC52-AC37</f>
        <v>4081705.5697326101</v>
      </c>
      <c r="AD79" s="46">
        <f>AC79-AD80*AD106-AD109-AD52-AD37</f>
        <v>4079670.0265111462</v>
      </c>
      <c r="AE79" s="46">
        <f>AD79-AE80*AE106-AE109-AE52-AE37</f>
        <v>4077635.5010612933</v>
      </c>
      <c r="AF79" s="57">
        <f>AE79</f>
        <v>4077635.5010612933</v>
      </c>
      <c r="AH79" s="57">
        <f>AF79-AH80*AH106-AH109-AH52-AH37</f>
        <v>4067435.6193000218</v>
      </c>
      <c r="AI79" s="72"/>
      <c r="AJ79" s="57">
        <f>AH79-AJ80*AJ106-AJ109-AJ52-AJ37</f>
        <v>4057265.5462184469</v>
      </c>
      <c r="AK79" s="54"/>
      <c r="AL79" s="57">
        <f>AJ79-AL80*AL106-AL109-AL52-AL37</f>
        <v>4047127.6096202708</v>
      </c>
    </row>
    <row r="80" spans="2:38" ht="14.25" customHeight="1">
      <c r="B80" s="31" t="s">
        <v>502</v>
      </c>
      <c r="D80" s="303"/>
      <c r="E80" s="303"/>
      <c r="F80" s="303"/>
      <c r="G80" s="303"/>
      <c r="H80" s="306"/>
      <c r="J80" s="303"/>
      <c r="K80" s="303"/>
      <c r="L80" s="303"/>
      <c r="M80" s="303"/>
      <c r="N80" s="306"/>
      <c r="P80" s="303"/>
      <c r="Q80" s="303"/>
      <c r="R80" s="303"/>
      <c r="S80" s="303"/>
      <c r="T80" s="306"/>
      <c r="U80" s="203"/>
      <c r="V80" s="303"/>
      <c r="W80" s="303"/>
      <c r="X80" s="314">
        <v>7.0000000000000007E-2</v>
      </c>
      <c r="Y80" s="314">
        <v>7.0000000000000007E-2</v>
      </c>
      <c r="Z80" s="317">
        <f>AVERAGE(V80:Y80)</f>
        <v>7.0000000000000007E-2</v>
      </c>
      <c r="AB80" s="314">
        <v>7.0000000000000007E-2</v>
      </c>
      <c r="AC80" s="314">
        <v>7.0000000000000007E-2</v>
      </c>
      <c r="AD80" s="314">
        <v>7.0000000000000007E-2</v>
      </c>
      <c r="AE80" s="314">
        <v>7.0000000000000007E-2</v>
      </c>
      <c r="AF80" s="317">
        <f>AVERAGE(AB80:AE80)</f>
        <v>7.0000000000000007E-2</v>
      </c>
      <c r="AH80" s="314">
        <v>7.0000000000000007E-2</v>
      </c>
      <c r="AJ80" s="314">
        <v>7.0000000000000007E-2</v>
      </c>
      <c r="AL80" s="314">
        <v>7.0000000000000007E-2</v>
      </c>
    </row>
    <row r="81" spans="2:38" ht="14.25" customHeight="1">
      <c r="D81" s="46"/>
      <c r="E81" s="46"/>
      <c r="F81" s="46"/>
      <c r="G81" s="46"/>
      <c r="J81" s="46"/>
      <c r="K81" s="46"/>
      <c r="L81" s="46"/>
      <c r="M81" s="46"/>
      <c r="P81" s="46"/>
      <c r="Q81" s="46"/>
      <c r="R81" s="46"/>
      <c r="S81" s="46"/>
      <c r="U81" s="203"/>
      <c r="V81" s="46"/>
      <c r="W81" s="46"/>
      <c r="X81" s="46"/>
      <c r="Y81" s="46"/>
      <c r="AB81" s="46"/>
      <c r="AC81" s="46"/>
      <c r="AD81" s="46"/>
      <c r="AE81" s="46"/>
    </row>
    <row r="82" spans="2:38" ht="14.25" customHeight="1">
      <c r="B82" s="28" t="s">
        <v>503</v>
      </c>
      <c r="D82" s="50">
        <f>IF($B$82="Intangibles excl. Goodwill",BS!P29,BS!P27)</f>
        <v>5511</v>
      </c>
      <c r="E82" s="50">
        <f>IF($B$82="Intangibles excl. Goodwill",BS!Q29,BS!Q27)</f>
        <v>5528</v>
      </c>
      <c r="F82" s="50">
        <f>IF($B$82="Intangibles excl. Goodwill",BS!R29,BS!R27)</f>
        <v>8596</v>
      </c>
      <c r="G82" s="50">
        <f>IF($B$82="Intangibles excl. Goodwill",BS!S29,BS!S27)</f>
        <v>12278</v>
      </c>
      <c r="H82" s="68">
        <f>IF($B$82="Intangibles excl. Goodwill",BS!T29,BS!T27)</f>
        <v>12278</v>
      </c>
      <c r="J82" s="50">
        <f>IF($B$82="Intangibles excl. Goodwill",BS!V29,BS!V27)</f>
        <v>10432</v>
      </c>
      <c r="K82" s="50">
        <f>IF($B$82="Intangibles excl. Goodwill",BS!W29,BS!W27)</f>
        <v>10194</v>
      </c>
      <c r="L82" s="50">
        <f>IF($B$82="Intangibles excl. Goodwill",BS!X29,BS!X27)</f>
        <v>9742</v>
      </c>
      <c r="M82" s="50">
        <f>IF($B$82="Intangibles excl. Goodwill",BS!Y29,BS!Y27)</f>
        <v>9312</v>
      </c>
      <c r="N82" s="68">
        <f>IF($B$82="Intangibles excl. Goodwill",BS!Z29,BS!Z27)</f>
        <v>9312</v>
      </c>
      <c r="P82" s="50">
        <f>IF($B$82="Intangibles excl. Goodwill",BS!AB29,BS!AB27)</f>
        <v>32587</v>
      </c>
      <c r="Q82" s="50">
        <f>IF($B$82="Intangibles excl. Goodwill",BS!AC29,BS!AC27)</f>
        <v>33636</v>
      </c>
      <c r="R82" s="50">
        <f>IF($B$82="Intangibles excl. Goodwill",BS!AD29,BS!AD27)</f>
        <v>38650</v>
      </c>
      <c r="S82" s="50">
        <f>IF($B$82="Intangibles excl. Goodwill",BS!AE29,BS!AE27)</f>
        <v>41264</v>
      </c>
      <c r="T82" s="68">
        <f>IF($B$82="Intangibles excl. Goodwill",BS!AF29,BS!AF27)</f>
        <v>41264</v>
      </c>
      <c r="U82" s="203"/>
      <c r="V82" s="50">
        <f>IF($B$82="Intangibles excl. Goodwill",BS!AH29,BS!AH27)</f>
        <v>41735</v>
      </c>
      <c r="W82" s="50">
        <f>IF($B$82="Intangibles excl. Goodwill",BS!AI29,BS!AI27)</f>
        <v>44086</v>
      </c>
      <c r="X82" s="46">
        <f>W82-(1-X80)*X106-X55+X83*X46</f>
        <v>44119.943788832221</v>
      </c>
      <c r="Y82" s="46">
        <f>X82-(1-Y80)*Y106-Y55+Y83*Y46</f>
        <v>44167.27420586082</v>
      </c>
      <c r="Z82" s="57">
        <f>Y82</f>
        <v>44167.27420586082</v>
      </c>
      <c r="AB82" s="46">
        <f>Y82-(1-AB80)*AB106-AB55+AB83*AB46</f>
        <v>44237.815548207072</v>
      </c>
      <c r="AC82" s="46">
        <f>AB82-(1-AC80)*AC106-AC55+AC83*AC46</f>
        <v>44308.356890553325</v>
      </c>
      <c r="AD82" s="46">
        <f t="shared" ref="AD82:AE82" si="51">AC82-(1-AD80)*AD106-AD55+AD83*AD46</f>
        <v>44378.898232899577</v>
      </c>
      <c r="AE82" s="46">
        <f t="shared" si="51"/>
        <v>44449.439575245829</v>
      </c>
      <c r="AF82" s="57">
        <f>AE82</f>
        <v>44449.439575245829</v>
      </c>
      <c r="AH82" s="57">
        <f>AF82-(1-AH80)*AH106-AH55+AH83*AH46</f>
        <v>45424.75692552219</v>
      </c>
      <c r="AJ82" s="57">
        <f>AH82-(1-AJ80)*AJ106-AJ55+AJ83*AJ46</f>
        <v>46454.689891437461</v>
      </c>
      <c r="AL82" s="57">
        <f>AJ82-(1-AL80)*AL106-AL55+AL83*AL46</f>
        <v>47571.162774382348</v>
      </c>
    </row>
    <row r="83" spans="2:38" ht="14.25" customHeight="1">
      <c r="B83" s="31" t="s">
        <v>504</v>
      </c>
      <c r="D83" s="680">
        <f>IFERROR(BS!P57/FCFF!D82,"")</f>
        <v>0</v>
      </c>
      <c r="E83" s="680">
        <f>IFERROR(BS!Q57/FCFF!E82,"")</f>
        <v>0</v>
      </c>
      <c r="F83" s="680">
        <f>IFERROR(BS!R57/FCFF!F82,"")</f>
        <v>0</v>
      </c>
      <c r="G83" s="680">
        <f>IFERROR(BS!S57/FCFF!G82,"")</f>
        <v>0</v>
      </c>
      <c r="H83" s="681">
        <f>IFERROR(BS!T57/FCFF!H82,"")</f>
        <v>0</v>
      </c>
      <c r="I83" s="685"/>
      <c r="J83" s="680">
        <f>IFERROR(BS!V57/FCFF!J82,"")</f>
        <v>0</v>
      </c>
      <c r="K83" s="680">
        <f>IFERROR(BS!W57/FCFF!K82,"")</f>
        <v>0</v>
      </c>
      <c r="L83" s="680">
        <f>IFERROR(BS!X57/FCFF!L82,"")</f>
        <v>0</v>
      </c>
      <c r="M83" s="680">
        <f>IFERROR(BS!Y57/FCFF!M82,"")</f>
        <v>0</v>
      </c>
      <c r="N83" s="681">
        <f>IFERROR(BS!Z57/FCFF!N82,"")</f>
        <v>0</v>
      </c>
      <c r="O83" s="685"/>
      <c r="P83" s="680">
        <f>IFERROR(BS!AB57/FCFF!P82,"")</f>
        <v>0</v>
      </c>
      <c r="Q83" s="680">
        <f>IFERROR(BS!AC57/FCFF!Q82,"")</f>
        <v>0</v>
      </c>
      <c r="R83" s="680">
        <f>IFERROR(BS!AD57/FCFF!R82,"")</f>
        <v>0</v>
      </c>
      <c r="S83" s="680">
        <f>IFERROR(BS!AE57/FCFF!S82,"")</f>
        <v>0</v>
      </c>
      <c r="T83" s="681">
        <f>IFERROR(BS!AF57/FCFF!T82,"")</f>
        <v>0</v>
      </c>
      <c r="U83" s="686"/>
      <c r="V83" s="680">
        <f>IFERROR(BS!AH57/FCFF!V82,"")</f>
        <v>0</v>
      </c>
      <c r="W83" s="680">
        <f>IFERROR(BS!AI57/FCFF!W82,"")</f>
        <v>0</v>
      </c>
      <c r="X83" s="314">
        <v>0</v>
      </c>
      <c r="Y83" s="314">
        <v>0</v>
      </c>
      <c r="Z83" s="317">
        <f>AVERAGE(V83:Y83)</f>
        <v>0</v>
      </c>
      <c r="AB83" s="314">
        <v>0</v>
      </c>
      <c r="AC83" s="314">
        <v>0</v>
      </c>
      <c r="AD83" s="314">
        <v>0</v>
      </c>
      <c r="AE83" s="314">
        <v>0</v>
      </c>
      <c r="AF83" s="317">
        <f>AVERAGE(AB83:AE83)</f>
        <v>0</v>
      </c>
      <c r="AH83" s="314">
        <v>0</v>
      </c>
      <c r="AJ83" s="314">
        <v>0</v>
      </c>
      <c r="AL83" s="314">
        <v>0</v>
      </c>
    </row>
    <row r="84" spans="2:38" ht="14.25" customHeight="1">
      <c r="D84" s="46"/>
      <c r="E84" s="46"/>
      <c r="F84" s="46"/>
      <c r="G84" s="46"/>
      <c r="J84" s="46"/>
      <c r="K84" s="46"/>
      <c r="L84" s="46"/>
      <c r="M84" s="46"/>
      <c r="P84" s="46"/>
      <c r="Q84" s="46"/>
      <c r="R84" s="46"/>
      <c r="S84" s="46"/>
      <c r="U84" s="203"/>
      <c r="V84" s="46"/>
      <c r="W84" s="46"/>
      <c r="X84" s="46"/>
      <c r="Y84" s="46"/>
      <c r="AB84" s="46"/>
      <c r="AC84" s="46"/>
      <c r="AD84" s="46"/>
      <c r="AE84" s="46"/>
    </row>
    <row r="85" spans="2:38" ht="14.25" customHeight="1">
      <c r="B85" s="28" t="s">
        <v>505</v>
      </c>
      <c r="D85" s="50">
        <f>BS!P37</f>
        <v>50169</v>
      </c>
      <c r="E85" s="50">
        <f>BS!Q37</f>
        <v>43638</v>
      </c>
      <c r="F85" s="50">
        <f>BS!R37</f>
        <v>82724</v>
      </c>
      <c r="G85" s="50">
        <f>BS!S37</f>
        <v>115496</v>
      </c>
      <c r="H85" s="68">
        <f>BS!T37</f>
        <v>115496</v>
      </c>
      <c r="J85" s="50">
        <f>BS!V37</f>
        <v>109796</v>
      </c>
      <c r="K85" s="50">
        <f>BS!W37</f>
        <v>84330</v>
      </c>
      <c r="L85" s="50">
        <f>BS!X37</f>
        <v>86595</v>
      </c>
      <c r="M85" s="50">
        <f>BS!Y37</f>
        <v>102367</v>
      </c>
      <c r="N85" s="68">
        <f>BS!Z37</f>
        <v>102367</v>
      </c>
      <c r="P85" s="50">
        <f>BS!AB37</f>
        <v>99570</v>
      </c>
      <c r="Q85" s="50">
        <f>BS!AC37</f>
        <v>111863</v>
      </c>
      <c r="R85" s="50">
        <f>BS!AD37</f>
        <v>134204</v>
      </c>
      <c r="S85" s="50">
        <f>BS!AE37</f>
        <v>109922</v>
      </c>
      <c r="T85" s="68">
        <f>BS!AF37</f>
        <v>109922</v>
      </c>
      <c r="U85" s="203"/>
      <c r="V85" s="50">
        <f>BS!AH37</f>
        <v>120197</v>
      </c>
      <c r="W85" s="50">
        <f>BS!AI37</f>
        <v>76519</v>
      </c>
      <c r="X85" s="46">
        <f t="shared" ref="X85:Y85" si="52">X86*X58/90</f>
        <v>84001.088888888888</v>
      </c>
      <c r="Y85" s="46">
        <f t="shared" si="52"/>
        <v>117129.13333333333</v>
      </c>
      <c r="Z85" s="310">
        <f>Y85</f>
        <v>117129.13333333333</v>
      </c>
      <c r="AB85" s="46">
        <f>AB86*AB58/90</f>
        <v>112933.5707813366</v>
      </c>
      <c r="AC85" s="46">
        <f t="shared" ref="AC85" si="53">AC86*AC58/90</f>
        <v>112933.5707813366</v>
      </c>
      <c r="AD85" s="46">
        <f>AD86*AD58/90</f>
        <v>112933.5707813366</v>
      </c>
      <c r="AE85" s="46">
        <f>+AD85*1.1</f>
        <v>124226.92785947028</v>
      </c>
      <c r="AF85" s="66">
        <f>+AE85</f>
        <v>124226.92785947028</v>
      </c>
      <c r="AG85" s="66"/>
      <c r="AH85" s="869">
        <f>AH86*AH34/365</f>
        <v>143661.41556582169</v>
      </c>
      <c r="AI85" s="865"/>
      <c r="AJ85" s="869">
        <f>AJ86*AJ34/366</f>
        <v>151291.63962560563</v>
      </c>
      <c r="AK85" s="865"/>
      <c r="AL85" s="869">
        <f>AL86*AL34/365</f>
        <v>164453.21592942794</v>
      </c>
    </row>
    <row r="86" spans="2:38" ht="14.25" customHeight="1">
      <c r="B86" s="31" t="s">
        <v>506</v>
      </c>
      <c r="D86" s="321">
        <f>D85/D58*90</f>
        <v>-11288.025</v>
      </c>
      <c r="E86" s="321">
        <f t="shared" ref="E86:W86" si="54">E85/E58*90</f>
        <v>-6175.1886792452824</v>
      </c>
      <c r="F86" s="321">
        <f t="shared" si="54"/>
        <v>-2581.5395284327324</v>
      </c>
      <c r="G86" s="321">
        <f t="shared" si="54"/>
        <v>1260.8733624454148</v>
      </c>
      <c r="H86" s="321">
        <f t="shared" si="54"/>
        <v>2403.9407955596671</v>
      </c>
      <c r="I86" s="321"/>
      <c r="J86" s="321">
        <f t="shared" si="54"/>
        <v>868.18133895624669</v>
      </c>
      <c r="K86" s="321">
        <f t="shared" si="54"/>
        <v>3950.9109838625718</v>
      </c>
      <c r="L86" s="321">
        <f t="shared" si="54"/>
        <v>-3516.9449458483759</v>
      </c>
      <c r="M86" s="321">
        <f t="shared" si="54"/>
        <v>508.10886829913966</v>
      </c>
      <c r="N86" s="321">
        <f t="shared" si="54"/>
        <v>315.30955884869434</v>
      </c>
      <c r="O86" s="321"/>
      <c r="P86" s="321">
        <f t="shared" si="54"/>
        <v>-1844.26836797695</v>
      </c>
      <c r="Q86" s="321">
        <f t="shared" si="54"/>
        <v>1115.2841475573282</v>
      </c>
      <c r="R86" s="321">
        <f t="shared" si="54"/>
        <v>1939.0528174666879</v>
      </c>
      <c r="S86" s="321">
        <f t="shared" si="54"/>
        <v>-2324.4783834586469</v>
      </c>
      <c r="T86" s="321">
        <f t="shared" si="54"/>
        <v>1610.9721543722519</v>
      </c>
      <c r="U86" s="321"/>
      <c r="V86" s="321">
        <f t="shared" si="54"/>
        <v>931.75968992248056</v>
      </c>
      <c r="W86" s="321">
        <f t="shared" si="54"/>
        <v>179.78149637132566</v>
      </c>
      <c r="X86" s="325">
        <v>650</v>
      </c>
      <c r="Y86" s="325">
        <v>650</v>
      </c>
      <c r="Z86" s="322">
        <f>Z85/Z34*365</f>
        <v>741.29277898382361</v>
      </c>
      <c r="AA86" s="323">
        <v>678</v>
      </c>
      <c r="AB86" s="325">
        <v>670</v>
      </c>
      <c r="AC86" s="325">
        <v>670</v>
      </c>
      <c r="AD86" s="325">
        <v>670</v>
      </c>
      <c r="AE86" s="325">
        <v>670</v>
      </c>
      <c r="AF86" s="322">
        <f>AF85/AF34*365</f>
        <v>747.2361111111112</v>
      </c>
      <c r="AG86" s="323">
        <v>678</v>
      </c>
      <c r="AH86" s="325">
        <v>1000</v>
      </c>
      <c r="AI86" s="323">
        <v>678</v>
      </c>
      <c r="AJ86" s="325">
        <v>1000</v>
      </c>
      <c r="AK86" s="322">
        <v>678</v>
      </c>
      <c r="AL86" s="325">
        <v>1000</v>
      </c>
    </row>
    <row r="87" spans="2:38" ht="14.25" customHeight="1">
      <c r="B87" s="28"/>
      <c r="D87" s="46"/>
      <c r="E87" s="46"/>
      <c r="F87" s="46"/>
      <c r="G87" s="46"/>
      <c r="J87" s="46"/>
      <c r="K87" s="46"/>
      <c r="L87" s="46"/>
      <c r="M87" s="46"/>
      <c r="P87" s="46"/>
      <c r="Q87" s="46"/>
      <c r="R87" s="46"/>
      <c r="S87" s="46"/>
      <c r="U87" s="203"/>
      <c r="V87" s="46"/>
      <c r="W87" s="46"/>
      <c r="X87" s="46"/>
      <c r="Y87" s="46"/>
      <c r="AB87" s="46"/>
      <c r="AC87" s="46"/>
      <c r="AD87" s="46">
        <f>+AE86/4</f>
        <v>167.5</v>
      </c>
      <c r="AE87" s="46">
        <f>+AVERAGE(AB86:AE86)/4</f>
        <v>167.5</v>
      </c>
      <c r="AF87" s="310"/>
      <c r="AH87" s="96">
        <f>300/4</f>
        <v>75</v>
      </c>
    </row>
    <row r="88" spans="2:38" ht="14.25" customHeight="1">
      <c r="B88" s="28" t="s">
        <v>507</v>
      </c>
      <c r="D88" s="50">
        <f>BS!P40</f>
        <v>97861</v>
      </c>
      <c r="E88" s="50">
        <f>BS!Q40</f>
        <v>96529</v>
      </c>
      <c r="F88" s="50">
        <f>BS!R40</f>
        <v>84641</v>
      </c>
      <c r="G88" s="50">
        <f>BS!S40</f>
        <v>101678</v>
      </c>
      <c r="H88" s="68">
        <f>BS!T40</f>
        <v>101678</v>
      </c>
      <c r="J88" s="50">
        <f>BS!V40</f>
        <v>100152</v>
      </c>
      <c r="K88" s="50">
        <f>BS!W40</f>
        <v>84748</v>
      </c>
      <c r="L88" s="50">
        <f>BS!X40</f>
        <v>87059</v>
      </c>
      <c r="M88" s="50">
        <f>BS!Y40</f>
        <v>89242</v>
      </c>
      <c r="N88" s="68">
        <f>BS!Z40</f>
        <v>89242</v>
      </c>
      <c r="P88" s="50">
        <f>BS!AB40</f>
        <v>122178</v>
      </c>
      <c r="Q88" s="50">
        <f>BS!AC40</f>
        <v>113466</v>
      </c>
      <c r="R88" s="50">
        <f>BS!AD40</f>
        <v>127183</v>
      </c>
      <c r="S88" s="50">
        <f>BS!AE40</f>
        <v>143540</v>
      </c>
      <c r="T88" s="68">
        <f>BS!AF40</f>
        <v>143540</v>
      </c>
      <c r="U88" s="203"/>
      <c r="V88" s="50">
        <f>BS!AH40</f>
        <v>146764</v>
      </c>
      <c r="W88" s="50">
        <f>BS!AI40</f>
        <v>160436</v>
      </c>
      <c r="X88" s="46">
        <f>X89*X43</f>
        <v>168648.34</v>
      </c>
      <c r="Y88" s="46">
        <f t="shared" ref="Y88" si="55">Y89*Y43</f>
        <v>243268.19999999998</v>
      </c>
      <c r="Z88" s="310">
        <f>Y88</f>
        <v>243268.19999999998</v>
      </c>
      <c r="AB88" s="46">
        <f t="shared" ref="AB88" si="56">AB89*AB43</f>
        <v>273063.26069517212</v>
      </c>
      <c r="AC88" s="46">
        <f t="shared" ref="AC88" si="57">AC89*AC43</f>
        <v>273063.26069517212</v>
      </c>
      <c r="AD88" s="46">
        <f t="shared" ref="AD88" si="58">AD89*AD43</f>
        <v>273063.26069517212</v>
      </c>
      <c r="AE88" s="46">
        <f>+AE89*AE43</f>
        <v>273063.26069517212</v>
      </c>
      <c r="AF88" s="310">
        <f>+AE88</f>
        <v>273063.26069517212</v>
      </c>
      <c r="AH88" s="57">
        <f t="shared" ref="AH88:AJ88" si="59">AH89*AH43</f>
        <v>314618.50008914951</v>
      </c>
      <c r="AJ88" s="57">
        <f t="shared" si="59"/>
        <v>332236.44061783003</v>
      </c>
      <c r="AL88" s="57">
        <f>AL89*AL43</f>
        <v>360152.54288544727</v>
      </c>
    </row>
    <row r="89" spans="2:38" ht="14.25" customHeight="1">
      <c r="B89" s="31" t="s">
        <v>508</v>
      </c>
      <c r="D89" s="303">
        <f>D88/D43</f>
        <v>10.434054803283932</v>
      </c>
      <c r="E89" s="303">
        <f>E88/E43</f>
        <v>11.667956001450502</v>
      </c>
      <c r="F89" s="303">
        <f>F88/F43</f>
        <v>9.7557630244352236</v>
      </c>
      <c r="G89" s="303">
        <f>G88/G43</f>
        <v>13.268693723084954</v>
      </c>
      <c r="H89" s="306">
        <f>H88/H43</f>
        <v>2.9913212320908475</v>
      </c>
      <c r="J89" s="303">
        <f>J88/J43</f>
        <v>9.7452563977814535</v>
      </c>
      <c r="K89" s="303">
        <f>K88/K43</f>
        <v>7.2267417071714846</v>
      </c>
      <c r="L89" s="303">
        <f>L88/L43</f>
        <v>8.078222139742044</v>
      </c>
      <c r="M89" s="303">
        <f>M88/M43</f>
        <v>7.0956507911266602</v>
      </c>
      <c r="N89" s="306">
        <f>N88/N43</f>
        <v>1.9675029763217073</v>
      </c>
      <c r="P89" s="303">
        <f>P88/P43</f>
        <v>9.8340309079201553</v>
      </c>
      <c r="Q89" s="303">
        <f>Q88/Q43</f>
        <v>10.507083989258264</v>
      </c>
      <c r="R89" s="303">
        <f>R88/R43</f>
        <v>11.167178856791642</v>
      </c>
      <c r="S89" s="303">
        <f>S88/S43</f>
        <v>11.246572122541723</v>
      </c>
      <c r="T89" s="306">
        <f>T88/T43</f>
        <v>3.0298680738786281</v>
      </c>
      <c r="U89" s="203"/>
      <c r="V89" s="303">
        <f>V88/V43</f>
        <v>21.092842770911183</v>
      </c>
      <c r="W89" s="303">
        <f>W88/W43</f>
        <v>12.705789181911776</v>
      </c>
      <c r="X89" s="314">
        <v>14.5</v>
      </c>
      <c r="Y89" s="314">
        <v>15</v>
      </c>
      <c r="Z89" s="326">
        <f>Z88/Z43</f>
        <v>5.1285834152018186</v>
      </c>
      <c r="AB89" s="314">
        <v>18</v>
      </c>
      <c r="AC89" s="314">
        <v>18</v>
      </c>
      <c r="AD89" s="314">
        <v>18</v>
      </c>
      <c r="AE89" s="314">
        <v>18</v>
      </c>
      <c r="AF89" s="326">
        <f>AF88/AF43</f>
        <v>4.5000000000000009</v>
      </c>
      <c r="AH89" s="314">
        <v>4.5</v>
      </c>
      <c r="AJ89" s="314">
        <v>4.5</v>
      </c>
      <c r="AL89" s="314">
        <v>4.5</v>
      </c>
    </row>
    <row r="90" spans="2:38" ht="14.25" customHeight="1">
      <c r="U90" s="203"/>
      <c r="W90" s="316">
        <f>+AVERAGE(V89:W89)</f>
        <v>16.899315976411479</v>
      </c>
      <c r="Z90" s="316"/>
      <c r="AE90" s="797"/>
    </row>
    <row r="91" spans="2:38" ht="14.25" customHeight="1">
      <c r="B91" s="159" t="s">
        <v>509</v>
      </c>
      <c r="C91" s="184"/>
      <c r="D91" s="355" t="s">
        <v>468</v>
      </c>
      <c r="E91" s="355" t="s">
        <v>469</v>
      </c>
      <c r="F91" s="355" t="s">
        <v>470</v>
      </c>
      <c r="G91" s="355" t="s">
        <v>471</v>
      </c>
      <c r="H91" s="355" t="s">
        <v>472</v>
      </c>
      <c r="I91" s="37"/>
      <c r="J91" s="355" t="s">
        <v>473</v>
      </c>
      <c r="K91" s="355" t="s">
        <v>474</v>
      </c>
      <c r="L91" s="355" t="s">
        <v>475</v>
      </c>
      <c r="M91" s="355" t="s">
        <v>476</v>
      </c>
      <c r="N91" s="355" t="s">
        <v>477</v>
      </c>
      <c r="O91" s="37"/>
      <c r="P91" s="355" t="s">
        <v>478</v>
      </c>
      <c r="Q91" s="355" t="s">
        <v>479</v>
      </c>
      <c r="R91" s="355" t="s">
        <v>480</v>
      </c>
      <c r="S91" s="355" t="s">
        <v>481</v>
      </c>
      <c r="T91" s="355" t="s">
        <v>482</v>
      </c>
      <c r="U91" s="37"/>
      <c r="V91" s="355" t="s">
        <v>483</v>
      </c>
      <c r="W91" s="355" t="s">
        <v>484</v>
      </c>
      <c r="X91" s="355" t="s">
        <v>485</v>
      </c>
      <c r="Y91" s="355" t="s">
        <v>486</v>
      </c>
      <c r="Z91" s="355" t="s">
        <v>487</v>
      </c>
      <c r="AA91" s="37"/>
      <c r="AB91" s="355" t="s">
        <v>488</v>
      </c>
      <c r="AC91" s="355" t="s">
        <v>489</v>
      </c>
      <c r="AD91" s="355" t="s">
        <v>490</v>
      </c>
      <c r="AE91" s="355" t="s">
        <v>491</v>
      </c>
      <c r="AF91" s="355" t="s">
        <v>492</v>
      </c>
      <c r="AG91" s="37"/>
      <c r="AH91" s="355" t="s">
        <v>493</v>
      </c>
      <c r="AI91" s="37"/>
      <c r="AJ91" s="355" t="s">
        <v>494</v>
      </c>
      <c r="AK91" s="355"/>
      <c r="AL91" s="355" t="s">
        <v>495</v>
      </c>
    </row>
    <row r="92" spans="2:38" ht="3.95" customHeight="1">
      <c r="B92" s="286"/>
      <c r="C92" s="36"/>
      <c r="D92" s="286"/>
      <c r="E92" s="286"/>
      <c r="F92" s="286"/>
      <c r="G92" s="286"/>
      <c r="H92" s="286"/>
      <c r="I92" s="36"/>
      <c r="J92" s="286"/>
      <c r="K92" s="286"/>
      <c r="L92" s="286"/>
      <c r="M92" s="286"/>
      <c r="N92" s="286"/>
      <c r="O92" s="36"/>
      <c r="P92" s="286"/>
      <c r="Q92" s="286"/>
      <c r="R92" s="286"/>
      <c r="S92" s="286"/>
      <c r="T92" s="286"/>
      <c r="U92" s="36"/>
      <c r="V92" s="286"/>
      <c r="W92" s="286"/>
      <c r="X92" s="286"/>
      <c r="Y92" s="286"/>
      <c r="Z92" s="286"/>
      <c r="AA92" s="36"/>
      <c r="AB92" s="286"/>
      <c r="AC92" s="286"/>
      <c r="AD92" s="286"/>
      <c r="AE92" s="286"/>
      <c r="AF92" s="286"/>
      <c r="AG92" s="36"/>
      <c r="AH92" s="286"/>
      <c r="AI92" s="36"/>
      <c r="AJ92" s="287"/>
      <c r="AK92" s="286"/>
      <c r="AL92" s="286"/>
    </row>
    <row r="93" spans="2:38" ht="3.95" customHeight="1">
      <c r="U93" s="203"/>
    </row>
    <row r="94" spans="2:38" ht="14.25" customHeight="1">
      <c r="B94" s="28" t="s">
        <v>457</v>
      </c>
      <c r="D94" s="50">
        <f>CF!P17</f>
        <v>173</v>
      </c>
      <c r="E94" s="50">
        <f>CF!Q17</f>
        <v>194</v>
      </c>
      <c r="F94" s="50">
        <f>CF!R17</f>
        <v>243</v>
      </c>
      <c r="G94" s="50">
        <f>CF!S17</f>
        <v>305</v>
      </c>
      <c r="H94" s="68">
        <f>CF!T17</f>
        <v>915</v>
      </c>
      <c r="J94" s="50">
        <f>CF!V17</f>
        <v>480</v>
      </c>
      <c r="K94" s="50">
        <f>CF!W17</f>
        <v>562</v>
      </c>
      <c r="L94" s="50">
        <f>CF!X17</f>
        <v>476</v>
      </c>
      <c r="M94" s="50">
        <f>CF!Y17</f>
        <v>459</v>
      </c>
      <c r="N94" s="68">
        <f>CF!Z17</f>
        <v>1977</v>
      </c>
      <c r="P94" s="50">
        <f>CF!AB17</f>
        <v>1055</v>
      </c>
      <c r="Q94" s="50">
        <f>CF!AC17</f>
        <v>1119</v>
      </c>
      <c r="R94" s="50">
        <f>CF!AD17</f>
        <v>1189</v>
      </c>
      <c r="S94" s="50">
        <f>CF!AE17</f>
        <v>1181</v>
      </c>
      <c r="T94" s="68">
        <f>CF!AF17</f>
        <v>4544</v>
      </c>
      <c r="U94" s="203"/>
      <c r="V94" s="50">
        <f>CF!AH17</f>
        <v>1621</v>
      </c>
      <c r="W94" s="50">
        <f>CF!AI17</f>
        <v>1818</v>
      </c>
      <c r="X94" s="46">
        <f>X37+X49</f>
        <v>1722.8441371901436</v>
      </c>
      <c r="Y94" s="46">
        <f>Y37+Y49</f>
        <v>1756.5617489679369</v>
      </c>
      <c r="Z94" s="310">
        <f>SUM(V94:Y94)</f>
        <v>6918.4058861580806</v>
      </c>
      <c r="AB94" s="46">
        <f t="shared" ref="AB94:AE94" si="60">AB37+AB49</f>
        <v>2042.889855763593</v>
      </c>
      <c r="AC94" s="46">
        <f t="shared" si="60"/>
        <v>2041.8710656174126</v>
      </c>
      <c r="AD94" s="46">
        <f t="shared" si="60"/>
        <v>2040.852784866305</v>
      </c>
      <c r="AE94" s="46">
        <f t="shared" si="60"/>
        <v>2039.8350132555731</v>
      </c>
      <c r="AF94" s="310">
        <f>SUM(AB94:AE94)</f>
        <v>8165.4487195028842</v>
      </c>
      <c r="AH94" s="57">
        <f>AH37+AH49</f>
        <v>10273.292744625849</v>
      </c>
      <c r="AJ94" s="57">
        <f>AJ37+AJ49</f>
        <v>10247.594917719338</v>
      </c>
      <c r="AL94" s="57">
        <f>AL37+AL49</f>
        <v>10221.972191515864</v>
      </c>
    </row>
    <row r="95" spans="2:38" ht="14.25" customHeight="1">
      <c r="B95" s="31" t="s">
        <v>458</v>
      </c>
      <c r="D95" s="680">
        <f>D94/(D82+D79)</f>
        <v>6.1748532847720976E-5</v>
      </c>
      <c r="E95" s="680">
        <f>E94/(E82+E79)</f>
        <v>6.7880301136610162E-5</v>
      </c>
      <c r="F95" s="680">
        <f>F94/(F82+F79)</f>
        <v>7.7591632365098324E-5</v>
      </c>
      <c r="G95" s="680">
        <f>G94/(G82+G79)</f>
        <v>8.8468263388293876E-5</v>
      </c>
      <c r="H95" s="681">
        <f>H94/(H82+H79)</f>
        <v>2.6540479016488161E-4</v>
      </c>
      <c r="I95" s="685"/>
      <c r="J95" s="680">
        <f>J94/(J82+J79)</f>
        <v>1.385534100303432E-4</v>
      </c>
      <c r="K95" s="680">
        <f>K94/(K82+K79)</f>
        <v>1.6027958234905414E-4</v>
      </c>
      <c r="L95" s="680">
        <f>L94/(L82+L79)</f>
        <v>1.3334678006745779E-4</v>
      </c>
      <c r="M95" s="680">
        <f>M94/(M82+M79)</f>
        <v>1.2072386979181051E-4</v>
      </c>
      <c r="N95" s="681">
        <f>N94/(N82+N79)</f>
        <v>5.1998058949544526E-4</v>
      </c>
      <c r="O95" s="685"/>
      <c r="P95" s="680">
        <f>P94/(P82+P79)</f>
        <v>2.7420908871872619E-4</v>
      </c>
      <c r="Q95" s="680">
        <f>Q94/(Q82+Q79)</f>
        <v>2.9080034022860182E-4</v>
      </c>
      <c r="R95" s="680">
        <f>R94/(R82+R79)</f>
        <v>3.045685539243876E-4</v>
      </c>
      <c r="S95" s="680">
        <f>S94/(S82+S79)</f>
        <v>2.8909205023788288E-4</v>
      </c>
      <c r="T95" s="681">
        <f>T94/(T82+T79)</f>
        <v>1.1123067538365281E-3</v>
      </c>
      <c r="U95" s="686"/>
      <c r="V95" s="680">
        <f>V94/(V82+V79)</f>
        <v>3.9400270041332609E-4</v>
      </c>
      <c r="W95" s="680">
        <f>W94/(W82+W79)</f>
        <v>4.3983810667356344E-4</v>
      </c>
      <c r="X95" s="680">
        <f>X94/(X79+X82)</f>
        <v>4.1698668335260101E-4</v>
      </c>
      <c r="Y95" s="680">
        <f>Y94/(Y79+Y82)</f>
        <v>4.2532307437262543E-4</v>
      </c>
      <c r="Z95" s="687">
        <f>Z94/(Z79+Z82)</f>
        <v>1.6751803134659596E-3</v>
      </c>
      <c r="AB95" s="303">
        <f t="shared" ref="AB95:AL95" si="61">AB94/(AB79+AB82)</f>
        <v>4.9488851256548211E-4</v>
      </c>
      <c r="AC95" s="303">
        <f t="shared" si="61"/>
        <v>4.9487740514936481E-4</v>
      </c>
      <c r="AD95" s="303">
        <f t="shared" si="61"/>
        <v>4.9486628847230957E-4</v>
      </c>
      <c r="AE95" s="303">
        <f t="shared" si="61"/>
        <v>4.9485516252864472E-4</v>
      </c>
      <c r="AF95" s="326">
        <f t="shared" si="61"/>
        <v>1.9809025862145293E-3</v>
      </c>
      <c r="AH95" s="326">
        <f t="shared" si="61"/>
        <v>2.4978462201174596E-3</v>
      </c>
      <c r="AJ95" s="326">
        <f t="shared" si="61"/>
        <v>2.4971475461576615E-3</v>
      </c>
      <c r="AL95" s="326">
        <f t="shared" si="61"/>
        <v>2.4963917395901315E-3</v>
      </c>
    </row>
    <row r="96" spans="2:38" ht="14.25" customHeight="1">
      <c r="D96" s="46"/>
      <c r="E96" s="46"/>
      <c r="F96" s="46"/>
      <c r="G96" s="46"/>
      <c r="J96" s="46"/>
      <c r="K96" s="46"/>
      <c r="L96" s="46"/>
      <c r="M96" s="46"/>
      <c r="P96" s="46"/>
      <c r="Q96" s="46"/>
      <c r="R96" s="46"/>
      <c r="S96" s="46"/>
      <c r="U96" s="203"/>
      <c r="V96" s="46"/>
      <c r="W96" s="46"/>
      <c r="X96" s="46"/>
      <c r="Y96" s="46"/>
      <c r="AB96" s="46"/>
      <c r="AC96" s="46"/>
      <c r="AD96" s="46"/>
      <c r="AE96" s="46"/>
    </row>
    <row r="97" spans="2:38" ht="14.25" customHeight="1">
      <c r="B97" s="28" t="s">
        <v>510</v>
      </c>
      <c r="D97" s="50">
        <f>CF!P18</f>
        <v>0</v>
      </c>
      <c r="E97" s="50">
        <f>CF!Q18</f>
        <v>0</v>
      </c>
      <c r="F97" s="50">
        <f>CF!R18</f>
        <v>0</v>
      </c>
      <c r="G97" s="50">
        <f>CF!S18</f>
        <v>0</v>
      </c>
      <c r="H97" s="68">
        <f>CF!T18</f>
        <v>0</v>
      </c>
      <c r="J97" s="50">
        <f>CF!V18</f>
        <v>0</v>
      </c>
      <c r="K97" s="50">
        <f>CF!W18</f>
        <v>0</v>
      </c>
      <c r="L97" s="50">
        <f>CF!X18</f>
        <v>375</v>
      </c>
      <c r="M97" s="50">
        <f>CF!Y18</f>
        <v>353</v>
      </c>
      <c r="N97" s="68">
        <f>CF!Z18</f>
        <v>728</v>
      </c>
      <c r="P97" s="50">
        <f>CF!AB18</f>
        <v>1832</v>
      </c>
      <c r="Q97" s="50">
        <f>CF!AC18</f>
        <v>-2644</v>
      </c>
      <c r="R97" s="50">
        <f>CF!AD18</f>
        <v>0</v>
      </c>
      <c r="S97" s="50">
        <f>CF!AE18</f>
        <v>0</v>
      </c>
      <c r="T97" s="68">
        <f>CF!AF18</f>
        <v>-812</v>
      </c>
      <c r="U97" s="203"/>
      <c r="V97" s="50">
        <f>CF!AH18</f>
        <v>132</v>
      </c>
      <c r="W97" s="50">
        <f>CF!AI18</f>
        <v>-135</v>
      </c>
      <c r="X97" s="46">
        <f>X98*X43</f>
        <v>116.3092</v>
      </c>
      <c r="Y97" s="46">
        <f>Y98*Y43</f>
        <v>162.1788</v>
      </c>
      <c r="Z97" s="310">
        <f>SUM(V97:Y97)</f>
        <v>275.488</v>
      </c>
      <c r="AB97" s="46">
        <f t="shared" ref="AB97:AE97" si="62">AB98*AB43</f>
        <v>151.70181149731783</v>
      </c>
      <c r="AC97" s="46">
        <f t="shared" si="62"/>
        <v>151.70181149731783</v>
      </c>
      <c r="AD97" s="46">
        <f t="shared" si="62"/>
        <v>151.70181149731783</v>
      </c>
      <c r="AE97" s="46">
        <f t="shared" si="62"/>
        <v>151.70181149731783</v>
      </c>
      <c r="AF97" s="310">
        <f>SUM(AB97:AE97)</f>
        <v>606.80724598927134</v>
      </c>
      <c r="AH97" s="66">
        <f t="shared" ref="AH97:AJ97" si="63">AH98*AH43</f>
        <v>699.15222242033224</v>
      </c>
      <c r="AJ97" s="66">
        <f t="shared" si="63"/>
        <v>738.30320137295564</v>
      </c>
      <c r="AL97" s="66">
        <f>AL98*AL43</f>
        <v>800.33898418988281</v>
      </c>
    </row>
    <row r="98" spans="2:38" ht="14.25" customHeight="1">
      <c r="B98" s="31" t="s">
        <v>508</v>
      </c>
      <c r="D98" s="303">
        <f>D97/D43</f>
        <v>0</v>
      </c>
      <c r="E98" s="303">
        <f>E97/E43</f>
        <v>0</v>
      </c>
      <c r="F98" s="303">
        <f>F97/F43</f>
        <v>0</v>
      </c>
      <c r="G98" s="303">
        <f>G97/G43</f>
        <v>0</v>
      </c>
      <c r="H98" s="306">
        <f>H97/H43</f>
        <v>0</v>
      </c>
      <c r="J98" s="303">
        <f>J97/J43</f>
        <v>0</v>
      </c>
      <c r="K98" s="303">
        <f>K97/K43</f>
        <v>0</v>
      </c>
      <c r="L98" s="303">
        <f>L97/L43</f>
        <v>3.4796325508026353E-2</v>
      </c>
      <c r="M98" s="303">
        <f>M97/M43</f>
        <v>2.8067106623201082E-2</v>
      </c>
      <c r="N98" s="306">
        <f>N97/N43</f>
        <v>1.6050090391992591E-2</v>
      </c>
      <c r="P98" s="303">
        <f>P97/P43</f>
        <v>0.14745653573728268</v>
      </c>
      <c r="Q98" s="303">
        <f>Q97/Q43</f>
        <v>-0.24483748495231039</v>
      </c>
      <c r="R98" s="303">
        <f>R97/R43</f>
        <v>0</v>
      </c>
      <c r="S98" s="303">
        <f>S97/S43</f>
        <v>0</v>
      </c>
      <c r="T98" s="306">
        <f>T97/T43</f>
        <v>-1.7139841688654355E-2</v>
      </c>
      <c r="U98" s="203"/>
      <c r="V98" s="303">
        <f>V97/V43</f>
        <v>1.8970968669157803E-2</v>
      </c>
      <c r="W98" s="303">
        <f>W97/W43</f>
        <v>-1.0691375623663579E-2</v>
      </c>
      <c r="X98" s="314">
        <v>0.01</v>
      </c>
      <c r="Y98" s="314">
        <v>0.01</v>
      </c>
      <c r="Z98" s="326">
        <f>Z97/Z43</f>
        <v>5.807841665647703E-3</v>
      </c>
      <c r="AB98" s="314">
        <v>0.01</v>
      </c>
      <c r="AC98" s="314">
        <v>0.01</v>
      </c>
      <c r="AD98" s="314">
        <v>0.01</v>
      </c>
      <c r="AE98" s="314">
        <v>0.01</v>
      </c>
      <c r="AF98" s="334">
        <f>AF97/AF43</f>
        <v>0.01</v>
      </c>
      <c r="AH98" s="314">
        <v>0.01</v>
      </c>
      <c r="AJ98" s="314">
        <v>0.01</v>
      </c>
      <c r="AL98" s="314">
        <v>0.01</v>
      </c>
    </row>
    <row r="99" spans="2:38" ht="14.25" customHeight="1">
      <c r="B99" s="31" t="s">
        <v>511</v>
      </c>
      <c r="D99" s="303"/>
      <c r="E99" s="303"/>
      <c r="F99" s="303"/>
      <c r="G99" s="303"/>
      <c r="H99" s="306"/>
      <c r="J99" s="303"/>
      <c r="K99" s="303"/>
      <c r="L99" s="303"/>
      <c r="M99" s="303"/>
      <c r="N99" s="306"/>
      <c r="P99" s="303"/>
      <c r="Q99" s="303"/>
      <c r="R99" s="303"/>
      <c r="S99" s="303"/>
      <c r="T99" s="306"/>
      <c r="U99" s="203"/>
      <c r="V99" s="303"/>
      <c r="W99" s="303"/>
      <c r="X99" s="730">
        <v>0.65</v>
      </c>
      <c r="Y99" s="730">
        <v>1.06</v>
      </c>
      <c r="Z99" s="738">
        <v>0.95</v>
      </c>
      <c r="AB99" s="730">
        <v>1.18</v>
      </c>
      <c r="AC99" s="730">
        <v>1.18</v>
      </c>
      <c r="AD99" s="730">
        <v>1.18</v>
      </c>
      <c r="AE99" s="730">
        <v>1.18</v>
      </c>
      <c r="AF99" s="738">
        <f>AVERAGE(AB99:AE99)</f>
        <v>1.18</v>
      </c>
      <c r="AG99" s="739"/>
      <c r="AH99" s="730">
        <v>1.3</v>
      </c>
      <c r="AI99" s="739"/>
      <c r="AJ99" s="730">
        <v>1.4</v>
      </c>
      <c r="AK99" s="740"/>
      <c r="AL99" s="730">
        <v>1.5</v>
      </c>
    </row>
    <row r="100" spans="2:38" ht="14.25" customHeight="1">
      <c r="B100" s="31" t="s">
        <v>512</v>
      </c>
      <c r="D100" s="46"/>
      <c r="E100" s="46"/>
      <c r="F100" s="46"/>
      <c r="G100" s="46"/>
      <c r="J100" s="46"/>
      <c r="K100" s="46"/>
      <c r="L100" s="46"/>
      <c r="M100" s="46"/>
      <c r="P100" s="46"/>
      <c r="Q100" s="46"/>
      <c r="R100" s="46"/>
      <c r="S100" s="46"/>
      <c r="U100" s="203"/>
      <c r="V100" s="46"/>
      <c r="W100" s="46"/>
      <c r="X100" s="684">
        <f>X99*(X31+W31+V31+S31)/W64</f>
        <v>1.4230888664362331</v>
      </c>
      <c r="Y100" s="529">
        <f>Y99*(Y31+X31+W31+V31)/X64</f>
        <v>2.5566999314645833</v>
      </c>
      <c r="Z100" s="333">
        <f>AVERAGE(V100:Y100)</f>
        <v>1.9898943989504083</v>
      </c>
      <c r="AB100" s="529">
        <f>AB99*(AB31+Y31+X31+W31)/Y64</f>
        <v>3.1870245026326463</v>
      </c>
      <c r="AC100" s="529">
        <f>AC99*(AC31+AB31+Y31+X31)/AB64</f>
        <v>3.3208576772746876</v>
      </c>
      <c r="AD100" s="529">
        <f>AD99*(AD31+AC31+AB31+Y31)/AC64</f>
        <v>3.5212874850357934</v>
      </c>
      <c r="AE100" s="529">
        <f>AE99*(AE31+AD31+AC31+AB31)/AD64</f>
        <v>3.4615216811582297</v>
      </c>
      <c r="AF100" s="333">
        <f>AVERAGE(AB100:AE100)</f>
        <v>3.3726728365253393</v>
      </c>
      <c r="AH100" s="332">
        <f>AH99*AH31/AE64</f>
        <v>4.3938920766446437</v>
      </c>
      <c r="AJ100" s="332">
        <f>AJ99*AJ31/AH64</f>
        <v>4.9891831398592243</v>
      </c>
      <c r="AL100" s="332">
        <f>AL99*AL31/AJ64</f>
        <v>5.7959746724624486</v>
      </c>
    </row>
    <row r="101" spans="2:38" ht="14.25" customHeight="1">
      <c r="B101" s="31" t="s">
        <v>513</v>
      </c>
      <c r="D101" s="46"/>
      <c r="E101" s="46"/>
      <c r="F101" s="46"/>
      <c r="G101" s="46"/>
      <c r="J101" s="46"/>
      <c r="K101" s="46"/>
      <c r="L101" s="46"/>
      <c r="M101" s="46"/>
      <c r="P101" s="46"/>
      <c r="Q101" s="46"/>
      <c r="R101" s="46"/>
      <c r="S101" s="46"/>
      <c r="U101" s="203"/>
      <c r="V101" s="46"/>
      <c r="W101" s="46"/>
      <c r="X101" s="529">
        <f>X97/X100</f>
        <v>81.730103258601858</v>
      </c>
      <c r="Y101" s="529">
        <f t="shared" ref="Y101" si="64">Y97/Y100</f>
        <v>63.432864374935576</v>
      </c>
      <c r="Z101" s="332">
        <f>AVERAGE(V101:Y101)</f>
        <v>72.581483816768724</v>
      </c>
      <c r="AB101" s="529">
        <f>AB97/AB100</f>
        <v>47.599825910345004</v>
      </c>
      <c r="AC101" s="529">
        <f>AC97/AC100</f>
        <v>45.681515511924687</v>
      </c>
      <c r="AD101" s="529">
        <v>0</v>
      </c>
      <c r="AE101" s="529">
        <v>0</v>
      </c>
      <c r="AF101" s="332">
        <f>AVERAGE(AB101:AE101)</f>
        <v>23.320335355567423</v>
      </c>
      <c r="AH101" s="332">
        <f>AH97/AH100</f>
        <v>159.11911586008586</v>
      </c>
      <c r="AJ101" s="332">
        <f>AJ97/AJ100</f>
        <v>147.98077774987985</v>
      </c>
      <c r="AL101" s="332">
        <f>AL97/AL100</f>
        <v>138.08531427723696</v>
      </c>
    </row>
    <row r="102" spans="2:38" ht="14.25" customHeight="1">
      <c r="D102" s="46"/>
      <c r="E102" s="46"/>
      <c r="F102" s="46"/>
      <c r="G102" s="46"/>
      <c r="J102" s="46"/>
      <c r="K102" s="46"/>
      <c r="L102" s="46"/>
      <c r="M102" s="46"/>
      <c r="P102" s="46"/>
      <c r="Q102" s="46"/>
      <c r="R102" s="46"/>
      <c r="S102" s="46"/>
      <c r="U102" s="203"/>
      <c r="V102" s="46"/>
      <c r="W102" s="46"/>
      <c r="X102" s="46"/>
      <c r="Y102" s="46"/>
      <c r="AB102" s="46"/>
      <c r="AC102" s="46"/>
      <c r="AD102" s="46"/>
      <c r="AE102" s="46"/>
    </row>
    <row r="103" spans="2:38" ht="14.25" customHeight="1">
      <c r="B103" s="28" t="s">
        <v>514</v>
      </c>
      <c r="D103" s="46"/>
      <c r="E103" s="46">
        <f t="shared" ref="E103:W103" si="65">-((E70+E73+E76-E85-E88)-(D70+D73+D76-D85-D88))</f>
        <v>29884</v>
      </c>
      <c r="F103" s="46">
        <f t="shared" si="65"/>
        <v>76198</v>
      </c>
      <c r="G103" s="46">
        <f t="shared" si="65"/>
        <v>106698</v>
      </c>
      <c r="H103" s="46">
        <f>+SUM(D103:G103)</f>
        <v>212780</v>
      </c>
      <c r="I103" s="46"/>
      <c r="J103" s="46">
        <f>-((J70+J73+J76-J85-J88)-(G70+G73+G76-G85-G88))</f>
        <v>-10870</v>
      </c>
      <c r="K103" s="46">
        <f t="shared" si="65"/>
        <v>6900</v>
      </c>
      <c r="L103" s="46">
        <f t="shared" si="65"/>
        <v>69635</v>
      </c>
      <c r="M103" s="46">
        <f t="shared" si="65"/>
        <v>-206051</v>
      </c>
      <c r="N103" s="46">
        <f>+SUM(J103:M103)</f>
        <v>-140386</v>
      </c>
      <c r="O103" s="46"/>
      <c r="P103" s="46">
        <f>-((P70+P73+P76-P85-P88)-(M70+M73+M76-M85-M88))</f>
        <v>-32437</v>
      </c>
      <c r="Q103" s="46">
        <f t="shared" si="65"/>
        <v>37</v>
      </c>
      <c r="R103" s="46">
        <f t="shared" si="65"/>
        <v>94233</v>
      </c>
      <c r="S103" s="46">
        <f t="shared" si="65"/>
        <v>-7384</v>
      </c>
      <c r="T103" s="46">
        <f>+SUM(P103:S103)</f>
        <v>54449</v>
      </c>
      <c r="U103" s="796"/>
      <c r="V103" s="46">
        <f>-((V70+V73+V76-V85-V88)-(S70+S73+S76-S85-S88))</f>
        <v>-19519</v>
      </c>
      <c r="W103" s="46">
        <f t="shared" si="65"/>
        <v>-80915</v>
      </c>
      <c r="X103" s="46">
        <f>-((X70+X73+X76-X85-X88)-(W70+W73+W76-W85-W88))</f>
        <v>10611.111497584614</v>
      </c>
      <c r="Y103" s="46">
        <f>-((Y70+Y73+Y76-Y85-Y88)-(X70+X73+X76-X85-X88))</f>
        <v>14492.900096618221</v>
      </c>
      <c r="Z103" s="57">
        <f>SUM(V103:Y103)</f>
        <v>-75329.988405797165</v>
      </c>
      <c r="AB103" s="46">
        <f>-((AB70+AB73+AB76-AB85-AB88)-(Y70+Y73+Y76-Y85-Y88))</f>
        <v>19005.121018705075</v>
      </c>
      <c r="AC103" s="46">
        <f>-((AC70+AC73+AC76-AC85-AC88)-(AB70+AB73+AB76-AB85-AB88))</f>
        <v>833.52643679850735</v>
      </c>
      <c r="AD103" s="46">
        <f>-((AD70+AD73+AD76-AD85-AD88)-(AC70+AC73+AC76-AC85-AC88))</f>
        <v>815.40629686799366</v>
      </c>
      <c r="AE103" s="46">
        <f>-((AE70+AE73+AE76-AE85-AE88)-(AD70+AD73+AD76-AD85-AD88))</f>
        <v>11293.357078133617</v>
      </c>
      <c r="AF103" s="57">
        <f>SUM(AB103:AE103)</f>
        <v>31947.410830505192</v>
      </c>
      <c r="AH103" s="310">
        <f>-((AH70+AH73+AH76-AH85-AH88)-(AF70+AF73+AF76-AF85-AF88))</f>
        <v>-52584.623298338789</v>
      </c>
      <c r="AJ103" s="310">
        <f>-((AJ70+AJ73+AJ76-AJ85-AJ88)-(AH70+AH73+AH76-AH85-AH88))</f>
        <v>14519.113373356231</v>
      </c>
      <c r="AL103" s="310">
        <f>-((AL70+AL73+AL76-AL85-AL88)-(AJ70+AJ73+AJ76-AJ85-AJ88))</f>
        <v>-11948.364563880023</v>
      </c>
    </row>
    <row r="104" spans="2:38" ht="14.25" customHeight="1">
      <c r="B104" s="31" t="s">
        <v>515</v>
      </c>
      <c r="D104" s="303">
        <f>D103/(D31-IS!M18)</f>
        <v>0</v>
      </c>
      <c r="E104" s="303">
        <f>E103/(E31-D31)</f>
        <v>177.88095238095238</v>
      </c>
      <c r="F104" s="303">
        <f>F103/(F31-E31)</f>
        <v>1002.6052631578947</v>
      </c>
      <c r="G104" s="303">
        <f>G103/(G31-F31)</f>
        <v>29.041371801850843</v>
      </c>
      <c r="H104" s="306">
        <f>H103/IS!N18</f>
        <v>2.4206502696184389</v>
      </c>
      <c r="J104" s="303">
        <f>J103/(J31-IS!S18)</f>
        <v>-0.74061456700960682</v>
      </c>
      <c r="K104" s="303">
        <f>K103/(K31-J31)</f>
        <v>-0.50671954174928402</v>
      </c>
      <c r="L104" s="303">
        <f>L103/(L31-K31)</f>
        <v>-102.10410557184751</v>
      </c>
      <c r="M104" s="303">
        <f>M103/(M31-L31)</f>
        <v>13.450682159409883</v>
      </c>
      <c r="N104" s="306">
        <f>N103/IS!T18</f>
        <v>-0.9965925063535559</v>
      </c>
      <c r="P104" s="303">
        <f>P103/(P31-IS!Y18)</f>
        <v>-2.1859289709549161</v>
      </c>
      <c r="Q104" s="303">
        <f>Q103/(Q31-P31)</f>
        <v>2.0285087719298246E-2</v>
      </c>
      <c r="R104" s="303">
        <f>R103/(R31-Q31)</f>
        <v>53.389801699716713</v>
      </c>
      <c r="S104" s="303">
        <f>S103/(S31-R31)</f>
        <v>-0.45073861555365646</v>
      </c>
      <c r="T104" s="306">
        <f>T103/IS!Z18</f>
        <v>0.35498950333155127</v>
      </c>
      <c r="U104" s="203"/>
      <c r="V104" s="303">
        <f>V103/(V31-IS!AE18)</f>
        <v>-10.44914346895075</v>
      </c>
      <c r="W104" s="303">
        <f>W103/(W31-V31)</f>
        <v>-4.4578811084788716</v>
      </c>
      <c r="X104" s="303">
        <f>X103/(X31-W31)</f>
        <v>-1.8162247531125242</v>
      </c>
      <c r="Y104" s="303">
        <f>Y103/(Y31-X31)</f>
        <v>0.63191743972557968</v>
      </c>
      <c r="Z104" s="306">
        <f>Z103/(Z31-T31)</f>
        <v>-1.0476612715157527</v>
      </c>
      <c r="AB104" s="303">
        <f>AB103/(AB31-IS!AK18)</f>
        <v>-3.6279740144488422</v>
      </c>
      <c r="AC104" s="303" t="e">
        <f>AC103/(AC31-AB31)</f>
        <v>#DIV/0!</v>
      </c>
      <c r="AD104" s="303" t="e">
        <f>AD103/(AD31-AC31)</f>
        <v>#DIV/0!</v>
      </c>
      <c r="AE104" s="303" t="e">
        <f>AE103/(AE31-AD31)</f>
        <v>#DIV/0!</v>
      </c>
      <c r="AF104" s="306">
        <f>AF103/(AF31-Z31)</f>
        <v>0.5881700494093739</v>
      </c>
      <c r="AH104" s="306">
        <f>AH103/(AH31-AF31)</f>
        <v>-1.1388735008795032</v>
      </c>
      <c r="AJ104" s="306">
        <f>AJ103/(AJ31-AH31)</f>
        <v>0.74169861197728104</v>
      </c>
      <c r="AL104" s="306">
        <f>AL103/(AL31-AJ31)</f>
        <v>-0.38520879470935909</v>
      </c>
    </row>
    <row r="105" spans="2:38" ht="14.25" customHeight="1">
      <c r="D105" s="46"/>
      <c r="E105" s="46"/>
      <c r="F105" s="46"/>
      <c r="G105" s="46"/>
      <c r="J105" s="46"/>
      <c r="K105" s="46"/>
      <c r="L105" s="46"/>
      <c r="M105" s="46"/>
      <c r="P105" s="46"/>
      <c r="Q105" s="46"/>
      <c r="R105" s="46"/>
      <c r="S105" s="46"/>
      <c r="U105" s="203"/>
      <c r="V105" s="46"/>
      <c r="W105" s="46"/>
      <c r="X105" s="46"/>
      <c r="Y105" s="46"/>
      <c r="AB105" s="46"/>
      <c r="AC105" s="46"/>
      <c r="AD105" s="46"/>
      <c r="AE105" s="46"/>
    </row>
    <row r="106" spans="2:38" ht="14.25" customHeight="1">
      <c r="B106" s="28" t="s">
        <v>516</v>
      </c>
      <c r="D106" s="50">
        <f>CF!P28</f>
        <v>-63.726999999999997</v>
      </c>
      <c r="E106" s="50">
        <f>CF!Q28</f>
        <v>-56.268999999999998</v>
      </c>
      <c r="F106" s="50">
        <f>CF!R28</f>
        <v>-270.74099999999999</v>
      </c>
      <c r="G106" s="50">
        <f>CF!S28</f>
        <v>-213.108</v>
      </c>
      <c r="H106" s="68">
        <f>CF!T28</f>
        <v>-603.84500000000003</v>
      </c>
      <c r="J106" s="50">
        <f>CF!V28</f>
        <v>-27.850999999999999</v>
      </c>
      <c r="K106" s="50">
        <f>CF!W28</f>
        <v>-42.243000000000002</v>
      </c>
      <c r="L106" s="50">
        <f>CF!X28</f>
        <v>-63.719000000000001</v>
      </c>
      <c r="M106" s="50">
        <f>CF!Y28</f>
        <v>0</v>
      </c>
      <c r="N106" s="68">
        <f>CF!Z28</f>
        <v>-133.81299999999999</v>
      </c>
      <c r="P106" s="50">
        <f>CF!AB28</f>
        <v>-26.808</v>
      </c>
      <c r="Q106" s="50">
        <f>CF!AC28</f>
        <v>-6.6139999999999999</v>
      </c>
      <c r="R106" s="50">
        <f>CF!AD28</f>
        <v>-50.868000000000002</v>
      </c>
      <c r="S106" s="50">
        <f>CF!AE28</f>
        <v>0</v>
      </c>
      <c r="T106" s="68">
        <f>CF!AF28</f>
        <v>-84.289999999999992</v>
      </c>
      <c r="U106" s="203"/>
      <c r="V106" s="50">
        <f>CF!AH28</f>
        <v>-28.51</v>
      </c>
      <c r="W106" s="50">
        <f>CF!AI28</f>
        <v>-18.294</v>
      </c>
      <c r="X106" s="46">
        <f>-X$31*(X107+Sensitivity!$U$38)</f>
        <v>-36.498697669055183</v>
      </c>
      <c r="Y106" s="46">
        <f>-Y$31*(Y107+Sensitivity!$U$38)</f>
        <v>-50.892921536130984</v>
      </c>
      <c r="Z106" s="57">
        <f>SUM(V106:Y106)</f>
        <v>-134.19561920518618</v>
      </c>
      <c r="AA106" s="71"/>
      <c r="AB106" s="46">
        <f>-AB$31*(AB107+Sensitivity!$U$38)</f>
        <v>-75.850905748658917</v>
      </c>
      <c r="AC106" s="46">
        <f>-AC$31*(AC107+Sensitivity!$U$38)</f>
        <v>-75.850905748658917</v>
      </c>
      <c r="AD106" s="46">
        <f>-AD$31*(AD107+Sensitivity!$U$38)</f>
        <v>-75.850905748658917</v>
      </c>
      <c r="AE106" s="46">
        <f>-AE$31*(AE107+Sensitivity!$U$38)</f>
        <v>-75.850905748658917</v>
      </c>
      <c r="AF106" s="57">
        <f>SUM(AB106:AE106)</f>
        <v>-303.40362299463567</v>
      </c>
      <c r="AG106" s="57"/>
      <c r="AH106" s="57">
        <f>-AH$31*(AH107+Sensitivity!$U$38)</f>
        <v>-1048.7283336304984</v>
      </c>
      <c r="AI106" s="57"/>
      <c r="AJ106" s="57">
        <f>-AJ$31*(AJ107+Sensitivity!$U$38)</f>
        <v>-1107.4548020594334</v>
      </c>
      <c r="AK106" s="57"/>
      <c r="AL106" s="57">
        <f>-AL$31*(AL107+Sensitivity!$U$38)</f>
        <v>-1200.5084762848239</v>
      </c>
    </row>
    <row r="107" spans="2:38" ht="14.25" customHeight="1">
      <c r="B107" s="31" t="s">
        <v>449</v>
      </c>
      <c r="D107" s="303">
        <f>-D106/D31</f>
        <v>1.8669654889552937E-3</v>
      </c>
      <c r="E107" s="303">
        <f>-E106/E31</f>
        <v>1.6403999766777446E-3</v>
      </c>
      <c r="F107" s="303">
        <f>-F106/F31</f>
        <v>7.875414509279189E-3</v>
      </c>
      <c r="G107" s="303">
        <f>-G106/G31</f>
        <v>5.6004415011037525E-3</v>
      </c>
      <c r="H107" s="306">
        <f>-H106/H31</f>
        <v>4.2866625019522099E-3</v>
      </c>
      <c r="J107" s="303">
        <f>-J106/J31</f>
        <v>5.2819131787062144E-4</v>
      </c>
      <c r="K107" s="303">
        <f>-K106/K31</f>
        <v>1.0800521579055022E-3</v>
      </c>
      <c r="L107" s="303">
        <f>-L106/L31</f>
        <v>1.6580536039552433E-3</v>
      </c>
      <c r="M107" s="303">
        <f>-M106/M31</f>
        <v>0</v>
      </c>
      <c r="N107" s="781">
        <f>-N106/N31</f>
        <v>8.7241658082434694E-4</v>
      </c>
      <c r="P107" s="303">
        <f>-P106/P31</f>
        <v>7.0640316205533593E-4</v>
      </c>
      <c r="Q107" s="303">
        <f>-Q106/Q31</f>
        <v>1.6628953587770906E-4</v>
      </c>
      <c r="R107" s="303">
        <f>-R106/R31</f>
        <v>1.2245841257613327E-3</v>
      </c>
      <c r="S107" s="303">
        <f>-S106/S31</f>
        <v>0</v>
      </c>
      <c r="T107" s="781">
        <f>-T106/T31</f>
        <v>4.7572015531876464E-4</v>
      </c>
      <c r="U107" s="203"/>
      <c r="V107" s="679">
        <f>-V106/V31</f>
        <v>6.2186450290101648E-4</v>
      </c>
      <c r="W107" s="679">
        <f>-W106/W31</f>
        <v>2.8585714955388537E-4</v>
      </c>
      <c r="X107" s="783">
        <v>6.2761497231612255E-4</v>
      </c>
      <c r="Y107" s="783">
        <v>6.2761497231612255E-4</v>
      </c>
      <c r="Z107" s="784">
        <f>-Z106/Z$31</f>
        <v>5.3874999179076457E-4</v>
      </c>
      <c r="AA107" s="785"/>
      <c r="AB107" s="783">
        <v>1E-3</v>
      </c>
      <c r="AC107" s="783">
        <v>1E-3</v>
      </c>
      <c r="AD107" s="783">
        <v>1E-3</v>
      </c>
      <c r="AE107" s="783">
        <v>1E-3</v>
      </c>
      <c r="AF107" s="784">
        <f>-AF106/AF$31</f>
        <v>1E-3</v>
      </c>
      <c r="AG107" s="785"/>
      <c r="AH107" s="783">
        <v>3.0000000000000001E-3</v>
      </c>
      <c r="AI107" s="785"/>
      <c r="AJ107" s="783">
        <v>3.0000000000000001E-3</v>
      </c>
      <c r="AK107" s="782"/>
      <c r="AL107" s="783">
        <v>3.0000000000000001E-3</v>
      </c>
    </row>
    <row r="108" spans="2:38" ht="14.25" customHeight="1">
      <c r="D108" s="46"/>
      <c r="E108" s="46"/>
      <c r="F108" s="46"/>
      <c r="G108" s="46"/>
      <c r="J108" s="46"/>
      <c r="K108" s="46"/>
      <c r="L108" s="46"/>
      <c r="M108" s="46"/>
      <c r="N108" s="310"/>
      <c r="P108" s="46"/>
      <c r="Q108" s="46"/>
      <c r="R108" s="46"/>
      <c r="S108" s="46"/>
      <c r="T108" s="782"/>
      <c r="U108" s="203"/>
      <c r="V108" s="46"/>
      <c r="W108" s="46"/>
      <c r="X108" s="46"/>
      <c r="Y108" s="46"/>
      <c r="AB108" s="46"/>
      <c r="AC108" s="46"/>
      <c r="AD108" s="46"/>
      <c r="AE108" s="46"/>
    </row>
    <row r="109" spans="2:38" ht="14.25" customHeight="1">
      <c r="B109" s="28" t="s">
        <v>517</v>
      </c>
      <c r="D109" s="50">
        <f>CF!P29</f>
        <v>0</v>
      </c>
      <c r="E109" s="50">
        <f>CF!Q29</f>
        <v>0</v>
      </c>
      <c r="F109" s="50">
        <f>CF!R29</f>
        <v>0</v>
      </c>
      <c r="G109" s="50">
        <f>CF!S29</f>
        <v>0</v>
      </c>
      <c r="H109" s="68">
        <f>CF!T29</f>
        <v>0</v>
      </c>
      <c r="J109" s="50">
        <f>CF!V29</f>
        <v>0</v>
      </c>
      <c r="K109" s="50">
        <f>CF!W29</f>
        <v>0</v>
      </c>
      <c r="L109" s="50">
        <f>CF!X29</f>
        <v>0</v>
      </c>
      <c r="M109" s="50">
        <f>CF!Y29</f>
        <v>124</v>
      </c>
      <c r="N109" s="68">
        <f>CF!Z29</f>
        <v>124</v>
      </c>
      <c r="P109" s="50">
        <f>CF!AB29</f>
        <v>0</v>
      </c>
      <c r="Q109" s="50">
        <f>CF!AC29</f>
        <v>0</v>
      </c>
      <c r="R109" s="50">
        <f>CF!AD29</f>
        <v>0</v>
      </c>
      <c r="S109" s="50">
        <f>CF!AE29</f>
        <v>17.5</v>
      </c>
      <c r="T109" s="68">
        <f>CF!AF29</f>
        <v>17.5</v>
      </c>
      <c r="U109" s="203"/>
      <c r="V109" s="50">
        <f>CF!AH29</f>
        <v>0</v>
      </c>
      <c r="W109" s="50">
        <f>CF!AI29</f>
        <v>0</v>
      </c>
      <c r="X109" s="46">
        <f>X110*X$106</f>
        <v>0</v>
      </c>
      <c r="Y109" s="46">
        <f>Y110*Y$106</f>
        <v>0</v>
      </c>
      <c r="Z109" s="57">
        <f>SUM(V109:Y109)</f>
        <v>0</v>
      </c>
      <c r="AB109" s="46">
        <f t="shared" ref="AB109:AE109" si="66">AB110*AB$106</f>
        <v>0</v>
      </c>
      <c r="AC109" s="46">
        <f t="shared" si="66"/>
        <v>0</v>
      </c>
      <c r="AD109" s="46">
        <f t="shared" si="66"/>
        <v>0</v>
      </c>
      <c r="AE109" s="46">
        <f t="shared" si="66"/>
        <v>0</v>
      </c>
      <c r="AF109" s="57">
        <f>SUM(AB109:AE109)</f>
        <v>0</v>
      </c>
      <c r="AH109" s="57">
        <f t="shared" ref="AH109:AL109" si="67">AH110*AH$106</f>
        <v>0</v>
      </c>
      <c r="AJ109" s="57">
        <f t="shared" si="67"/>
        <v>0</v>
      </c>
      <c r="AL109" s="57">
        <f t="shared" si="67"/>
        <v>0</v>
      </c>
    </row>
    <row r="110" spans="2:38" ht="14.25" customHeight="1">
      <c r="B110" s="31" t="s">
        <v>518</v>
      </c>
      <c r="D110" s="303">
        <f>-D109/D106</f>
        <v>0</v>
      </c>
      <c r="E110" s="303">
        <f t="shared" ref="E110:H110" si="68">-E109/E106</f>
        <v>0</v>
      </c>
      <c r="F110" s="303">
        <f t="shared" si="68"/>
        <v>0</v>
      </c>
      <c r="G110" s="303">
        <f t="shared" si="68"/>
        <v>0</v>
      </c>
      <c r="H110" s="306">
        <f t="shared" si="68"/>
        <v>0</v>
      </c>
      <c r="J110" s="303">
        <f>-J109/J106</f>
        <v>0</v>
      </c>
      <c r="K110" s="303">
        <f t="shared" ref="K110" si="69">-K109/K106</f>
        <v>0</v>
      </c>
      <c r="L110" s="303">
        <f t="shared" ref="L110" si="70">-L109/L106</f>
        <v>0</v>
      </c>
      <c r="M110" s="303" t="e">
        <f t="shared" ref="M110" si="71">-M109/M106</f>
        <v>#DIV/0!</v>
      </c>
      <c r="N110" s="306">
        <f t="shared" ref="N110" si="72">-N109/N106</f>
        <v>0.92666631792127829</v>
      </c>
      <c r="P110" s="303">
        <f>-P109/P106</f>
        <v>0</v>
      </c>
      <c r="Q110" s="303">
        <f t="shared" ref="Q110" si="73">-Q109/Q106</f>
        <v>0</v>
      </c>
      <c r="R110" s="303">
        <f t="shared" ref="R110" si="74">-R109/R106</f>
        <v>0</v>
      </c>
      <c r="S110" s="303" t="e">
        <f t="shared" ref="S110" si="75">-S109/S106</f>
        <v>#DIV/0!</v>
      </c>
      <c r="T110" s="306">
        <f t="shared" ref="T110" si="76">-T109/T106</f>
        <v>0.20761656186973546</v>
      </c>
      <c r="U110" s="203"/>
      <c r="V110" s="303">
        <f>-V109/V106</f>
        <v>0</v>
      </c>
      <c r="W110" s="303">
        <f t="shared" ref="W110" si="77">-W109/W106</f>
        <v>0</v>
      </c>
      <c r="X110" s="314"/>
      <c r="Y110" s="314"/>
      <c r="Z110" s="304">
        <f>-Z109/Z$31</f>
        <v>0</v>
      </c>
      <c r="AB110" s="314"/>
      <c r="AC110" s="314"/>
      <c r="AD110" s="314"/>
      <c r="AE110" s="314"/>
      <c r="AF110" s="304">
        <f>-AF109/AF$31</f>
        <v>0</v>
      </c>
      <c r="AH110" s="314">
        <v>0</v>
      </c>
      <c r="AJ110" s="314">
        <v>0</v>
      </c>
      <c r="AL110" s="314">
        <v>0</v>
      </c>
    </row>
    <row r="111" spans="2:38" ht="14.25" customHeight="1">
      <c r="B111" s="31"/>
      <c r="D111" s="303"/>
      <c r="E111" s="303"/>
      <c r="F111" s="303"/>
      <c r="G111" s="303"/>
      <c r="H111" s="306"/>
      <c r="J111" s="303"/>
      <c r="K111" s="303"/>
      <c r="L111" s="303"/>
      <c r="M111" s="303"/>
      <c r="N111" s="306"/>
      <c r="P111" s="303"/>
      <c r="Q111" s="303"/>
      <c r="R111" s="303"/>
      <c r="S111" s="303"/>
      <c r="T111" s="306"/>
      <c r="U111" s="203"/>
      <c r="V111" s="303"/>
      <c r="W111" s="303"/>
      <c r="X111" s="303"/>
      <c r="Y111" s="303"/>
      <c r="Z111" s="304"/>
      <c r="AA111" s="304"/>
      <c r="AB111" s="303"/>
      <c r="AC111" s="303"/>
      <c r="AD111" s="303"/>
      <c r="AE111" s="303"/>
      <c r="AF111" s="304"/>
      <c r="AH111" s="608"/>
      <c r="AJ111" s="608"/>
      <c r="AL111" s="608"/>
    </row>
    <row r="112" spans="2:38" ht="14.25" customHeight="1">
      <c r="B112" s="28" t="s">
        <v>519</v>
      </c>
      <c r="D112" s="50">
        <f>CF!P39</f>
        <v>0</v>
      </c>
      <c r="E112" s="50">
        <f>CF!Q39</f>
        <v>0</v>
      </c>
      <c r="F112" s="50">
        <f>CF!R39</f>
        <v>0</v>
      </c>
      <c r="G112" s="50">
        <f>CF!S39</f>
        <v>0</v>
      </c>
      <c r="H112" s="68">
        <f>CF!T39</f>
        <v>0</v>
      </c>
      <c r="J112" s="50">
        <f>CF!V39</f>
        <v>0</v>
      </c>
      <c r="K112" s="50">
        <f>CF!W39</f>
        <v>0</v>
      </c>
      <c r="L112" s="50">
        <f>CF!X39</f>
        <v>0</v>
      </c>
      <c r="M112" s="50">
        <f>CF!Y39</f>
        <v>0</v>
      </c>
      <c r="N112" s="68">
        <f>CF!Z39</f>
        <v>0</v>
      </c>
      <c r="P112" s="50">
        <f>CF!AB39</f>
        <v>0</v>
      </c>
      <c r="Q112" s="50">
        <f>CF!AC39</f>
        <v>0</v>
      </c>
      <c r="R112" s="50">
        <f>CF!AD39</f>
        <v>0</v>
      </c>
      <c r="S112" s="50">
        <f>CF!AE39</f>
        <v>0</v>
      </c>
      <c r="T112" s="68">
        <f>CF!AF39</f>
        <v>0</v>
      </c>
      <c r="U112" s="203"/>
      <c r="V112" s="50">
        <f>CF!AH39</f>
        <v>0</v>
      </c>
      <c r="W112" s="50">
        <f>CF!AI39</f>
        <v>0</v>
      </c>
      <c r="X112" s="46">
        <f>-X113*X126</f>
        <v>0</v>
      </c>
      <c r="Y112" s="46">
        <f>-Y113*Y126</f>
        <v>0</v>
      </c>
      <c r="Z112" s="57">
        <f>SUM(V112:Y112)</f>
        <v>0</v>
      </c>
      <c r="AB112" s="46">
        <f>-AB113*AB126</f>
        <v>0</v>
      </c>
      <c r="AC112" s="46">
        <f>-AC113*AC126</f>
        <v>0</v>
      </c>
      <c r="AD112" s="46">
        <f>-AD113*AD126</f>
        <v>0</v>
      </c>
      <c r="AE112" s="46">
        <f>-AE113*AE126</f>
        <v>0</v>
      </c>
      <c r="AF112" s="57">
        <f>SUM(AB112:AE112)</f>
        <v>0</v>
      </c>
      <c r="AH112" s="57">
        <f>-AH113*AH126</f>
        <v>0</v>
      </c>
      <c r="AJ112" s="57">
        <f>-AJ113*AJ126</f>
        <v>0</v>
      </c>
      <c r="AL112" s="57">
        <f>-AL113*AL126</f>
        <v>0</v>
      </c>
    </row>
    <row r="113" spans="1:45" ht="14.25" customHeight="1">
      <c r="B113" s="31" t="s">
        <v>520</v>
      </c>
      <c r="D113" s="303">
        <f>-D112/D126</f>
        <v>0</v>
      </c>
      <c r="E113" s="303">
        <f>-E112/E126</f>
        <v>0</v>
      </c>
      <c r="F113" s="303">
        <f>-F112/F126</f>
        <v>0</v>
      </c>
      <c r="G113" s="303">
        <f>-G112/G126</f>
        <v>0</v>
      </c>
      <c r="H113" s="306">
        <f>-H112/H126</f>
        <v>0</v>
      </c>
      <c r="J113" s="303">
        <f>-J112/J126</f>
        <v>0</v>
      </c>
      <c r="K113" s="303">
        <f>-K112/K126</f>
        <v>0</v>
      </c>
      <c r="L113" s="303">
        <f>-L112/L126</f>
        <v>0</v>
      </c>
      <c r="M113" s="303">
        <f>-M112/M126</f>
        <v>0</v>
      </c>
      <c r="N113" s="306">
        <f>-N112/N126</f>
        <v>0</v>
      </c>
      <c r="P113" s="303">
        <f>-P112/P126</f>
        <v>0</v>
      </c>
      <c r="Q113" s="303">
        <f>-Q112/Q126</f>
        <v>0</v>
      </c>
      <c r="R113" s="303">
        <f>-R112/R126</f>
        <v>0</v>
      </c>
      <c r="S113" s="303">
        <f>-S112/S126</f>
        <v>0</v>
      </c>
      <c r="T113" s="306">
        <f>-T112/T126</f>
        <v>0</v>
      </c>
      <c r="U113" s="203"/>
      <c r="V113" s="303">
        <f>-V112/V126</f>
        <v>0</v>
      </c>
      <c r="W113" s="303">
        <f>-W112/W126</f>
        <v>0</v>
      </c>
      <c r="X113" s="314">
        <v>0</v>
      </c>
      <c r="Y113" s="314">
        <v>0</v>
      </c>
      <c r="Z113" s="304">
        <f>-Z112/Z126</f>
        <v>0</v>
      </c>
      <c r="AB113" s="314">
        <v>0</v>
      </c>
      <c r="AC113" s="314">
        <v>0</v>
      </c>
      <c r="AD113" s="314">
        <v>0</v>
      </c>
      <c r="AE113" s="314">
        <v>0</v>
      </c>
      <c r="AF113" s="304">
        <f>-AF112/AF126</f>
        <v>0</v>
      </c>
      <c r="AH113" s="314">
        <v>0</v>
      </c>
      <c r="AJ113" s="314">
        <v>0</v>
      </c>
      <c r="AL113" s="314">
        <v>0</v>
      </c>
    </row>
    <row r="114" spans="1:45" ht="14.25" customHeight="1">
      <c r="B114" s="31"/>
      <c r="D114" s="303"/>
      <c r="E114" s="303"/>
      <c r="F114" s="303"/>
      <c r="G114" s="303"/>
      <c r="H114" s="306"/>
      <c r="J114" s="303"/>
      <c r="K114" s="303"/>
      <c r="L114" s="303"/>
      <c r="M114" s="303"/>
      <c r="N114" s="306"/>
      <c r="P114" s="303"/>
      <c r="Q114" s="303"/>
      <c r="R114" s="303"/>
      <c r="S114" s="303"/>
      <c r="T114" s="306"/>
      <c r="U114" s="203"/>
      <c r="V114" s="303"/>
      <c r="W114" s="303"/>
      <c r="X114" s="303"/>
      <c r="Y114" s="303"/>
      <c r="Z114" s="304"/>
      <c r="AA114" s="304"/>
      <c r="AB114" s="303"/>
      <c r="AC114" s="303"/>
      <c r="AD114" s="303"/>
      <c r="AE114" s="303"/>
      <c r="AF114" s="304"/>
      <c r="AH114" s="608"/>
      <c r="AJ114" s="608"/>
      <c r="AL114" s="608"/>
    </row>
    <row r="115" spans="1:45" ht="14.25" customHeight="1">
      <c r="B115" s="28" t="s">
        <v>521</v>
      </c>
      <c r="D115" s="50">
        <f>CF!P40</f>
        <v>0</v>
      </c>
      <c r="E115" s="50">
        <f>CF!Q40</f>
        <v>0</v>
      </c>
      <c r="F115" s="50">
        <f>CF!R40</f>
        <v>0</v>
      </c>
      <c r="G115" s="50">
        <f>CF!S40</f>
        <v>0</v>
      </c>
      <c r="H115" s="68">
        <f>CF!T40</f>
        <v>0</v>
      </c>
      <c r="J115" s="50">
        <f>CF!V40</f>
        <v>0</v>
      </c>
      <c r="K115" s="50">
        <f>CF!W40</f>
        <v>0</v>
      </c>
      <c r="L115" s="50">
        <f>CF!X40</f>
        <v>0</v>
      </c>
      <c r="M115" s="50">
        <f>CF!Y40</f>
        <v>0</v>
      </c>
      <c r="N115" s="68">
        <f>CF!Z40</f>
        <v>0</v>
      </c>
      <c r="P115" s="50">
        <f>CF!AB40</f>
        <v>0</v>
      </c>
      <c r="Q115" s="50">
        <f>CF!AC40</f>
        <v>0</v>
      </c>
      <c r="R115" s="50">
        <f>CF!AD40</f>
        <v>0</v>
      </c>
      <c r="S115" s="50">
        <f>CF!AE40</f>
        <v>0</v>
      </c>
      <c r="T115" s="68">
        <f>CF!AF40</f>
        <v>0</v>
      </c>
      <c r="U115" s="203"/>
      <c r="V115" s="50">
        <f>CF!AH40</f>
        <v>0</v>
      </c>
      <c r="W115" s="50">
        <f>CF!AI40</f>
        <v>0</v>
      </c>
      <c r="X115" s="610">
        <v>0</v>
      </c>
      <c r="Y115" s="610">
        <v>0</v>
      </c>
      <c r="Z115" s="57">
        <f>SUM(V115:Y115)</f>
        <v>0</v>
      </c>
      <c r="AB115" s="610">
        <v>0</v>
      </c>
      <c r="AC115" s="610">
        <v>0</v>
      </c>
      <c r="AD115" s="610">
        <v>0</v>
      </c>
      <c r="AE115" s="610">
        <v>0</v>
      </c>
      <c r="AF115" s="57">
        <f>SUM(AB115:AE115)</f>
        <v>0</v>
      </c>
      <c r="AH115" s="610">
        <v>0</v>
      </c>
      <c r="AJ115" s="610">
        <v>0</v>
      </c>
      <c r="AL115" s="610">
        <v>0</v>
      </c>
    </row>
    <row r="116" spans="1:45" ht="14.25" customHeight="1">
      <c r="U116" s="203"/>
      <c r="AS116" s="310"/>
    </row>
    <row r="117" spans="1:45" s="41" customFormat="1" ht="15" customHeight="1">
      <c r="A117" s="30" t="s">
        <v>39</v>
      </c>
      <c r="B117" s="159" t="s">
        <v>522</v>
      </c>
      <c r="C117" s="18"/>
      <c r="D117" s="160"/>
      <c r="E117" s="160"/>
      <c r="F117" s="160"/>
      <c r="G117" s="160"/>
      <c r="H117" s="160"/>
      <c r="I117" s="18"/>
      <c r="J117" s="160"/>
      <c r="K117" s="160"/>
      <c r="L117" s="160"/>
      <c r="M117" s="160"/>
      <c r="N117" s="160"/>
      <c r="O117" s="18"/>
      <c r="P117" s="160"/>
      <c r="Q117" s="160"/>
      <c r="R117" s="160"/>
      <c r="S117" s="160"/>
      <c r="T117" s="160"/>
      <c r="U117" s="18"/>
      <c r="V117" s="160"/>
      <c r="W117" s="160"/>
      <c r="X117" s="160"/>
      <c r="Y117" s="160"/>
      <c r="Z117" s="160"/>
      <c r="AA117" s="18"/>
      <c r="AB117" s="160"/>
      <c r="AC117" s="160"/>
      <c r="AD117" s="160"/>
      <c r="AE117" s="160"/>
      <c r="AF117" s="160"/>
      <c r="AG117" s="18"/>
      <c r="AH117" s="160"/>
      <c r="AI117" s="18"/>
      <c r="AJ117" s="161"/>
      <c r="AK117" s="18"/>
      <c r="AL117" s="161"/>
    </row>
    <row r="118" spans="1:45" s="41" customFormat="1" ht="15" customHeight="1">
      <c r="B118" s="162"/>
      <c r="C118" s="18"/>
      <c r="D118" s="950">
        <f>D$8</f>
        <v>2022</v>
      </c>
      <c r="E118" s="950">
        <f>F118</f>
        <v>0</v>
      </c>
      <c r="F118" s="950">
        <f>F$8</f>
        <v>0</v>
      </c>
      <c r="G118" s="950">
        <f>F118</f>
        <v>0</v>
      </c>
      <c r="H118" s="950">
        <f>F118</f>
        <v>0</v>
      </c>
      <c r="I118" s="167"/>
      <c r="J118" s="950">
        <f>J$8</f>
        <v>2023</v>
      </c>
      <c r="K118" s="950">
        <f>L118</f>
        <v>0</v>
      </c>
      <c r="L118" s="950">
        <f>L$8</f>
        <v>0</v>
      </c>
      <c r="M118" s="950">
        <f>L118</f>
        <v>0</v>
      </c>
      <c r="N118" s="950">
        <f>L118</f>
        <v>0</v>
      </c>
      <c r="O118" s="167"/>
      <c r="P118" s="950">
        <f>P$8</f>
        <v>2024</v>
      </c>
      <c r="Q118" s="950">
        <f>R118</f>
        <v>0</v>
      </c>
      <c r="R118" s="950">
        <f>R$8</f>
        <v>0</v>
      </c>
      <c r="S118" s="950">
        <f>R118</f>
        <v>0</v>
      </c>
      <c r="T118" s="950">
        <f>R118</f>
        <v>0</v>
      </c>
      <c r="U118" s="167"/>
      <c r="V118" s="949">
        <f>V$8</f>
        <v>2025</v>
      </c>
      <c r="W118" s="949">
        <f>X118</f>
        <v>0</v>
      </c>
      <c r="X118" s="949">
        <f>X$8</f>
        <v>0</v>
      </c>
      <c r="Y118" s="949">
        <f>X118</f>
        <v>0</v>
      </c>
      <c r="Z118" s="949">
        <f>X118</f>
        <v>0</v>
      </c>
      <c r="AA118" s="167"/>
      <c r="AB118" s="949">
        <f>AB$8</f>
        <v>2026</v>
      </c>
      <c r="AC118" s="949">
        <f>AD118</f>
        <v>0</v>
      </c>
      <c r="AD118" s="949">
        <f>AD$8</f>
        <v>0</v>
      </c>
      <c r="AE118" s="949">
        <f>AD118</f>
        <v>0</v>
      </c>
      <c r="AF118" s="949">
        <f>AD118</f>
        <v>0</v>
      </c>
      <c r="AG118" s="169"/>
      <c r="AH118" s="164">
        <f>AH$8</f>
        <v>2027</v>
      </c>
      <c r="AI118" s="165"/>
      <c r="AJ118" s="164">
        <f>AJ$8</f>
        <v>2028</v>
      </c>
      <c r="AK118" s="165"/>
      <c r="AL118" s="164">
        <f>AL$8</f>
        <v>2029</v>
      </c>
    </row>
    <row r="119" spans="1:45" s="41" customFormat="1" ht="14.25" customHeight="1">
      <c r="B119" s="162"/>
      <c r="C119" s="18"/>
      <c r="D119" s="166" t="s">
        <v>197</v>
      </c>
      <c r="E119" s="166" t="s">
        <v>198</v>
      </c>
      <c r="F119" s="166" t="s">
        <v>199</v>
      </c>
      <c r="G119" s="166" t="s">
        <v>200</v>
      </c>
      <c r="H119" s="166" t="s">
        <v>201</v>
      </c>
      <c r="I119" s="163"/>
      <c r="J119" s="166" t="s">
        <v>197</v>
      </c>
      <c r="K119" s="166" t="s">
        <v>198</v>
      </c>
      <c r="L119" s="166" t="s">
        <v>199</v>
      </c>
      <c r="M119" s="166" t="s">
        <v>200</v>
      </c>
      <c r="N119" s="166" t="s">
        <v>201</v>
      </c>
      <c r="O119" s="163"/>
      <c r="P119" s="166" t="s">
        <v>197</v>
      </c>
      <c r="Q119" s="166" t="s">
        <v>198</v>
      </c>
      <c r="R119" s="166" t="s">
        <v>199</v>
      </c>
      <c r="S119" s="166" t="s">
        <v>200</v>
      </c>
      <c r="T119" s="166" t="s">
        <v>201</v>
      </c>
      <c r="U119" s="163"/>
      <c r="V119" s="166" t="s">
        <v>197</v>
      </c>
      <c r="W119" s="166" t="s">
        <v>198</v>
      </c>
      <c r="X119" s="166" t="s">
        <v>199</v>
      </c>
      <c r="Y119" s="166" t="s">
        <v>200</v>
      </c>
      <c r="Z119" s="166" t="s">
        <v>201</v>
      </c>
      <c r="AA119" s="163"/>
      <c r="AB119" s="166" t="s">
        <v>197</v>
      </c>
      <c r="AC119" s="166" t="s">
        <v>198</v>
      </c>
      <c r="AD119" s="166" t="s">
        <v>199</v>
      </c>
      <c r="AE119" s="166" t="s">
        <v>200</v>
      </c>
      <c r="AF119" s="166" t="s">
        <v>201</v>
      </c>
      <c r="AG119" s="163"/>
      <c r="AH119" s="166" t="s">
        <v>201</v>
      </c>
      <c r="AI119" s="163"/>
      <c r="AJ119" s="166" t="s">
        <v>201</v>
      </c>
      <c r="AK119" s="163"/>
      <c r="AL119" s="166" t="s">
        <v>201</v>
      </c>
    </row>
    <row r="120" spans="1:45" s="41" customFormat="1" ht="3.95" customHeight="1">
      <c r="B120" s="174"/>
      <c r="C120" s="35"/>
      <c r="D120" s="175"/>
      <c r="E120" s="175"/>
      <c r="F120" s="175"/>
      <c r="G120" s="175"/>
      <c r="H120" s="175"/>
      <c r="I120" s="176"/>
      <c r="J120" s="175"/>
      <c r="K120" s="175"/>
      <c r="L120" s="175"/>
      <c r="M120" s="175"/>
      <c r="N120" s="175"/>
      <c r="O120" s="176"/>
      <c r="P120" s="175"/>
      <c r="Q120" s="175"/>
      <c r="R120" s="175"/>
      <c r="S120" s="175"/>
      <c r="T120" s="175"/>
      <c r="U120" s="176"/>
      <c r="V120" s="175"/>
      <c r="W120" s="175"/>
      <c r="X120" s="175"/>
      <c r="Y120" s="175"/>
      <c r="Z120" s="177"/>
      <c r="AA120" s="178"/>
      <c r="AB120" s="177"/>
      <c r="AC120" s="177"/>
      <c r="AD120" s="177"/>
      <c r="AE120" s="177"/>
      <c r="AF120" s="177"/>
      <c r="AG120" s="178"/>
      <c r="AH120" s="177"/>
      <c r="AI120" s="178"/>
      <c r="AJ120" s="177"/>
      <c r="AK120" s="178"/>
      <c r="AL120" s="177"/>
    </row>
    <row r="121" spans="1:45" ht="3.95" customHeight="1">
      <c r="U121" s="203"/>
    </row>
    <row r="122" spans="1:45" ht="14.25" customHeight="1">
      <c r="B122" s="28" t="s">
        <v>464</v>
      </c>
      <c r="D122" s="298">
        <f>D61</f>
        <v>17288</v>
      </c>
      <c r="E122" s="298">
        <f>E61</f>
        <v>21112</v>
      </c>
      <c r="F122" s="298">
        <f>F61</f>
        <v>20961</v>
      </c>
      <c r="G122" s="298">
        <f>G61</f>
        <v>25367</v>
      </c>
      <c r="H122" s="309">
        <f>H61</f>
        <v>84728</v>
      </c>
      <c r="J122" s="298">
        <f>J61</f>
        <v>36065</v>
      </c>
      <c r="K122" s="298">
        <f>K61</f>
        <v>19959</v>
      </c>
      <c r="L122" s="298">
        <f>L61</f>
        <v>18675</v>
      </c>
      <c r="M122" s="298">
        <f>M61</f>
        <v>-10710</v>
      </c>
      <c r="N122" s="309">
        <f>N61</f>
        <v>63989</v>
      </c>
      <c r="P122" s="298">
        <f>P61</f>
        <v>16906</v>
      </c>
      <c r="Q122" s="298">
        <f>Q61</f>
        <v>19586</v>
      </c>
      <c r="R122" s="298">
        <f>R61</f>
        <v>19162</v>
      </c>
      <c r="S122" s="298">
        <f>S61</f>
        <v>37759</v>
      </c>
      <c r="T122" s="309">
        <f>T61</f>
        <v>93413</v>
      </c>
      <c r="U122" s="203"/>
      <c r="V122" s="298">
        <f>V61</f>
        <v>18699</v>
      </c>
      <c r="W122" s="298">
        <f>W61</f>
        <v>21706</v>
      </c>
      <c r="X122" s="298">
        <f>X61</f>
        <v>27354.45586280986</v>
      </c>
      <c r="Y122" s="298">
        <f>Y61</f>
        <v>38788.138251032062</v>
      </c>
      <c r="Z122" s="309">
        <f>Z61</f>
        <v>106547.59411384191</v>
      </c>
      <c r="AB122" s="298">
        <f>AB61</f>
        <v>28297.472443699975</v>
      </c>
      <c r="AC122" s="298">
        <f>AC61</f>
        <v>28298.491233846151</v>
      </c>
      <c r="AD122" s="298">
        <f>AD61</f>
        <v>28299.509514597259</v>
      </c>
      <c r="AE122" s="298">
        <f>AE61</f>
        <v>28300.527286207995</v>
      </c>
      <c r="AF122" s="309">
        <f>AF61</f>
        <v>113196.00047835137</v>
      </c>
      <c r="AH122" s="309">
        <f>AH61</f>
        <v>147035.95729994887</v>
      </c>
      <c r="AJ122" s="309">
        <f>AJ61</f>
        <v>155870.62539119564</v>
      </c>
      <c r="AL122" s="309">
        <f>AL61</f>
        <v>169854.2992512077</v>
      </c>
    </row>
    <row r="123" spans="1:45" ht="14.25" customHeight="1">
      <c r="B123" s="28"/>
      <c r="D123" s="46"/>
      <c r="E123" s="46"/>
      <c r="F123" s="46"/>
      <c r="G123" s="46"/>
      <c r="H123" s="310"/>
      <c r="J123" s="46"/>
      <c r="K123" s="46"/>
      <c r="L123" s="46"/>
      <c r="M123" s="46"/>
      <c r="N123" s="310"/>
      <c r="P123" s="46"/>
      <c r="Q123" s="46"/>
      <c r="R123" s="46"/>
      <c r="S123" s="46"/>
      <c r="T123" s="310"/>
      <c r="U123" s="203"/>
      <c r="V123" s="46"/>
      <c r="W123" s="46"/>
      <c r="X123" s="46"/>
      <c r="Y123" s="46"/>
      <c r="AB123" s="46"/>
      <c r="AC123" s="46"/>
      <c r="AD123" s="46"/>
      <c r="AE123" s="46"/>
      <c r="AF123" s="797"/>
      <c r="AG123" s="484"/>
      <c r="AH123" s="797"/>
      <c r="AI123" s="484"/>
      <c r="AJ123" s="797"/>
      <c r="AK123" s="797"/>
      <c r="AL123" s="797"/>
      <c r="AS123" s="310"/>
    </row>
    <row r="124" spans="1:45" ht="14.25" customHeight="1">
      <c r="B124" s="28" t="s">
        <v>431</v>
      </c>
      <c r="D124" s="307">
        <f>IS!P45/IS!P42</f>
        <v>-0.46440306681270538</v>
      </c>
      <c r="E124" s="307">
        <f>IS!Q45/IS!Q42</f>
        <v>-0.32732026143790849</v>
      </c>
      <c r="F124" s="307">
        <f>IS!R45/IS!R42</f>
        <v>0.22309003124112467</v>
      </c>
      <c r="G124" s="307">
        <f>IS!S45/IS!S42</f>
        <v>-0.15532103439941997</v>
      </c>
      <c r="H124" s="308">
        <f>IS!T45/IS!T42</f>
        <v>-0.50465018852115628</v>
      </c>
      <c r="J124" s="307">
        <f>IS!V45/IS!V42</f>
        <v>0.32547699214365883</v>
      </c>
      <c r="K124" s="307">
        <f>IS!W45/IS!W42</f>
        <v>-0.35169773635153129</v>
      </c>
      <c r="L124" s="307">
        <f>IS!X45/IS!X42</f>
        <v>-1.8010540184453228</v>
      </c>
      <c r="M124" s="307">
        <f>IS!Y45/IS!Y42</f>
        <v>-4.288167975760851E-2</v>
      </c>
      <c r="N124" s="308">
        <f>IS!Z45/IS!Z42</f>
        <v>-0.18858623645857689</v>
      </c>
      <c r="P124" s="307">
        <f>IS!AB45/IS!AB42</f>
        <v>-0.2125740318906606</v>
      </c>
      <c r="Q124" s="307">
        <f>IS!AC45/IS!AC42</f>
        <v>-0.20807261831321053</v>
      </c>
      <c r="R124" s="307">
        <f>IS!AD45/IS!AD42</f>
        <v>-0.15492102065613608</v>
      </c>
      <c r="S124" s="307">
        <f>IS!AE45/IS!AE42</f>
        <v>-1.433083511777302</v>
      </c>
      <c r="T124" s="308">
        <f>IS!AF45/IS!AF42</f>
        <v>-0.2519139140210932</v>
      </c>
      <c r="U124" s="203"/>
      <c r="V124" s="307">
        <f>IS!AH45/IS!AH42</f>
        <v>-9.2430310480193512E-2</v>
      </c>
      <c r="W124" s="307">
        <f>IS!AI45/IS!AI42</f>
        <v>-8.5290303990779429E-2</v>
      </c>
      <c r="X124" s="314">
        <v>-0.08</v>
      </c>
      <c r="Y124" s="314">
        <v>-0.08</v>
      </c>
      <c r="Z124" s="316">
        <f>AVERAGE(V124:Y124)</f>
        <v>-8.4430153617743239E-2</v>
      </c>
      <c r="AB124" s="314">
        <v>-7.0000000000000007E-2</v>
      </c>
      <c r="AC124" s="314">
        <v>-7.0000000000000007E-2</v>
      </c>
      <c r="AD124" s="314">
        <v>-7.0000000000000007E-2</v>
      </c>
      <c r="AE124" s="314">
        <v>-7.0000000000000007E-2</v>
      </c>
      <c r="AF124" s="316">
        <v>-7.0000000000000007E-2</v>
      </c>
      <c r="AH124" s="314">
        <v>-0.05</v>
      </c>
      <c r="AJ124" s="314">
        <v>-0.04</v>
      </c>
      <c r="AL124" s="314">
        <v>-0.03</v>
      </c>
    </row>
    <row r="125" spans="1:45" ht="14.25" customHeight="1">
      <c r="B125" s="28"/>
      <c r="D125" s="46"/>
      <c r="E125" s="46"/>
      <c r="F125" s="46"/>
      <c r="G125" s="46"/>
      <c r="H125" s="310"/>
      <c r="J125" s="46"/>
      <c r="K125" s="46"/>
      <c r="L125" s="46"/>
      <c r="M125" s="46"/>
      <c r="N125" s="310"/>
      <c r="P125" s="46"/>
      <c r="Q125" s="46"/>
      <c r="R125" s="46"/>
      <c r="S125" s="46"/>
      <c r="T125" s="310"/>
      <c r="U125" s="203"/>
      <c r="V125" s="46"/>
      <c r="W125" s="852"/>
      <c r="X125" s="46"/>
      <c r="Y125" s="46"/>
      <c r="AB125" s="46"/>
      <c r="AC125" s="46"/>
      <c r="AD125" s="46"/>
      <c r="AE125" s="46"/>
    </row>
    <row r="126" spans="1:45" ht="14.25" customHeight="1">
      <c r="B126" s="28" t="s">
        <v>523</v>
      </c>
      <c r="D126" s="46">
        <f>D122*(1-D124)</f>
        <v>25316.600219058051</v>
      </c>
      <c r="E126" s="46">
        <f t="shared" ref="E126:H126" si="78">E122*(1-E124)</f>
        <v>28022.385359477124</v>
      </c>
      <c r="F126" s="46">
        <f t="shared" si="78"/>
        <v>16284.809855154785</v>
      </c>
      <c r="G126" s="46">
        <f t="shared" si="78"/>
        <v>29307.028679610088</v>
      </c>
      <c r="H126" s="311">
        <f t="shared" si="78"/>
        <v>127486.00117302053</v>
      </c>
      <c r="J126" s="46">
        <f>J122*(1-J124)</f>
        <v>24326.672278338941</v>
      </c>
      <c r="K126" s="46">
        <f t="shared" ref="K126:N126" si="79">K122*(1-K124)</f>
        <v>26978.535119840213</v>
      </c>
      <c r="L126" s="46">
        <f t="shared" si="79"/>
        <v>52309.6837944664</v>
      </c>
      <c r="M126" s="46">
        <f t="shared" si="79"/>
        <v>-11169.262790203988</v>
      </c>
      <c r="N126" s="311">
        <f t="shared" si="79"/>
        <v>76056.444684747868</v>
      </c>
      <c r="P126" s="46">
        <f>P122*(1-P124)</f>
        <v>20499.776583143506</v>
      </c>
      <c r="Q126" s="46">
        <f t="shared" ref="Q126:T126" si="80">Q122*(1-Q124)</f>
        <v>23661.310302282538</v>
      </c>
      <c r="R126" s="46">
        <f t="shared" si="80"/>
        <v>22130.596597812877</v>
      </c>
      <c r="S126" s="46">
        <f t="shared" si="80"/>
        <v>91870.80032119916</v>
      </c>
      <c r="T126" s="311">
        <f t="shared" si="80"/>
        <v>116945.03445045237</v>
      </c>
      <c r="U126" s="203"/>
      <c r="V126" s="46">
        <f>V122*(1-V124)</f>
        <v>20427.35437566914</v>
      </c>
      <c r="W126" s="46">
        <f t="shared" ref="W126" si="81">W122*(1-W124)</f>
        <v>23557.31133842386</v>
      </c>
      <c r="X126" s="46">
        <f>X122*(1-X124)</f>
        <v>29542.812331834652</v>
      </c>
      <c r="Y126" s="46">
        <f>Y122*(1-Y124)</f>
        <v>41891.189311114627</v>
      </c>
      <c r="Z126" s="311">
        <f>SUM(V126:Y126)</f>
        <v>115418.66735704229</v>
      </c>
      <c r="AB126" s="46">
        <f t="shared" ref="AB126:AE126" si="82">AB122*(1-AB124)</f>
        <v>30278.295514758975</v>
      </c>
      <c r="AC126" s="46">
        <f t="shared" si="82"/>
        <v>30279.385620215384</v>
      </c>
      <c r="AD126" s="46">
        <f t="shared" si="82"/>
        <v>30280.475180619069</v>
      </c>
      <c r="AE126" s="46">
        <f t="shared" si="82"/>
        <v>30281.564196242554</v>
      </c>
      <c r="AF126" s="311">
        <f>SUM(AB126:AE126)</f>
        <v>121119.72051183599</v>
      </c>
      <c r="AH126" s="311">
        <f>AH122*(1-AH124)</f>
        <v>154387.75516494631</v>
      </c>
      <c r="AJ126" s="311">
        <f>AJ122*(1-AJ124)</f>
        <v>162105.45040684348</v>
      </c>
      <c r="AL126" s="311">
        <f>AL122*(1-AL124)</f>
        <v>174949.92822874393</v>
      </c>
    </row>
    <row r="127" spans="1:45" ht="14.25" customHeight="1">
      <c r="D127" s="46"/>
      <c r="E127" s="46"/>
      <c r="F127" s="46"/>
      <c r="G127" s="46"/>
      <c r="H127" s="310"/>
      <c r="J127" s="46"/>
      <c r="K127" s="46"/>
      <c r="L127" s="46"/>
      <c r="M127" s="46"/>
      <c r="N127" s="310"/>
      <c r="P127" s="46"/>
      <c r="Q127" s="46"/>
      <c r="R127" s="46"/>
      <c r="S127" s="46"/>
      <c r="T127" s="310"/>
      <c r="U127" s="203"/>
      <c r="V127" s="46"/>
      <c r="W127" s="46"/>
      <c r="X127" s="46"/>
      <c r="Y127" s="46"/>
      <c r="Z127" s="310"/>
      <c r="AB127" s="46"/>
      <c r="AC127" s="46"/>
      <c r="AD127" s="46"/>
      <c r="AE127" s="46"/>
      <c r="AF127" s="310"/>
      <c r="AH127" s="310"/>
      <c r="AJ127" s="310"/>
      <c r="AL127" s="310"/>
    </row>
    <row r="128" spans="1:45" ht="14.25" customHeight="1">
      <c r="B128" s="28" t="s">
        <v>457</v>
      </c>
      <c r="D128" s="298">
        <f>D94</f>
        <v>173</v>
      </c>
      <c r="E128" s="298">
        <f>E94</f>
        <v>194</v>
      </c>
      <c r="F128" s="298">
        <f>F94</f>
        <v>243</v>
      </c>
      <c r="G128" s="298">
        <f>G94</f>
        <v>305</v>
      </c>
      <c r="H128" s="309">
        <f>H94</f>
        <v>915</v>
      </c>
      <c r="J128" s="298">
        <f>J94</f>
        <v>480</v>
      </c>
      <c r="K128" s="298">
        <f>K94</f>
        <v>562</v>
      </c>
      <c r="L128" s="298">
        <f>L94</f>
        <v>476</v>
      </c>
      <c r="M128" s="298">
        <f>M94</f>
        <v>459</v>
      </c>
      <c r="N128" s="309">
        <f>N94</f>
        <v>1977</v>
      </c>
      <c r="P128" s="298">
        <f>P94</f>
        <v>1055</v>
      </c>
      <c r="Q128" s="298">
        <f>Q94</f>
        <v>1119</v>
      </c>
      <c r="R128" s="298">
        <f>R94</f>
        <v>1189</v>
      </c>
      <c r="S128" s="298">
        <f>S94</f>
        <v>1181</v>
      </c>
      <c r="T128" s="309">
        <f>T94</f>
        <v>4544</v>
      </c>
      <c r="U128" s="203"/>
      <c r="V128" s="298">
        <f>V94</f>
        <v>1621</v>
      </c>
      <c r="W128" s="298">
        <f>W94</f>
        <v>1818</v>
      </c>
      <c r="X128" s="298">
        <f>X94</f>
        <v>1722.8441371901436</v>
      </c>
      <c r="Y128" s="298">
        <f>Y94</f>
        <v>1756.5617489679369</v>
      </c>
      <c r="Z128" s="309">
        <f>Z94</f>
        <v>6918.4058861580806</v>
      </c>
      <c r="AB128" s="298">
        <f>AB94</f>
        <v>2042.889855763593</v>
      </c>
      <c r="AC128" s="298">
        <f>AC94</f>
        <v>2041.8710656174126</v>
      </c>
      <c r="AD128" s="298">
        <f>AD94</f>
        <v>2040.852784866305</v>
      </c>
      <c r="AE128" s="298">
        <f>AE94</f>
        <v>2039.8350132555731</v>
      </c>
      <c r="AF128" s="309">
        <f>AF94</f>
        <v>8165.4487195028842</v>
      </c>
      <c r="AH128" s="309">
        <f>AH94</f>
        <v>10273.292744625849</v>
      </c>
      <c r="AJ128" s="309">
        <f>AJ94</f>
        <v>10247.594917719338</v>
      </c>
      <c r="AL128" s="309">
        <f>AL94</f>
        <v>10221.972191515864</v>
      </c>
    </row>
    <row r="129" spans="1:38" ht="14.25" customHeight="1">
      <c r="D129" s="46"/>
      <c r="E129" s="46"/>
      <c r="F129" s="46"/>
      <c r="G129" s="46"/>
      <c r="H129" s="310"/>
      <c r="J129" s="46"/>
      <c r="K129" s="46"/>
      <c r="L129" s="46"/>
      <c r="M129" s="46"/>
      <c r="N129" s="310"/>
      <c r="P129" s="46"/>
      <c r="Q129" s="46"/>
      <c r="R129" s="46"/>
      <c r="S129" s="46"/>
      <c r="T129" s="310"/>
      <c r="U129" s="203"/>
      <c r="V129" s="46"/>
      <c r="W129" s="46"/>
      <c r="X129" s="46"/>
      <c r="Y129" s="46"/>
      <c r="Z129" s="782"/>
      <c r="AA129" s="785"/>
      <c r="AB129" s="831"/>
      <c r="AC129" s="831"/>
      <c r="AD129" s="831"/>
      <c r="AE129" s="831"/>
      <c r="AF129" s="782"/>
      <c r="AG129" s="832"/>
      <c r="AH129" s="782"/>
      <c r="AI129" s="832"/>
      <c r="AJ129" s="782"/>
      <c r="AK129" s="833"/>
      <c r="AL129" s="782"/>
    </row>
    <row r="130" spans="1:38" ht="14.25" customHeight="1">
      <c r="B130" s="28" t="s">
        <v>524</v>
      </c>
      <c r="D130" s="298">
        <f>D97</f>
        <v>0</v>
      </c>
      <c r="E130" s="298">
        <f>E97</f>
        <v>0</v>
      </c>
      <c r="F130" s="298">
        <f>F97</f>
        <v>0</v>
      </c>
      <c r="G130" s="298">
        <f>G97</f>
        <v>0</v>
      </c>
      <c r="H130" s="309">
        <f>H97</f>
        <v>0</v>
      </c>
      <c r="J130" s="298">
        <f>J97</f>
        <v>0</v>
      </c>
      <c r="K130" s="298">
        <f>K97</f>
        <v>0</v>
      </c>
      <c r="L130" s="298">
        <f>L97</f>
        <v>375</v>
      </c>
      <c r="M130" s="298">
        <f>M97</f>
        <v>353</v>
      </c>
      <c r="N130" s="309">
        <f>N97</f>
        <v>728</v>
      </c>
      <c r="P130" s="298">
        <f>P97</f>
        <v>1832</v>
      </c>
      <c r="Q130" s="298">
        <f>Q97</f>
        <v>-2644</v>
      </c>
      <c r="R130" s="298">
        <f>R97</f>
        <v>0</v>
      </c>
      <c r="S130" s="298">
        <f>S97</f>
        <v>0</v>
      </c>
      <c r="T130" s="309">
        <f>T97</f>
        <v>-812</v>
      </c>
      <c r="U130" s="203"/>
      <c r="V130" s="298">
        <f>V97</f>
        <v>132</v>
      </c>
      <c r="W130" s="298">
        <f>W97</f>
        <v>-135</v>
      </c>
      <c r="X130" s="298">
        <f>X97</f>
        <v>116.3092</v>
      </c>
      <c r="Y130" s="298">
        <f>Y97</f>
        <v>162.1788</v>
      </c>
      <c r="Z130" s="309">
        <f>Z97</f>
        <v>275.488</v>
      </c>
      <c r="AB130" s="298">
        <f>AB97</f>
        <v>151.70181149731783</v>
      </c>
      <c r="AC130" s="298">
        <f>AC97</f>
        <v>151.70181149731783</v>
      </c>
      <c r="AD130" s="298">
        <f>AD97</f>
        <v>151.70181149731783</v>
      </c>
      <c r="AE130" s="298">
        <f>AE97</f>
        <v>151.70181149731783</v>
      </c>
      <c r="AF130" s="309">
        <f>AF97</f>
        <v>606.80724598927134</v>
      </c>
      <c r="AH130" s="309">
        <f>AH97</f>
        <v>699.15222242033224</v>
      </c>
      <c r="AJ130" s="309">
        <f>AJ97</f>
        <v>738.30320137295564</v>
      </c>
      <c r="AL130" s="309">
        <f>AL97</f>
        <v>800.33898418988281</v>
      </c>
    </row>
    <row r="131" spans="1:38" ht="14.25" customHeight="1">
      <c r="D131" s="46"/>
      <c r="E131" s="46"/>
      <c r="F131" s="46"/>
      <c r="G131" s="46"/>
      <c r="H131" s="310"/>
      <c r="J131" s="46"/>
      <c r="K131" s="46"/>
      <c r="L131" s="46"/>
      <c r="M131" s="46"/>
      <c r="N131" s="310"/>
      <c r="P131" s="46"/>
      <c r="Q131" s="46"/>
      <c r="R131" s="46"/>
      <c r="S131" s="46"/>
      <c r="T131" s="310"/>
      <c r="U131" s="203"/>
      <c r="V131" s="46"/>
      <c r="W131" s="46"/>
      <c r="X131" s="46"/>
      <c r="Y131" s="46"/>
      <c r="AB131" s="46"/>
      <c r="AC131" s="46"/>
      <c r="AD131" s="46"/>
      <c r="AE131" s="46"/>
    </row>
    <row r="132" spans="1:38" ht="14.25" customHeight="1">
      <c r="B132" s="28" t="s">
        <v>514</v>
      </c>
      <c r="D132" s="298">
        <f>D103</f>
        <v>0</v>
      </c>
      <c r="E132" s="298">
        <f>E103</f>
        <v>29884</v>
      </c>
      <c r="F132" s="298">
        <f>F103</f>
        <v>76198</v>
      </c>
      <c r="G132" s="298">
        <f>G103</f>
        <v>106698</v>
      </c>
      <c r="H132" s="309">
        <f>H103</f>
        <v>212780</v>
      </c>
      <c r="J132" s="298">
        <f>J103</f>
        <v>-10870</v>
      </c>
      <c r="K132" s="298">
        <f>K103</f>
        <v>6900</v>
      </c>
      <c r="L132" s="298">
        <f>L103</f>
        <v>69635</v>
      </c>
      <c r="M132" s="298">
        <f>M103</f>
        <v>-206051</v>
      </c>
      <c r="N132" s="309">
        <f>N103</f>
        <v>-140386</v>
      </c>
      <c r="P132" s="298">
        <f>P103</f>
        <v>-32437</v>
      </c>
      <c r="Q132" s="298">
        <f>Q103</f>
        <v>37</v>
      </c>
      <c r="R132" s="298">
        <f>R103</f>
        <v>94233</v>
      </c>
      <c r="S132" s="298">
        <f>S103</f>
        <v>-7384</v>
      </c>
      <c r="T132" s="309">
        <f>T103</f>
        <v>54449</v>
      </c>
      <c r="U132" s="203"/>
      <c r="V132" s="298">
        <f>V103</f>
        <v>-19519</v>
      </c>
      <c r="W132" s="298">
        <f>W103</f>
        <v>-80915</v>
      </c>
      <c r="X132" s="298">
        <f>X103</f>
        <v>10611.111497584614</v>
      </c>
      <c r="Y132" s="298">
        <f>Y103</f>
        <v>14492.900096618221</v>
      </c>
      <c r="Z132" s="309">
        <f>Z103</f>
        <v>-75329.988405797165</v>
      </c>
      <c r="AB132" s="298">
        <f>AB103</f>
        <v>19005.121018705075</v>
      </c>
      <c r="AC132" s="298">
        <f>AC103</f>
        <v>833.52643679850735</v>
      </c>
      <c r="AD132" s="298">
        <f>AD103</f>
        <v>815.40629686799366</v>
      </c>
      <c r="AE132" s="298">
        <f>AE103</f>
        <v>11293.357078133617</v>
      </c>
      <c r="AF132" s="309">
        <f>AF103</f>
        <v>31947.410830505192</v>
      </c>
      <c r="AH132" s="309">
        <f>AH103</f>
        <v>-52584.623298338789</v>
      </c>
      <c r="AJ132" s="309">
        <f>AJ103</f>
        <v>14519.113373356231</v>
      </c>
      <c r="AL132" s="309">
        <f>AL103</f>
        <v>-11948.364563880023</v>
      </c>
    </row>
    <row r="133" spans="1:38" ht="14.25" customHeight="1">
      <c r="D133" s="46"/>
      <c r="E133" s="46"/>
      <c r="F133" s="46"/>
      <c r="G133" s="46"/>
      <c r="H133" s="310"/>
      <c r="J133" s="46"/>
      <c r="K133" s="46"/>
      <c r="L133" s="46"/>
      <c r="M133" s="46"/>
      <c r="N133" s="310"/>
      <c r="P133" s="46"/>
      <c r="Q133" s="46"/>
      <c r="R133" s="46"/>
      <c r="S133" s="46"/>
      <c r="T133" s="310"/>
      <c r="U133" s="203"/>
      <c r="V133" s="46"/>
      <c r="W133" s="46"/>
      <c r="X133" s="46"/>
      <c r="Y133" s="46"/>
      <c r="AB133" s="46"/>
      <c r="AC133" s="46"/>
      <c r="AD133" s="46"/>
      <c r="AE133" s="46"/>
    </row>
    <row r="134" spans="1:38" ht="14.25" customHeight="1">
      <c r="B134" s="28" t="s">
        <v>525</v>
      </c>
      <c r="D134" s="46">
        <f>D106+D109</f>
        <v>-63.726999999999997</v>
      </c>
      <c r="E134" s="46">
        <f>E106+E109</f>
        <v>-56.268999999999998</v>
      </c>
      <c r="F134" s="46">
        <f>F106+F109</f>
        <v>-270.74099999999999</v>
      </c>
      <c r="G134" s="46">
        <f>G106+G109</f>
        <v>-213.108</v>
      </c>
      <c r="H134" s="66">
        <f>H106+H109</f>
        <v>-603.84500000000003</v>
      </c>
      <c r="J134" s="46">
        <f>J106+J109</f>
        <v>-27.850999999999999</v>
      </c>
      <c r="K134" s="46">
        <f>K106+K109</f>
        <v>-42.243000000000002</v>
      </c>
      <c r="L134" s="46">
        <f>L106+L109</f>
        <v>-63.719000000000001</v>
      </c>
      <c r="M134" s="46">
        <f>M106+M109</f>
        <v>124</v>
      </c>
      <c r="N134" s="66">
        <f>N106+N109</f>
        <v>-9.8129999999999882</v>
      </c>
      <c r="P134" s="46">
        <f>P106+P109</f>
        <v>-26.808</v>
      </c>
      <c r="Q134" s="46">
        <f>Q106+Q109</f>
        <v>-6.6139999999999999</v>
      </c>
      <c r="R134" s="46">
        <f>R106+R109</f>
        <v>-50.868000000000002</v>
      </c>
      <c r="S134" s="46">
        <f>S106+S109</f>
        <v>17.5</v>
      </c>
      <c r="T134" s="66">
        <f>T106+T109</f>
        <v>-66.789999999999992</v>
      </c>
      <c r="U134" s="203"/>
      <c r="V134" s="46">
        <f>V106+V109</f>
        <v>-28.51</v>
      </c>
      <c r="W134" s="46">
        <f>W106+W109</f>
        <v>-18.294</v>
      </c>
      <c r="X134" s="46">
        <f>X106+X109</f>
        <v>-36.498697669055183</v>
      </c>
      <c r="Y134" s="46">
        <f>Y106+Y109</f>
        <v>-50.892921536130984</v>
      </c>
      <c r="Z134" s="66">
        <f>Z106+Z109</f>
        <v>-134.19561920518618</v>
      </c>
      <c r="AB134" s="46">
        <f>AB106+AB109</f>
        <v>-75.850905748658917</v>
      </c>
      <c r="AC134" s="46">
        <f>AC106+AC109</f>
        <v>-75.850905748658917</v>
      </c>
      <c r="AD134" s="46">
        <f>AD106+AD109</f>
        <v>-75.850905748658917</v>
      </c>
      <c r="AE134" s="46">
        <f>AE106+AE109</f>
        <v>-75.850905748658917</v>
      </c>
      <c r="AF134" s="66">
        <f>AF106+AF109</f>
        <v>-303.40362299463567</v>
      </c>
      <c r="AH134" s="66">
        <f>AH106+AH109</f>
        <v>-1048.7283336304984</v>
      </c>
      <c r="AJ134" s="66">
        <f>AJ106+AJ109</f>
        <v>-1107.4548020594334</v>
      </c>
      <c r="AL134" s="66">
        <f>AL106+AL109</f>
        <v>-1200.5084762848239</v>
      </c>
    </row>
    <row r="135" spans="1:38" ht="14.25" customHeight="1">
      <c r="D135" s="312"/>
      <c r="E135" s="312"/>
      <c r="F135" s="312"/>
      <c r="G135" s="312"/>
      <c r="H135" s="310"/>
      <c r="J135" s="312"/>
      <c r="K135" s="312"/>
      <c r="L135" s="312"/>
      <c r="M135" s="312"/>
      <c r="N135" s="310"/>
      <c r="P135" s="312"/>
      <c r="Q135" s="312"/>
      <c r="R135" s="312"/>
      <c r="S135" s="312"/>
      <c r="T135" s="310"/>
      <c r="U135" s="335"/>
      <c r="V135" s="312"/>
      <c r="W135" s="312"/>
      <c r="X135" s="288"/>
      <c r="Y135" s="288"/>
      <c r="AB135" s="288"/>
      <c r="AC135" s="288"/>
      <c r="AD135" s="288"/>
      <c r="AE135" s="288"/>
    </row>
    <row r="136" spans="1:38" ht="14.25" customHeight="1">
      <c r="B136" s="290" t="s">
        <v>526</v>
      </c>
      <c r="C136" s="291"/>
      <c r="D136" s="313">
        <f>D126+D94+D97+D103+D134</f>
        <v>25425.873219058052</v>
      </c>
      <c r="E136" s="313">
        <f>E126+E94+E97+E103+E134</f>
        <v>58044.116359477121</v>
      </c>
      <c r="F136" s="313">
        <f>F126+F94+F97+F103+F134</f>
        <v>92455.068855154794</v>
      </c>
      <c r="G136" s="313">
        <f>G126+G94+G97+G103+G134</f>
        <v>136096.92067961008</v>
      </c>
      <c r="H136" s="313">
        <f>H126+H94+H97+H103+H134</f>
        <v>340577.15617302054</v>
      </c>
      <c r="I136" s="291"/>
      <c r="J136" s="313">
        <f>J126+J94+J97+J103+J134</f>
        <v>13908.821278338941</v>
      </c>
      <c r="K136" s="313">
        <f>K126+K94+K97+K103+K134</f>
        <v>34398.292119840211</v>
      </c>
      <c r="L136" s="313">
        <f>L126+L94+L97+L103+L134</f>
        <v>122731.9647944664</v>
      </c>
      <c r="M136" s="313">
        <f>M126+M94+M97+M103+M134</f>
        <v>-216284.262790204</v>
      </c>
      <c r="N136" s="313">
        <f>N126+N94+N97+N103+N134</f>
        <v>-61634.368315252133</v>
      </c>
      <c r="O136" s="291"/>
      <c r="P136" s="313">
        <f>P126+P94+P97+P103+P134</f>
        <v>-9077.0314168564946</v>
      </c>
      <c r="Q136" s="313">
        <f>Q126+Q94+Q97+Q103+Q134</f>
        <v>22166.696302282537</v>
      </c>
      <c r="R136" s="313">
        <f>R126+R94+R97+R103+R134</f>
        <v>117501.72859781288</v>
      </c>
      <c r="S136" s="313">
        <f>S126+S94+S97+S103+S134</f>
        <v>85685.30032119916</v>
      </c>
      <c r="T136" s="313">
        <f>T126+T94+T97+T103+T134</f>
        <v>175059.24445045236</v>
      </c>
      <c r="U136" s="291"/>
      <c r="V136" s="313">
        <f>V126+V94+V97+V103+V134</f>
        <v>2632.8443756691395</v>
      </c>
      <c r="W136" s="313">
        <f>W126+W94+W97+W103+W134</f>
        <v>-55692.982661576141</v>
      </c>
      <c r="X136" s="313">
        <f>X126+X128+X130+X132+X134</f>
        <v>41956.578468940352</v>
      </c>
      <c r="Y136" s="313">
        <f>Y126+Y128+Y130+Y132+Y134</f>
        <v>58251.937035164658</v>
      </c>
      <c r="Z136" s="313">
        <f>Z126+Z128+Z130+Z132+Z134</f>
        <v>47148.377218198017</v>
      </c>
      <c r="AA136" s="313"/>
      <c r="AB136" s="313">
        <f>AB126+AB128+AB130+AB132+AB134</f>
        <v>51402.157294976299</v>
      </c>
      <c r="AC136" s="313">
        <f>AC126+AC128+AC130+AC132+AC134</f>
        <v>33230.634028379958</v>
      </c>
      <c r="AD136" s="313">
        <f>AD126+AD128+AD130+AD132+AD134</f>
        <v>33212.585168102021</v>
      </c>
      <c r="AE136" s="313">
        <f>AE126+AE128+AE130+AE132+AE134</f>
        <v>43690.607193380398</v>
      </c>
      <c r="AF136" s="313">
        <f>AF126+AF128+AF130+AF132+AF134</f>
        <v>161535.98368483869</v>
      </c>
      <c r="AG136" s="313"/>
      <c r="AH136" s="313">
        <f>AH126+AH128+AH130+AH132+AH134</f>
        <v>111726.8485000232</v>
      </c>
      <c r="AI136" s="313"/>
      <c r="AJ136" s="313">
        <f>AJ126+AJ128+AJ130+AJ132+AJ134</f>
        <v>186503.00709723259</v>
      </c>
      <c r="AK136" s="313"/>
      <c r="AL136" s="313">
        <f>AL126+AL128+AL130+AL132+AL134</f>
        <v>172823.36636428483</v>
      </c>
    </row>
    <row r="138" spans="1:38" s="41" customFormat="1" ht="15" customHeight="1">
      <c r="A138" s="30" t="s">
        <v>39</v>
      </c>
      <c r="B138" s="159" t="s">
        <v>527</v>
      </c>
      <c r="C138" s="18"/>
      <c r="D138" s="160"/>
      <c r="E138" s="160"/>
      <c r="F138" s="160"/>
      <c r="G138" s="160"/>
      <c r="H138" s="160"/>
      <c r="I138" s="18"/>
      <c r="J138" s="160"/>
      <c r="K138" s="160"/>
      <c r="L138" s="160"/>
      <c r="M138" s="160"/>
      <c r="N138" s="160"/>
      <c r="O138" s="18"/>
      <c r="P138" s="160"/>
      <c r="Q138" s="160"/>
      <c r="R138" s="160"/>
      <c r="S138" s="160"/>
      <c r="T138" s="160"/>
      <c r="U138" s="18"/>
      <c r="V138" s="160"/>
      <c r="W138" s="160"/>
      <c r="X138" s="160"/>
      <c r="Y138" s="160"/>
      <c r="Z138" s="160"/>
      <c r="AA138" s="18"/>
      <c r="AB138" s="160"/>
      <c r="AC138" s="160"/>
      <c r="AD138" s="160"/>
      <c r="AE138" s="160"/>
      <c r="AF138" s="160"/>
      <c r="AG138" s="18"/>
      <c r="AH138" s="160"/>
      <c r="AI138" s="18"/>
      <c r="AJ138" s="161"/>
      <c r="AK138" s="18"/>
      <c r="AL138" s="161"/>
    </row>
    <row r="139" spans="1:38" s="41" customFormat="1" ht="15" customHeight="1">
      <c r="B139" s="162"/>
      <c r="C139" s="18"/>
      <c r="D139" s="163"/>
      <c r="E139" s="163"/>
      <c r="F139" s="163"/>
      <c r="G139" s="163"/>
      <c r="H139" s="163"/>
      <c r="I139" s="167"/>
      <c r="J139" s="163"/>
      <c r="K139" s="163"/>
      <c r="L139" s="163"/>
      <c r="M139" s="163"/>
      <c r="N139" s="163"/>
      <c r="O139" s="167"/>
      <c r="P139" s="163"/>
      <c r="Q139" s="163"/>
      <c r="R139" s="163"/>
      <c r="S139" s="163"/>
      <c r="T139" s="163"/>
      <c r="U139" s="167"/>
      <c r="V139" s="949">
        <f>V$8</f>
        <v>2025</v>
      </c>
      <c r="W139" s="949">
        <f>X139</f>
        <v>0</v>
      </c>
      <c r="X139" s="949">
        <f>X$8</f>
        <v>0</v>
      </c>
      <c r="Y139" s="949">
        <f>X139</f>
        <v>0</v>
      </c>
      <c r="Z139" s="949">
        <f>X139</f>
        <v>0</v>
      </c>
      <c r="AA139" s="167"/>
      <c r="AB139" s="949">
        <f>AB$8</f>
        <v>2026</v>
      </c>
      <c r="AC139" s="949">
        <f>AD139</f>
        <v>0</v>
      </c>
      <c r="AD139" s="949">
        <f>AD$8</f>
        <v>0</v>
      </c>
      <c r="AE139" s="949">
        <f>AD139</f>
        <v>0</v>
      </c>
      <c r="AF139" s="949">
        <f>AD139</f>
        <v>0</v>
      </c>
      <c r="AG139" s="169"/>
      <c r="AH139" s="164">
        <f>AH$8</f>
        <v>2027</v>
      </c>
      <c r="AI139" s="165"/>
      <c r="AJ139" s="164">
        <f>AJ$8</f>
        <v>2028</v>
      </c>
      <c r="AK139" s="165"/>
      <c r="AL139" s="164">
        <f>AL$8</f>
        <v>2029</v>
      </c>
    </row>
    <row r="140" spans="1:38" s="41" customFormat="1" ht="14.25" customHeight="1">
      <c r="B140" s="162"/>
      <c r="C140" s="18"/>
      <c r="D140" s="166"/>
      <c r="E140" s="166"/>
      <c r="F140" s="166"/>
      <c r="G140" s="166"/>
      <c r="H140" s="166"/>
      <c r="I140" s="163"/>
      <c r="J140" s="166"/>
      <c r="K140" s="166"/>
      <c r="L140" s="166"/>
      <c r="M140" s="166"/>
      <c r="N140" s="166"/>
      <c r="O140" s="163"/>
      <c r="P140" s="166"/>
      <c r="Q140" s="166"/>
      <c r="R140" s="166"/>
      <c r="S140" s="166"/>
      <c r="T140" s="166"/>
      <c r="U140" s="163"/>
      <c r="V140" s="166" t="s">
        <v>197</v>
      </c>
      <c r="W140" s="166" t="s">
        <v>198</v>
      </c>
      <c r="X140" s="166" t="s">
        <v>199</v>
      </c>
      <c r="Y140" s="166" t="s">
        <v>200</v>
      </c>
      <c r="Z140" s="166" t="s">
        <v>201</v>
      </c>
      <c r="AA140" s="163"/>
      <c r="AB140" s="166" t="s">
        <v>197</v>
      </c>
      <c r="AC140" s="166" t="s">
        <v>198</v>
      </c>
      <c r="AD140" s="166" t="s">
        <v>199</v>
      </c>
      <c r="AE140" s="166" t="s">
        <v>200</v>
      </c>
      <c r="AF140" s="166" t="s">
        <v>201</v>
      </c>
      <c r="AG140" s="163"/>
      <c r="AH140" s="166" t="s">
        <v>201</v>
      </c>
      <c r="AI140" s="163"/>
      <c r="AJ140" s="166" t="s">
        <v>201</v>
      </c>
      <c r="AK140" s="163"/>
      <c r="AL140" s="166" t="s">
        <v>201</v>
      </c>
    </row>
    <row r="141" spans="1:38" s="41" customFormat="1" ht="3.95" customHeight="1">
      <c r="A141" s="43"/>
      <c r="B141" s="174"/>
      <c r="C141" s="35"/>
      <c r="D141" s="175"/>
      <c r="E141" s="175"/>
      <c r="F141" s="175"/>
      <c r="G141" s="175"/>
      <c r="H141" s="175"/>
      <c r="I141" s="176"/>
      <c r="J141" s="175"/>
      <c r="K141" s="175"/>
      <c r="L141" s="175"/>
      <c r="M141" s="175"/>
      <c r="N141" s="175"/>
      <c r="O141" s="176"/>
      <c r="P141" s="175"/>
      <c r="Q141" s="175"/>
      <c r="R141" s="175"/>
      <c r="S141" s="175"/>
      <c r="T141" s="175"/>
      <c r="U141" s="176"/>
      <c r="V141" s="175"/>
      <c r="W141" s="175"/>
      <c r="X141" s="175"/>
      <c r="Y141" s="175"/>
      <c r="Z141" s="177"/>
      <c r="AA141" s="178"/>
      <c r="AB141" s="177"/>
      <c r="AC141" s="177"/>
      <c r="AD141" s="177"/>
      <c r="AE141" s="177"/>
      <c r="AF141" s="177"/>
      <c r="AG141" s="178"/>
      <c r="AH141" s="177"/>
      <c r="AI141" s="178"/>
      <c r="AJ141" s="177"/>
      <c r="AK141" s="178"/>
      <c r="AL141" s="177"/>
    </row>
    <row r="142" spans="1:38" ht="3.95" customHeight="1"/>
    <row r="143" spans="1:38" ht="14.25" customHeight="1">
      <c r="B143" s="159" t="s">
        <v>528</v>
      </c>
      <c r="C143" s="184"/>
      <c r="D143" s="284"/>
      <c r="E143" s="284"/>
      <c r="F143" s="284"/>
      <c r="G143" s="284"/>
      <c r="H143" s="284"/>
      <c r="I143" s="184"/>
      <c r="J143" s="284"/>
      <c r="K143" s="284"/>
      <c r="L143" s="284"/>
      <c r="M143" s="284"/>
      <c r="N143" s="284"/>
      <c r="O143" s="184"/>
      <c r="P143" s="284"/>
      <c r="Q143" s="284"/>
      <c r="R143" s="284"/>
      <c r="S143" s="284"/>
      <c r="T143" s="284"/>
      <c r="U143" s="184"/>
      <c r="V143" s="284"/>
      <c r="W143" s="284"/>
      <c r="X143" s="284"/>
      <c r="Y143" s="284"/>
      <c r="Z143" s="284"/>
      <c r="AA143" s="184"/>
      <c r="AB143" s="284"/>
      <c r="AC143" s="284"/>
      <c r="AD143" s="284"/>
      <c r="AE143" s="284"/>
      <c r="AF143" s="284"/>
      <c r="AG143" s="184"/>
      <c r="AH143" s="284"/>
      <c r="AI143" s="184"/>
      <c r="AJ143" s="285"/>
      <c r="AK143" s="284"/>
      <c r="AL143" s="284"/>
    </row>
    <row r="144" spans="1:38" ht="3.95" customHeight="1">
      <c r="B144" s="286"/>
      <c r="C144" s="36"/>
      <c r="D144" s="286"/>
      <c r="E144" s="286"/>
      <c r="F144" s="286"/>
      <c r="G144" s="286"/>
      <c r="H144" s="286"/>
      <c r="I144" s="36"/>
      <c r="J144" s="286"/>
      <c r="K144" s="286"/>
      <c r="L144" s="286"/>
      <c r="M144" s="286"/>
      <c r="N144" s="286"/>
      <c r="O144" s="36"/>
      <c r="P144" s="286"/>
      <c r="Q144" s="286"/>
      <c r="R144" s="286"/>
      <c r="S144" s="286"/>
      <c r="T144" s="286"/>
      <c r="U144" s="36"/>
      <c r="V144" s="286"/>
      <c r="W144" s="286"/>
      <c r="X144" s="286"/>
      <c r="Y144" s="286"/>
      <c r="Z144" s="286"/>
      <c r="AA144" s="36"/>
      <c r="AB144" s="286"/>
      <c r="AC144" s="286"/>
      <c r="AD144" s="286"/>
      <c r="AE144" s="286"/>
      <c r="AF144" s="286"/>
      <c r="AG144" s="36"/>
      <c r="AH144" s="286"/>
      <c r="AI144" s="36"/>
      <c r="AJ144" s="287"/>
      <c r="AK144" s="286"/>
      <c r="AL144" s="286"/>
    </row>
    <row r="146" spans="2:38" ht="14.25" customHeight="1">
      <c r="B146" s="96" t="s">
        <v>529</v>
      </c>
      <c r="V146" s="295"/>
      <c r="W146" s="295"/>
      <c r="X146" s="295">
        <f ca="1">YEARFRAC(TODAY(),Inputs!$D$18+92)</f>
        <v>8.3333333333333329E-2</v>
      </c>
      <c r="Y146" s="295">
        <f ca="1">YEARFRAC(TODAY(),Inputs!$D$18+184)</f>
        <v>0.16944444444444445</v>
      </c>
      <c r="Z146" s="295"/>
      <c r="AB146" s="295">
        <f ca="1">YEARFRAC(TODAY(),Inputs!$D$17+365+90)</f>
        <v>0.47222222222222221</v>
      </c>
      <c r="AC146" s="295">
        <f ca="1">YEARFRAC(TODAY(),Inputs!$D$17+365+90+91)</f>
        <v>0.71944444444444444</v>
      </c>
      <c r="AD146" s="295">
        <f ca="1">YEARFRAC(TODAY(),Inputs!$D$17+365+90+91+92)</f>
        <v>0.96944444444444444</v>
      </c>
      <c r="AE146" s="295">
        <f ca="1">YEARFRAC(TODAY(),Inputs!$D$17+720)</f>
        <v>1.1944444444444444</v>
      </c>
      <c r="AF146" s="867"/>
      <c r="AH146" s="295">
        <f ca="1">YEARFRAC(TODAY(),Inputs!$D$17+730+365)</f>
        <v>2.2222222222222223</v>
      </c>
      <c r="AJ146" s="295">
        <f ca="1">YEARFRAC(TODAY(),Inputs!$D$17+730+731)</f>
        <v>3.2222222222222223</v>
      </c>
      <c r="AL146" s="295">
        <f ca="1">YEARFRAC(TODAY(),Inputs!$D$17+730+731+365)</f>
        <v>4.2222222222222223</v>
      </c>
    </row>
    <row r="147" spans="2:38" ht="14.25" customHeight="1">
      <c r="B147" s="96" t="s">
        <v>530</v>
      </c>
      <c r="X147" s="295">
        <f ca="1">X146/2</f>
        <v>4.1666666666666664E-2</v>
      </c>
      <c r="Y147" s="295">
        <f ca="1">X146+(Y146-X146)/2</f>
        <v>0.12638888888888888</v>
      </c>
      <c r="Z147" s="295"/>
      <c r="AB147" s="295">
        <f ca="1">Y146+(AB146-Y146)/2</f>
        <v>0.3208333333333333</v>
      </c>
      <c r="AC147" s="295">
        <f ca="1">AB146+(AC146-AB146)/2</f>
        <v>0.59583333333333333</v>
      </c>
      <c r="AD147" s="295">
        <f ca="1">AC146+(AD146-AC146)/2</f>
        <v>0.84444444444444444</v>
      </c>
      <c r="AE147" s="295">
        <f ca="1">AD146+(AE146-AD146)/2</f>
        <v>1.0819444444444444</v>
      </c>
      <c r="AF147" s="868"/>
      <c r="AH147" s="295">
        <f ca="1">AE146+(AH146-AE146)/2</f>
        <v>1.7083333333333335</v>
      </c>
      <c r="AJ147" s="295">
        <f ca="1">AH146+(AJ146-AH146)/2</f>
        <v>2.7222222222222223</v>
      </c>
      <c r="AL147" s="295">
        <f ca="1">AJ146+(AL146-AJ146)/2</f>
        <v>3.7222222222222223</v>
      </c>
    </row>
    <row r="149" spans="2:38" ht="14.25" customHeight="1">
      <c r="B149" s="96" t="s">
        <v>531</v>
      </c>
      <c r="V149" s="293"/>
      <c r="W149" s="293"/>
      <c r="X149" s="294">
        <f>WACC!$D$39+Sensitivity!U41</f>
        <v>0.11163883332901117</v>
      </c>
      <c r="Y149" s="294">
        <f>WACC!$D$39+Sensitivity!U41</f>
        <v>0.11163883332901117</v>
      </c>
      <c r="Z149" s="294"/>
      <c r="AB149" s="292">
        <f>WACC!$E$39+Sensitivity!U41</f>
        <v>0.10047494999611006</v>
      </c>
      <c r="AC149" s="292">
        <f>WACC!$E$39+Sensitivity!U41</f>
        <v>0.10047494999611006</v>
      </c>
      <c r="AD149" s="292">
        <f>WACC!$E$39+Sensitivity!U41</f>
        <v>0.10047494999611006</v>
      </c>
      <c r="AE149" s="292">
        <f>WACC!$E$39+Sensitivity!U41</f>
        <v>0.10047494999611006</v>
      </c>
      <c r="AF149" s="866"/>
      <c r="AH149" s="292">
        <f>WACC!$F$39+Sensitivity!U41</f>
        <v>0.10278022277807822</v>
      </c>
      <c r="AJ149" s="292">
        <f>WACC!$G$39+Sensitivity!U41</f>
        <v>0.10514356839855112</v>
      </c>
      <c r="AL149" s="292">
        <f>WACC!$H$39+Sensitivity!U41</f>
        <v>0.10462389839744636</v>
      </c>
    </row>
    <row r="150" spans="2:38" ht="14.25" customHeight="1">
      <c r="B150" s="96" t="s">
        <v>532</v>
      </c>
      <c r="V150" s="293"/>
      <c r="W150" s="293"/>
      <c r="X150" s="798">
        <f ca="1">(1+X149)^X147</f>
        <v>1.0044195438752259</v>
      </c>
      <c r="Y150" s="296">
        <f ca="1">((1+X149)^X147)*((1+Y149)^Y147)</f>
        <v>1.0179453357847839</v>
      </c>
      <c r="Z150" s="296"/>
      <c r="AB150" s="296">
        <f ca="1">((1+X149)^X147)*((1+Y149)^Y147)*((1+AB149)^AB147)</f>
        <v>1.0496989396371366</v>
      </c>
      <c r="AC150" s="296">
        <f ca="1">((1+X149)^X147)*((1+Y149)^Y147)*((1+AB149)^AB147)*((1+AC149)^AC147)</f>
        <v>1.1113212136774104</v>
      </c>
      <c r="AD150" s="296">
        <f ca="1">((1+X149)^X147)*((1+Y149)^Y147)*((1+AB149)^AB147)*((1+AC149)^AC147)*((1+AD149)^AD147)</f>
        <v>1.2049020427482595</v>
      </c>
      <c r="AE150" s="296">
        <f ca="1">((1+X149)^X147)*((1+Y149)^Y147)*((1+AB149)^AB147)*((1+AC149)^AC147)*((1+AD149)^AD147)*((1+AE149)^AE147)</f>
        <v>1.3364083025811537</v>
      </c>
      <c r="AF150" s="868"/>
      <c r="AH150" s="296">
        <f ca="1">((1+X149)^X147)*((1+Y149)^Y147)*((1+AB149)^AB147)*((1+AC149)^AC147)*((1+AD149)^AD147)*((1+AE149)^AE147)*((1+AH149)^AH147)</f>
        <v>1.5795176634976338</v>
      </c>
      <c r="AI150" s="296"/>
      <c r="AJ150" s="296">
        <f ca="1">((1+X149)^X147)*((1+Y149)^Y147)*((1+AB149)^AB147)*((1+AC149)^AC147)*((1+AD149)^AD147)*((1+AE149)^AE147)*((1+AH149)^AH147)*((1+AJ149)^AJ147)</f>
        <v>2.0735754311255037</v>
      </c>
      <c r="AK150" s="296"/>
      <c r="AL150" s="296">
        <f ca="1">((1+X149)^X147)*((1+Y149)^Y147)*((1+AB149)^AB147)*((1+AC149)^AC147)*((1+AD149)^AD147)*((1+AE149)^AE147)*((1+AH149)^AH147)*((1+AJ149)^AJ147)*((1+AL149)^AL147)</f>
        <v>3.0031260994590041</v>
      </c>
    </row>
    <row r="151" spans="2:38" s="103" customFormat="1" ht="14.25" customHeight="1">
      <c r="C151" s="33"/>
      <c r="I151" s="33"/>
      <c r="O151" s="33"/>
      <c r="U151" s="33"/>
      <c r="AA151" s="33"/>
      <c r="AG151" s="33"/>
      <c r="AI151" s="33"/>
    </row>
    <row r="152" spans="2:38" ht="14.25" customHeight="1">
      <c r="B152" s="297" t="s">
        <v>533</v>
      </c>
      <c r="C152" s="291"/>
      <c r="D152" s="289"/>
      <c r="E152" s="289"/>
      <c r="F152" s="289"/>
      <c r="G152" s="289"/>
      <c r="H152" s="289"/>
      <c r="I152" s="291"/>
      <c r="J152" s="289"/>
      <c r="K152" s="289"/>
      <c r="L152" s="289"/>
      <c r="M152" s="289"/>
      <c r="N152" s="289"/>
      <c r="O152" s="291"/>
      <c r="P152" s="289"/>
      <c r="Q152" s="289"/>
      <c r="R152" s="289"/>
      <c r="S152" s="289"/>
      <c r="T152" s="289"/>
      <c r="U152" s="291"/>
      <c r="V152" s="289"/>
      <c r="W152" s="289"/>
      <c r="X152" s="313">
        <f ca="1">X136/X150*(Inputs!$D$17-92-TODAY())/92</f>
        <v>-170720.20656021484</v>
      </c>
      <c r="Y152" s="313">
        <f ca="1">Y136/Y150</f>
        <v>57225.01492701019</v>
      </c>
      <c r="Z152" s="313"/>
      <c r="AA152" s="313"/>
      <c r="AB152" s="313">
        <f ca="1">AB136/AB150</f>
        <v>48968.475963922734</v>
      </c>
      <c r="AC152" s="313">
        <f ca="1">AC136/AC150</f>
        <v>29901.916403105759</v>
      </c>
      <c r="AD152" s="313">
        <f ca="1">AD136/AD150</f>
        <v>27564.552129356074</v>
      </c>
      <c r="AE152" s="313">
        <f ca="1">AE136/AE150</f>
        <v>32692.558935016998</v>
      </c>
      <c r="AF152" s="313"/>
      <c r="AG152" s="313"/>
      <c r="AH152" s="313">
        <f ca="1">AH136/AH150</f>
        <v>70734.788905506008</v>
      </c>
      <c r="AI152" s="313"/>
      <c r="AJ152" s="313">
        <f ca="1">AJ136/AJ150</f>
        <v>89942.71647788657</v>
      </c>
      <c r="AK152" s="313"/>
      <c r="AL152" s="313">
        <f ca="1">AL136/AL150</f>
        <v>57547.822049636197</v>
      </c>
    </row>
    <row r="153" spans="2:38" ht="14.25" customHeight="1">
      <c r="AH153" s="310"/>
    </row>
    <row r="154" spans="2:38" ht="14.25" customHeight="1">
      <c r="B154" s="159" t="s">
        <v>534</v>
      </c>
      <c r="C154" s="184"/>
      <c r="D154" s="284"/>
      <c r="E154" s="284"/>
      <c r="F154" s="284"/>
      <c r="G154" s="284"/>
      <c r="H154" s="284"/>
      <c r="I154" s="184"/>
      <c r="J154" s="284"/>
      <c r="K154" s="284"/>
      <c r="L154" s="284"/>
      <c r="M154" s="284"/>
      <c r="N154" s="284"/>
      <c r="O154" s="184"/>
      <c r="P154" s="284"/>
      <c r="Q154" s="284"/>
      <c r="R154" s="284"/>
      <c r="S154" s="284"/>
      <c r="T154" s="284"/>
      <c r="U154" s="184"/>
      <c r="V154" s="284"/>
      <c r="W154" s="284"/>
      <c r="X154" s="284"/>
      <c r="Y154" s="284"/>
      <c r="Z154" s="284"/>
      <c r="AA154" s="184"/>
      <c r="AB154" s="284"/>
      <c r="AC154" s="284"/>
      <c r="AD154" s="284"/>
      <c r="AE154" s="284"/>
      <c r="AF154" s="284"/>
      <c r="AG154" s="184"/>
      <c r="AH154" s="284"/>
      <c r="AI154" s="184"/>
      <c r="AJ154" s="285"/>
      <c r="AK154" s="284"/>
      <c r="AL154" s="284"/>
    </row>
    <row r="155" spans="2:38" ht="3.95" customHeight="1">
      <c r="B155" s="286"/>
      <c r="C155" s="36"/>
      <c r="D155" s="286"/>
      <c r="E155" s="286"/>
      <c r="F155" s="286"/>
      <c r="G155" s="286"/>
      <c r="H155" s="286"/>
      <c r="I155" s="36"/>
      <c r="J155" s="286"/>
      <c r="K155" s="286"/>
      <c r="L155" s="286"/>
      <c r="M155" s="286"/>
      <c r="N155" s="286"/>
      <c r="O155" s="36"/>
      <c r="P155" s="286"/>
      <c r="Q155" s="286"/>
      <c r="R155" s="286"/>
      <c r="S155" s="286"/>
      <c r="T155" s="286"/>
      <c r="U155" s="36"/>
      <c r="V155" s="286"/>
      <c r="W155" s="286"/>
      <c r="X155" s="286"/>
      <c r="Y155" s="286"/>
      <c r="Z155" s="286"/>
      <c r="AA155" s="36"/>
      <c r="AB155" s="286"/>
      <c r="AC155" s="286"/>
      <c r="AD155" s="286"/>
      <c r="AE155" s="286"/>
      <c r="AF155" s="286"/>
      <c r="AG155" s="36"/>
      <c r="AH155" s="286"/>
      <c r="AI155" s="36"/>
      <c r="AJ155" s="287"/>
      <c r="AK155" s="286"/>
      <c r="AL155" s="286"/>
    </row>
    <row r="156" spans="2:38" ht="14.25" customHeight="1">
      <c r="B156" s="293"/>
      <c r="C156" s="25"/>
      <c r="D156" s="293"/>
      <c r="E156" s="293"/>
      <c r="F156" s="293"/>
      <c r="G156" s="293"/>
      <c r="H156" s="293"/>
      <c r="I156" s="25"/>
      <c r="J156" s="293"/>
      <c r="K156" s="293"/>
      <c r="L156" s="293"/>
      <c r="M156" s="293"/>
      <c r="N156" s="293"/>
      <c r="O156" s="25"/>
      <c r="P156" s="293"/>
      <c r="Q156" s="293"/>
      <c r="R156" s="293"/>
      <c r="S156" s="293"/>
      <c r="T156" s="293"/>
    </row>
    <row r="157" spans="2:38" s="337" customFormat="1" ht="14.25" customHeight="1">
      <c r="B157" s="340"/>
      <c r="C157" s="341"/>
      <c r="D157" s="340"/>
      <c r="E157" s="340"/>
      <c r="F157" s="340"/>
      <c r="G157" s="340"/>
      <c r="H157" s="342"/>
      <c r="I157" s="341"/>
      <c r="J157" s="340"/>
      <c r="K157" s="340"/>
      <c r="L157" s="340"/>
      <c r="M157" s="340"/>
      <c r="N157" s="340"/>
      <c r="O157" s="341"/>
      <c r="P157" s="340"/>
      <c r="Q157" s="601" t="s">
        <v>535</v>
      </c>
      <c r="R157" s="602" t="s">
        <v>536</v>
      </c>
      <c r="S157" s="340"/>
      <c r="T157" s="340"/>
      <c r="U157" s="338"/>
      <c r="V157" s="339" t="s">
        <v>537</v>
      </c>
      <c r="W157" s="339"/>
      <c r="X157" s="339"/>
      <c r="Y157" s="339"/>
      <c r="Z157" s="339"/>
      <c r="AB157" s="339" t="s">
        <v>538</v>
      </c>
      <c r="AC157" s="339"/>
      <c r="AD157" s="339"/>
      <c r="AE157" s="339"/>
      <c r="AF157" s="339"/>
      <c r="AG157" s="338"/>
      <c r="AH157" s="339" t="s">
        <v>539</v>
      </c>
      <c r="AI157" s="339"/>
      <c r="AJ157" s="339"/>
      <c r="AK157" s="339"/>
      <c r="AL157" s="339"/>
    </row>
    <row r="158" spans="2:38" ht="3.95" customHeight="1">
      <c r="B158" s="293"/>
      <c r="C158" s="25"/>
      <c r="D158" s="293"/>
      <c r="E158" s="293"/>
      <c r="F158" s="293"/>
      <c r="G158" s="293"/>
      <c r="H158" s="293"/>
      <c r="I158" s="25"/>
      <c r="J158" s="293"/>
      <c r="K158" s="293"/>
      <c r="L158" s="293"/>
      <c r="M158" s="293"/>
      <c r="N158" s="293"/>
      <c r="O158" s="25"/>
      <c r="P158" s="293"/>
      <c r="Q158" s="293"/>
      <c r="R158" s="293"/>
      <c r="S158" s="293"/>
      <c r="T158" s="293"/>
      <c r="V158" s="286"/>
      <c r="W158" s="286"/>
      <c r="X158" s="286"/>
      <c r="Y158" s="286"/>
      <c r="Z158" s="286"/>
      <c r="AA158" s="96"/>
      <c r="AB158" s="286"/>
      <c r="AC158" s="286"/>
      <c r="AD158" s="286"/>
      <c r="AE158" s="286"/>
      <c r="AF158" s="286"/>
      <c r="AH158" s="286"/>
      <c r="AI158" s="286"/>
      <c r="AJ158" s="286"/>
      <c r="AK158" s="286"/>
      <c r="AL158" s="286"/>
    </row>
    <row r="159" spans="2:38" ht="14.25" customHeight="1">
      <c r="B159" s="293"/>
      <c r="C159" s="25"/>
      <c r="D159" s="293"/>
      <c r="E159" s="293"/>
      <c r="F159" s="293"/>
      <c r="G159" s="293"/>
      <c r="H159" s="293"/>
      <c r="I159" s="25"/>
      <c r="M159" s="293"/>
      <c r="N159" s="293"/>
      <c r="O159" s="25"/>
      <c r="P159" s="293"/>
      <c r="Q159" s="293"/>
      <c r="R159" s="293"/>
      <c r="S159" s="293"/>
      <c r="T159" s="293"/>
      <c r="V159" s="96" t="s">
        <v>540</v>
      </c>
      <c r="Z159" s="354">
        <v>31</v>
      </c>
      <c r="AB159" s="96" t="s">
        <v>541</v>
      </c>
      <c r="AF159" s="354">
        <v>15.6</v>
      </c>
      <c r="AH159" s="96" t="s">
        <v>542</v>
      </c>
      <c r="AL159" s="326">
        <f>+AL136/AJ136-1</f>
        <v>-7.3348097416016111E-2</v>
      </c>
    </row>
    <row r="160" spans="2:38" ht="14.25" customHeight="1">
      <c r="B160" s="293"/>
      <c r="C160" s="25"/>
      <c r="D160" s="293"/>
      <c r="E160" s="293"/>
      <c r="F160" s="293"/>
      <c r="G160" s="293"/>
      <c r="H160" s="293"/>
      <c r="I160" s="25"/>
      <c r="M160" s="293"/>
      <c r="N160" s="293"/>
      <c r="O160" s="25"/>
      <c r="P160" s="293"/>
      <c r="Q160" s="293"/>
      <c r="R160" s="293"/>
      <c r="S160" s="293"/>
      <c r="T160" s="293"/>
      <c r="V160" s="96" t="s">
        <v>543</v>
      </c>
      <c r="Z160" s="343">
        <v>44</v>
      </c>
      <c r="AB160" s="96" t="s">
        <v>544</v>
      </c>
      <c r="AF160" s="343">
        <v>20</v>
      </c>
      <c r="AH160" s="96" t="s">
        <v>545</v>
      </c>
      <c r="AL160" s="314">
        <v>0.03</v>
      </c>
    </row>
    <row r="161" spans="2:40" ht="14.25" customHeight="1">
      <c r="B161" s="293"/>
      <c r="C161" s="25"/>
      <c r="D161" s="293"/>
      <c r="E161" s="293"/>
      <c r="F161" s="293"/>
      <c r="G161" s="293"/>
      <c r="H161" s="293"/>
      <c r="I161" s="25"/>
      <c r="M161" s="293"/>
      <c r="N161" s="293"/>
      <c r="O161" s="25"/>
      <c r="P161" s="293"/>
      <c r="Q161" s="293"/>
      <c r="R161" s="293" t="str">
        <f>R157</f>
        <v>Revenue Exit</v>
      </c>
      <c r="S161" s="293"/>
      <c r="T161" s="293"/>
      <c r="V161" s="96" t="s">
        <v>534</v>
      </c>
      <c r="Z161" s="310">
        <f>(Z160+Sensitivity!U43)*(AL122+AL128)</f>
        <v>7923355.9434798378</v>
      </c>
      <c r="AB161" s="96" t="s">
        <v>534</v>
      </c>
      <c r="AF161" s="310">
        <f>(AF160+Sensitivity!U44)*(AL31)</f>
        <v>8003389.8418988269</v>
      </c>
      <c r="AH161" s="96" t="s">
        <v>534</v>
      </c>
      <c r="AL161" s="310">
        <f>AL136*(1+AL160+Sensitivity!U42)/(AL149-AL160-Sensitivity!U42)</f>
        <v>2385402.949697745</v>
      </c>
      <c r="AN161" s="310">
        <v>8000000</v>
      </c>
    </row>
    <row r="162" spans="2:40" ht="14.25" customHeight="1">
      <c r="B162" s="293"/>
      <c r="C162" s="25"/>
      <c r="D162" s="293"/>
      <c r="E162" s="293"/>
      <c r="F162" s="293"/>
      <c r="G162" s="293"/>
      <c r="H162" s="293"/>
      <c r="I162" s="25"/>
      <c r="M162" s="293"/>
      <c r="N162" s="293"/>
      <c r="O162" s="25"/>
      <c r="P162" s="293"/>
      <c r="Q162" s="293"/>
      <c r="R162" s="603">
        <f ca="1">IF($R$161="Revenue Exit",$AF$171,IF($R$161="EBITDA Exit",$Z$171,$AL$171))</f>
        <v>-0.30525663101683842</v>
      </c>
      <c r="S162" s="293"/>
      <c r="T162" s="293"/>
      <c r="V162" s="344" t="s">
        <v>546</v>
      </c>
      <c r="W162" s="344"/>
      <c r="X162" s="344"/>
      <c r="Y162" s="344"/>
      <c r="Z162" s="345">
        <f ca="1">Z161/AL150</f>
        <v>2638369.3794633481</v>
      </c>
      <c r="AB162" s="344" t="s">
        <v>546</v>
      </c>
      <c r="AC162" s="344"/>
      <c r="AD162" s="344"/>
      <c r="AE162" s="344"/>
      <c r="AF162" s="345">
        <f ca="1">AF161/AL150</f>
        <v>2665019.5752155036</v>
      </c>
      <c r="AH162" s="344" t="s">
        <v>546</v>
      </c>
      <c r="AI162" s="352"/>
      <c r="AJ162" s="353"/>
      <c r="AK162" s="344"/>
      <c r="AL162" s="345">
        <f ca="1">AL161/AL150</f>
        <v>794306.6227313804</v>
      </c>
    </row>
    <row r="163" spans="2:40" ht="14.25" customHeight="1">
      <c r="B163" s="293"/>
      <c r="C163" s="25"/>
      <c r="D163" s="293"/>
      <c r="E163" s="293"/>
      <c r="F163" s="293"/>
      <c r="G163" s="293"/>
      <c r="H163" s="293"/>
      <c r="I163" s="25"/>
      <c r="M163" s="293"/>
      <c r="N163" s="293"/>
      <c r="O163" s="25"/>
      <c r="P163" s="293"/>
      <c r="Q163" s="293"/>
      <c r="R163" s="603">
        <f ca="1">1-R162</f>
        <v>1.3052566310168383</v>
      </c>
      <c r="S163" s="293"/>
      <c r="T163" s="293"/>
      <c r="V163" s="103" t="s">
        <v>547</v>
      </c>
      <c r="W163" s="103"/>
      <c r="X163" s="103"/>
      <c r="Y163" s="103"/>
      <c r="Z163" s="320">
        <f ca="1">Z162+SUM(V152:AL152)</f>
        <v>2882227.0186945735</v>
      </c>
      <c r="AB163" s="103" t="s">
        <v>547</v>
      </c>
      <c r="AC163" s="103"/>
      <c r="AD163" s="103"/>
      <c r="AE163" s="103"/>
      <c r="AF163" s="320">
        <f ca="1">AF162+SUM(V152:AL152)</f>
        <v>2908877.214446729</v>
      </c>
      <c r="AH163" s="103" t="s">
        <v>547</v>
      </c>
      <c r="AI163" s="103"/>
      <c r="AK163" s="103"/>
      <c r="AL163" s="320">
        <f ca="1">AL162+SUM(V152:AL152)</f>
        <v>1038164.2619626061</v>
      </c>
    </row>
    <row r="164" spans="2:40" ht="14.25" customHeight="1">
      <c r="B164" s="293"/>
      <c r="C164" s="25"/>
      <c r="D164" s="293"/>
      <c r="E164" s="293"/>
      <c r="F164" s="293"/>
      <c r="G164" s="293"/>
      <c r="H164" s="293"/>
      <c r="I164" s="25"/>
      <c r="M164" s="293"/>
      <c r="N164" s="293"/>
      <c r="O164" s="25"/>
      <c r="P164" s="293"/>
      <c r="Q164" s="293"/>
      <c r="R164" s="96" t="str">
        <f ca="1">IF(R162&gt;0,"Upside","Downside")</f>
        <v>Downside</v>
      </c>
      <c r="S164" s="293"/>
      <c r="T164" s="293"/>
      <c r="V164" s="96" t="s">
        <v>548</v>
      </c>
      <c r="Z164" s="68">
        <f>BS!AI45+BS!AI44+BS!AI39+BS!AI38-BS!AI15</f>
        <v>1685831</v>
      </c>
      <c r="AB164" s="96" t="s">
        <v>548</v>
      </c>
      <c r="AF164" s="68">
        <f>BS!AI45+BS!AI44+BS!AI39+BS!AI38-BS!AI15</f>
        <v>1685831</v>
      </c>
      <c r="AH164" s="96" t="s">
        <v>548</v>
      </c>
      <c r="AI164" s="96"/>
      <c r="AJ164" s="96"/>
      <c r="AL164" s="68">
        <f>BS!AI45+BS!AI44+BS!AI39+BS!AI38-BS!AI15</f>
        <v>1685831</v>
      </c>
    </row>
    <row r="165" spans="2:40" ht="14.25" customHeight="1">
      <c r="B165" s="293"/>
      <c r="C165" s="25"/>
      <c r="D165" s="293"/>
      <c r="E165" s="293"/>
      <c r="F165" s="293"/>
      <c r="G165" s="293"/>
      <c r="H165" s="293"/>
      <c r="I165" s="25"/>
      <c r="M165" s="293"/>
      <c r="N165" s="293"/>
      <c r="O165" s="25"/>
      <c r="P165" s="293"/>
      <c r="Q165" s="293"/>
      <c r="R165" s="293"/>
      <c r="S165" s="293"/>
      <c r="T165" s="293"/>
      <c r="V165" s="96" t="s">
        <v>549</v>
      </c>
      <c r="Z165" s="68">
        <f>Inputs!U63</f>
        <v>0</v>
      </c>
      <c r="AB165" s="96" t="s">
        <v>549</v>
      </c>
      <c r="AF165" s="68">
        <f>Inputs!U63</f>
        <v>0</v>
      </c>
      <c r="AH165" s="96" t="s">
        <v>549</v>
      </c>
      <c r="AI165" s="96"/>
      <c r="AJ165" s="96"/>
      <c r="AL165" s="68">
        <f>Inputs!U63</f>
        <v>0</v>
      </c>
    </row>
    <row r="166" spans="2:40" ht="14.25" customHeight="1">
      <c r="V166" s="344" t="s">
        <v>550</v>
      </c>
      <c r="W166" s="344"/>
      <c r="X166" s="344"/>
      <c r="Y166" s="344"/>
      <c r="Z166" s="75">
        <f>+Inputs!$J$15</f>
        <v>912459</v>
      </c>
      <c r="AB166" s="344" t="s">
        <v>550</v>
      </c>
      <c r="AC166" s="344"/>
      <c r="AD166" s="344"/>
      <c r="AE166" s="344"/>
      <c r="AF166" s="75">
        <f>+Inputs!$J$15</f>
        <v>912459</v>
      </c>
      <c r="AH166" s="344" t="s">
        <v>550</v>
      </c>
      <c r="AI166" s="344"/>
      <c r="AJ166" s="344"/>
      <c r="AK166" s="344"/>
      <c r="AL166" s="75">
        <f>+Inputs!$J$15</f>
        <v>912459</v>
      </c>
    </row>
    <row r="167" spans="2:40" ht="14.25" customHeight="1">
      <c r="V167" s="103" t="s">
        <v>551</v>
      </c>
      <c r="W167" s="103"/>
      <c r="X167" s="103"/>
      <c r="Y167" s="103"/>
      <c r="Z167" s="320">
        <f ca="1">Z163-Z164-Z165-Z166</f>
        <v>283937.01869457355</v>
      </c>
      <c r="AB167" s="103" t="s">
        <v>551</v>
      </c>
      <c r="AC167" s="103"/>
      <c r="AD167" s="103"/>
      <c r="AE167" s="103"/>
      <c r="AF167" s="320">
        <f ca="1">AF163-AF164-AF165-AF166</f>
        <v>310587.21444672905</v>
      </c>
      <c r="AH167" s="103" t="s">
        <v>551</v>
      </c>
      <c r="AI167" s="103"/>
      <c r="AK167" s="103"/>
      <c r="AL167" s="320">
        <f ca="1">AL163-AL164-AL165-AL166</f>
        <v>-1560125.7380373939</v>
      </c>
    </row>
    <row r="168" spans="2:40" ht="14.25" customHeight="1">
      <c r="V168" s="344" t="s">
        <v>552</v>
      </c>
      <c r="W168" s="344"/>
      <c r="X168" s="344"/>
      <c r="Y168" s="344"/>
      <c r="Z168" s="346">
        <f>AL64</f>
        <v>103724.62973919313</v>
      </c>
      <c r="AB168" s="344" t="s">
        <v>552</v>
      </c>
      <c r="AC168" s="344"/>
      <c r="AD168" s="344"/>
      <c r="AE168" s="344"/>
      <c r="AF168" s="346">
        <f>AL64</f>
        <v>103724.62973919313</v>
      </c>
      <c r="AH168" s="344" t="s">
        <v>552</v>
      </c>
      <c r="AI168" s="344"/>
      <c r="AJ168" s="344"/>
      <c r="AK168" s="344"/>
      <c r="AL168" s="346">
        <f>AL64</f>
        <v>103724.62973919313</v>
      </c>
    </row>
    <row r="169" spans="2:40" ht="14.25" customHeight="1">
      <c r="V169" s="103" t="s">
        <v>553</v>
      </c>
      <c r="W169" s="103"/>
      <c r="X169" s="103"/>
      <c r="Y169" s="103"/>
      <c r="Z169" s="319">
        <f ca="1">Z167/Z168</f>
        <v>2.737411735366126</v>
      </c>
      <c r="AB169" s="103" t="s">
        <v>553</v>
      </c>
      <c r="AC169" s="103"/>
      <c r="AD169" s="103"/>
      <c r="AE169" s="103"/>
      <c r="AF169" s="319">
        <f ca="1">AF167/AF168</f>
        <v>2.994343920317426</v>
      </c>
      <c r="AH169" s="103" t="s">
        <v>553</v>
      </c>
      <c r="AI169" s="103"/>
      <c r="AK169" s="103"/>
      <c r="AL169" s="319">
        <f ca="1">AL167/AL168</f>
        <v>-15.041034535000984</v>
      </c>
    </row>
    <row r="170" spans="2:40" ht="14.25" customHeight="1">
      <c r="V170" s="96" t="s">
        <v>554</v>
      </c>
      <c r="Z170" s="351">
        <f>'Stock Data'!AN4</f>
        <v>4.3099999999999996</v>
      </c>
      <c r="AB170" s="96" t="s">
        <v>554</v>
      </c>
      <c r="AF170" s="351">
        <f>'Stock Data'!AN4</f>
        <v>4.3099999999999996</v>
      </c>
      <c r="AH170" s="96" t="s">
        <v>554</v>
      </c>
      <c r="AI170" s="96"/>
      <c r="AJ170" s="96"/>
      <c r="AL170" s="351">
        <f>'Stock Data'!AN4</f>
        <v>4.3099999999999996</v>
      </c>
    </row>
    <row r="171" spans="2:40" ht="14.25" customHeight="1">
      <c r="V171" s="96" t="s">
        <v>555</v>
      </c>
      <c r="Z171" s="326">
        <f ca="1">Z169/Z170-1</f>
        <v>-0.36486966696841616</v>
      </c>
      <c r="AB171" s="96" t="s">
        <v>555</v>
      </c>
      <c r="AF171" s="326">
        <f ca="1">AF169/AF170-1</f>
        <v>-0.30525663101683842</v>
      </c>
      <c r="AH171" s="96" t="s">
        <v>555</v>
      </c>
      <c r="AI171" s="96"/>
      <c r="AJ171" s="96"/>
      <c r="AL171" s="326">
        <f ca="1">AL169/AL170-1</f>
        <v>-4.4897991960559125</v>
      </c>
    </row>
    <row r="174" spans="2:40" ht="14.25" customHeight="1">
      <c r="Z174" s="310"/>
      <c r="AF174" s="310"/>
      <c r="AH174" s="316"/>
    </row>
    <row r="176" spans="2:40" ht="14.25" customHeight="1">
      <c r="AB176" s="316"/>
    </row>
    <row r="177" spans="28:32" ht="14.25" customHeight="1">
      <c r="AB177" s="591"/>
      <c r="AC177" s="316"/>
    </row>
    <row r="178" spans="28:32" ht="14.25" customHeight="1">
      <c r="AB178" s="591"/>
      <c r="AC178" s="316"/>
    </row>
    <row r="181" spans="28:32" ht="14.25" customHeight="1">
      <c r="AF181" s="316"/>
    </row>
    <row r="182" spans="28:32" ht="14.25" customHeight="1">
      <c r="AE182" s="591"/>
      <c r="AF182" s="316"/>
    </row>
    <row r="183" spans="28:32" ht="14.25" customHeight="1">
      <c r="AE183" s="591"/>
      <c r="AF183" s="326"/>
    </row>
  </sheetData>
  <mergeCells count="17">
    <mergeCell ref="V139:Z139"/>
    <mergeCell ref="AB139:AF139"/>
    <mergeCell ref="D24:H24"/>
    <mergeCell ref="J24:N24"/>
    <mergeCell ref="P24:T24"/>
    <mergeCell ref="V24:Z24"/>
    <mergeCell ref="AB24:AF24"/>
    <mergeCell ref="D118:H118"/>
    <mergeCell ref="J118:N118"/>
    <mergeCell ref="P118:T118"/>
    <mergeCell ref="V118:Z118"/>
    <mergeCell ref="AB118:AF118"/>
    <mergeCell ref="D8:H8"/>
    <mergeCell ref="J8:N8"/>
    <mergeCell ref="P8:T8"/>
    <mergeCell ref="V8:Z8"/>
    <mergeCell ref="AB8:AF8"/>
  </mergeCells>
  <dataValidations disablePrompts="1"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6"/>
  <sheetViews>
    <sheetView showGridLines="0" topLeftCell="G35" zoomScale="113" zoomScaleNormal="100" workbookViewId="0">
      <selection activeCell="V49" sqref="V49"/>
    </sheetView>
  </sheetViews>
  <sheetFormatPr defaultColWidth="9" defaultRowHeight="15" customHeight="1"/>
  <cols>
    <col min="1" max="1" width="2.125" style="23" customWidth="1"/>
    <col min="2" max="19" width="9" style="23"/>
    <col min="20" max="20" width="9" style="23" customWidth="1"/>
    <col min="21" max="24" width="9.125" style="23" customWidth="1"/>
    <col min="25" max="16384" width="9" style="23"/>
  </cols>
  <sheetData>
    <row r="1" spans="2:43" s="574" customFormat="1" ht="15" customHeight="1"/>
    <row r="2" spans="2:43" s="574" customFormat="1" ht="15" customHeight="1"/>
    <row r="3" spans="2:43" s="574" customFormat="1" ht="15" customHeight="1"/>
    <row r="4" spans="2:43" s="574" customFormat="1" ht="15" customHeight="1"/>
    <row r="5" spans="2:43" s="36" customFormat="1" ht="3.95" customHeight="1"/>
    <row r="7" spans="2:43" ht="15" customHeight="1">
      <c r="B7" s="371" t="s">
        <v>556</v>
      </c>
      <c r="C7" s="184"/>
      <c r="D7" s="184"/>
      <c r="E7" s="184"/>
      <c r="F7" s="184"/>
      <c r="G7" s="184"/>
      <c r="H7" s="184"/>
      <c r="I7" s="184"/>
      <c r="J7" s="184"/>
      <c r="K7" s="184"/>
      <c r="L7" s="184"/>
      <c r="M7" s="184"/>
      <c r="N7" s="184"/>
      <c r="O7" s="184"/>
      <c r="P7" s="184"/>
      <c r="R7" s="371" t="s">
        <v>557</v>
      </c>
      <c r="S7" s="184"/>
      <c r="T7" s="184"/>
      <c r="U7" s="184"/>
      <c r="V7" s="184"/>
      <c r="W7" s="184"/>
      <c r="X7" s="184"/>
      <c r="Y7" s="184"/>
      <c r="Z7" s="184"/>
    </row>
    <row r="8" spans="2:43" ht="15" customHeight="1">
      <c r="B8" s="184"/>
      <c r="C8" s="184"/>
      <c r="D8" s="184"/>
      <c r="E8" s="184"/>
      <c r="F8" s="184"/>
      <c r="G8" s="184"/>
      <c r="H8" s="184"/>
      <c r="I8" s="184"/>
      <c r="J8" s="184"/>
      <c r="K8" s="184"/>
      <c r="L8" s="184"/>
      <c r="M8" s="184"/>
      <c r="N8" s="184"/>
      <c r="O8" s="184"/>
      <c r="P8" s="184"/>
      <c r="R8" s="184"/>
      <c r="S8" s="184"/>
      <c r="T8" s="184"/>
      <c r="U8" s="184"/>
      <c r="V8" s="184"/>
      <c r="W8" s="184"/>
      <c r="X8" s="184"/>
      <c r="Y8" s="184"/>
      <c r="Z8" s="184"/>
    </row>
    <row r="9" spans="2:43" ht="15" customHeight="1">
      <c r="B9" s="184"/>
      <c r="C9" s="184"/>
      <c r="D9" s="184"/>
      <c r="E9" s="184"/>
      <c r="F9" s="184"/>
      <c r="G9" s="184"/>
      <c r="H9" s="184"/>
      <c r="I9" s="184"/>
      <c r="J9" s="184"/>
      <c r="K9" s="184"/>
      <c r="L9" s="184"/>
      <c r="M9" s="184"/>
      <c r="N9" s="184"/>
      <c r="O9" s="184"/>
      <c r="P9" s="184"/>
      <c r="R9" s="184"/>
      <c r="S9" s="184"/>
      <c r="T9" s="184"/>
      <c r="U9" s="184"/>
      <c r="V9" s="184"/>
      <c r="W9" s="184"/>
      <c r="X9" s="184"/>
      <c r="Y9" s="184"/>
      <c r="Z9" s="184"/>
    </row>
    <row r="10" spans="2:43" ht="3.95"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4:43" ht="15" customHeight="1">
      <c r="AA17" s="25"/>
      <c r="AB17" s="25"/>
      <c r="AC17" s="25"/>
      <c r="AD17" s="25"/>
      <c r="AE17" s="25"/>
      <c r="AF17" s="25"/>
      <c r="AG17" s="25"/>
      <c r="AH17" s="25"/>
      <c r="AI17" s="25"/>
      <c r="AJ17" s="25"/>
      <c r="AK17" s="25"/>
      <c r="AL17" s="25"/>
      <c r="AM17" s="25"/>
      <c r="AN17" s="25"/>
      <c r="AO17" s="25"/>
      <c r="AP17" s="25"/>
      <c r="AQ17" s="25"/>
    </row>
    <row r="18" spans="4:43" ht="15" customHeight="1">
      <c r="AA18" s="25"/>
      <c r="AB18" s="25"/>
      <c r="AC18" s="25"/>
      <c r="AD18" s="25"/>
      <c r="AE18" s="25"/>
      <c r="AF18" s="25"/>
      <c r="AG18" s="25"/>
      <c r="AH18" s="25"/>
      <c r="AI18" s="25"/>
      <c r="AJ18" s="25"/>
      <c r="AK18" s="25"/>
      <c r="AL18" s="25"/>
      <c r="AM18" s="25"/>
      <c r="AN18" s="25"/>
      <c r="AO18" s="25"/>
      <c r="AP18" s="25"/>
      <c r="AQ18" s="25"/>
    </row>
    <row r="19" spans="4:43" ht="15" customHeight="1">
      <c r="AA19" s="25"/>
      <c r="AB19" s="25"/>
      <c r="AC19" s="25"/>
      <c r="AD19" s="25"/>
      <c r="AE19" s="25"/>
      <c r="AF19" s="25"/>
      <c r="AG19" s="25"/>
      <c r="AH19" s="25"/>
      <c r="AI19" s="25"/>
      <c r="AJ19" s="25"/>
      <c r="AK19" s="25"/>
      <c r="AL19" s="25"/>
      <c r="AM19" s="25"/>
      <c r="AN19" s="25"/>
      <c r="AO19" s="25"/>
      <c r="AP19" s="25"/>
      <c r="AQ19" s="25"/>
    </row>
    <row r="20" spans="4:43" ht="15" customHeight="1">
      <c r="AA20" s="25"/>
      <c r="AB20" s="25"/>
      <c r="AC20" s="25"/>
      <c r="AD20" s="25"/>
      <c r="AE20" s="25"/>
      <c r="AF20" s="25"/>
      <c r="AG20" s="25"/>
      <c r="AH20" s="25"/>
      <c r="AI20" s="25"/>
      <c r="AJ20" s="25"/>
      <c r="AK20" s="25"/>
      <c r="AL20" s="25"/>
      <c r="AM20" s="25"/>
      <c r="AN20" s="25"/>
      <c r="AO20" s="25"/>
      <c r="AP20" s="25"/>
      <c r="AQ20" s="25"/>
    </row>
    <row r="21" spans="4:43" ht="15" customHeight="1">
      <c r="AA21" s="25"/>
      <c r="AB21" s="25"/>
      <c r="AC21" s="25"/>
      <c r="AD21" s="25"/>
      <c r="AE21" s="25"/>
      <c r="AF21" s="25"/>
      <c r="AG21" s="25"/>
      <c r="AH21" s="25"/>
      <c r="AI21" s="25"/>
      <c r="AJ21" s="25"/>
      <c r="AK21" s="25"/>
      <c r="AL21" s="25"/>
      <c r="AM21" s="25"/>
      <c r="AN21" s="25"/>
      <c r="AO21" s="25"/>
      <c r="AP21" s="25"/>
      <c r="AQ21" s="25"/>
    </row>
    <row r="22" spans="4:43" ht="15" customHeight="1">
      <c r="AA22" s="25"/>
      <c r="AB22" s="25"/>
      <c r="AC22" s="25"/>
      <c r="AD22" s="25"/>
      <c r="AE22" s="25"/>
      <c r="AF22" s="25"/>
      <c r="AG22" s="25"/>
      <c r="AH22" s="25"/>
      <c r="AI22" s="25"/>
      <c r="AJ22" s="25"/>
      <c r="AK22" s="25"/>
      <c r="AL22" s="25"/>
      <c r="AM22" s="25"/>
      <c r="AN22" s="25"/>
      <c r="AO22" s="25"/>
      <c r="AP22" s="25"/>
      <c r="AQ22" s="25"/>
    </row>
    <row r="23" spans="4:43" ht="15" customHeight="1">
      <c r="D23" s="711"/>
      <c r="AA23" s="25"/>
      <c r="AB23" s="25"/>
      <c r="AC23" s="25"/>
      <c r="AD23" s="25"/>
      <c r="AE23" s="25"/>
      <c r="AF23" s="25"/>
      <c r="AG23" s="25"/>
      <c r="AH23" s="25"/>
      <c r="AI23" s="25"/>
      <c r="AJ23" s="25"/>
      <c r="AK23" s="25"/>
      <c r="AL23" s="25"/>
      <c r="AM23" s="25"/>
      <c r="AN23" s="25"/>
      <c r="AO23" s="25"/>
      <c r="AP23" s="25"/>
      <c r="AQ23" s="25"/>
    </row>
    <row r="24" spans="4:43" ht="15" customHeight="1">
      <c r="AA24" s="25"/>
      <c r="AB24" s="25"/>
      <c r="AC24" s="25"/>
      <c r="AD24" s="25"/>
      <c r="AE24" s="25"/>
      <c r="AF24" s="25"/>
      <c r="AG24" s="25"/>
      <c r="AH24" s="25"/>
      <c r="AI24" s="25"/>
      <c r="AJ24" s="25"/>
      <c r="AK24" s="25"/>
      <c r="AL24" s="25"/>
      <c r="AM24" s="25"/>
      <c r="AN24" s="25"/>
      <c r="AO24" s="25"/>
      <c r="AP24" s="25"/>
      <c r="AQ24" s="25"/>
    </row>
    <row r="25" spans="4:43" ht="15" customHeight="1">
      <c r="AA25" s="25"/>
      <c r="AB25" s="25"/>
      <c r="AC25" s="25"/>
      <c r="AD25" s="25"/>
      <c r="AE25" s="25"/>
      <c r="AF25" s="25"/>
      <c r="AG25" s="25"/>
      <c r="AH25" s="25"/>
      <c r="AI25" s="25"/>
      <c r="AJ25" s="25"/>
      <c r="AK25" s="25"/>
      <c r="AL25" s="25"/>
      <c r="AM25" s="25"/>
      <c r="AN25" s="25"/>
      <c r="AO25" s="25"/>
      <c r="AP25" s="25"/>
      <c r="AQ25" s="25"/>
    </row>
    <row r="26" spans="4:43" ht="15" customHeight="1">
      <c r="AA26" s="25"/>
      <c r="AB26" s="25"/>
      <c r="AC26" s="25"/>
      <c r="AD26" s="25"/>
      <c r="AE26" s="25"/>
      <c r="AF26" s="25"/>
      <c r="AG26" s="25"/>
      <c r="AH26" s="25"/>
      <c r="AI26" s="25"/>
      <c r="AJ26" s="25"/>
      <c r="AK26" s="25"/>
      <c r="AL26" s="25"/>
      <c r="AM26" s="25"/>
      <c r="AN26" s="25"/>
      <c r="AO26" s="25"/>
      <c r="AP26" s="25"/>
      <c r="AQ26" s="25"/>
    </row>
    <row r="27" spans="4:43" ht="15" customHeight="1">
      <c r="AA27" s="25"/>
      <c r="AB27" s="25"/>
      <c r="AC27" s="25"/>
      <c r="AD27" s="25"/>
      <c r="AE27" s="25"/>
      <c r="AF27" s="25"/>
      <c r="AG27" s="25"/>
      <c r="AH27" s="25"/>
      <c r="AI27" s="25"/>
      <c r="AJ27" s="25"/>
      <c r="AK27" s="25"/>
      <c r="AL27" s="25"/>
      <c r="AM27" s="25"/>
      <c r="AN27" s="25"/>
      <c r="AO27" s="25"/>
      <c r="AP27" s="25"/>
      <c r="AQ27" s="25"/>
    </row>
    <row r="28" spans="4:43" ht="15" customHeight="1">
      <c r="AA28" s="25"/>
      <c r="AB28" s="25"/>
      <c r="AC28" s="25"/>
      <c r="AD28" s="25" t="str" cm="1">
        <f t="array" ref="AD28:AL34">_xlfn.SORTBY(R38:Z44,Z38:Z44,1)</f>
        <v>COGS Margin</v>
      </c>
      <c r="AE28" s="25">
        <v>0</v>
      </c>
      <c r="AF28" s="25">
        <v>0.02</v>
      </c>
      <c r="AG28" s="25">
        <v>0</v>
      </c>
      <c r="AH28" s="25">
        <v>3.27</v>
      </c>
      <c r="AI28" s="25">
        <v>3.32</v>
      </c>
      <c r="AJ28" s="25">
        <v>-2.9999999999999805E-2</v>
      </c>
      <c r="AK28" s="25">
        <v>2.0000000000000018E-2</v>
      </c>
      <c r="AL28" s="25">
        <v>2.9999999999999805E-2</v>
      </c>
      <c r="AM28" s="25"/>
      <c r="AN28" s="25"/>
      <c r="AO28" s="25"/>
      <c r="AP28" s="25"/>
      <c r="AQ28" s="25"/>
    </row>
    <row r="29" spans="4:43" ht="15" customHeight="1">
      <c r="AA29" s="25"/>
      <c r="AB29" s="25"/>
      <c r="AC29" s="25"/>
      <c r="AD29" s="25" t="str">
        <v>Capex Intensity</v>
      </c>
      <c r="AE29" s="25">
        <v>0</v>
      </c>
      <c r="AF29" s="25">
        <v>0.01</v>
      </c>
      <c r="AG29" s="25">
        <v>0</v>
      </c>
      <c r="AH29" s="25">
        <v>3.24</v>
      </c>
      <c r="AI29" s="25">
        <v>3.36</v>
      </c>
      <c r="AJ29" s="25">
        <v>-5.9999999999999609E-2</v>
      </c>
      <c r="AK29" s="25">
        <v>6.0000000000000053E-2</v>
      </c>
      <c r="AL29" s="25">
        <v>6.0000000000000053E-2</v>
      </c>
      <c r="AM29" s="25"/>
      <c r="AN29" s="25"/>
      <c r="AO29" s="25"/>
      <c r="AP29" s="25"/>
      <c r="AQ29" s="25"/>
    </row>
    <row r="30" spans="4:43" ht="15" customHeight="1">
      <c r="AA30" s="25"/>
      <c r="AB30" s="25"/>
      <c r="AC30" s="25"/>
      <c r="AD30" s="25" t="str">
        <v>SG&amp;A Margin</v>
      </c>
      <c r="AE30" s="25">
        <v>0</v>
      </c>
      <c r="AF30" s="25">
        <v>0.01</v>
      </c>
      <c r="AG30" s="25">
        <v>0</v>
      </c>
      <c r="AH30" s="25">
        <v>2.98</v>
      </c>
      <c r="AI30" s="25">
        <v>3.62</v>
      </c>
      <c r="AJ30" s="25">
        <v>-0.31999999999999984</v>
      </c>
      <c r="AK30" s="25">
        <v>0.32000000000000028</v>
      </c>
      <c r="AL30" s="25">
        <v>0.32000000000000028</v>
      </c>
      <c r="AM30" s="25"/>
      <c r="AN30" s="25"/>
      <c r="AO30" s="25"/>
      <c r="AP30" s="25"/>
      <c r="AQ30" s="25"/>
    </row>
    <row r="31" spans="4:43" ht="15" customHeight="1">
      <c r="AA31" s="25"/>
      <c r="AB31" s="25"/>
      <c r="AC31" s="25"/>
      <c r="AD31" s="25" t="str">
        <v>EBITDA Exit</v>
      </c>
      <c r="AE31" s="25">
        <v>0</v>
      </c>
      <c r="AF31" s="25">
        <v>1.5</v>
      </c>
      <c r="AG31" s="25">
        <v>0</v>
      </c>
      <c r="AH31" s="25">
        <v>2.19</v>
      </c>
      <c r="AI31" s="25">
        <v>3.9</v>
      </c>
      <c r="AJ31" s="25">
        <v>-1.1099999999999999</v>
      </c>
      <c r="AK31" s="25">
        <v>0.60000000000000009</v>
      </c>
      <c r="AL31" s="25">
        <v>1.1099999999999999</v>
      </c>
      <c r="AM31" s="25"/>
      <c r="AN31" s="25"/>
      <c r="AO31" s="25"/>
      <c r="AP31" s="25"/>
      <c r="AQ31" s="25"/>
    </row>
    <row r="32" spans="4:43" ht="15" customHeight="1">
      <c r="R32" s="371" t="s">
        <v>558</v>
      </c>
      <c r="S32" s="32"/>
      <c r="T32" s="32"/>
      <c r="U32" s="32"/>
      <c r="V32" s="371" t="s">
        <v>559</v>
      </c>
      <c r="W32" s="32"/>
      <c r="X32" s="32"/>
      <c r="Y32" s="32"/>
      <c r="Z32" s="37" t="s">
        <v>560</v>
      </c>
      <c r="AA32" s="25"/>
      <c r="AB32" s="25"/>
      <c r="AC32" s="25"/>
      <c r="AD32" s="25" t="str">
        <v>Revenue Exit</v>
      </c>
      <c r="AE32" s="25">
        <v>0</v>
      </c>
      <c r="AF32" s="25">
        <v>1</v>
      </c>
      <c r="AG32" s="25">
        <v>0</v>
      </c>
      <c r="AH32" s="25">
        <v>2.0299999999999998</v>
      </c>
      <c r="AI32" s="25">
        <v>4.5599999999999996</v>
      </c>
      <c r="AJ32" s="25">
        <v>-1.27</v>
      </c>
      <c r="AK32" s="25">
        <v>1.2599999999999998</v>
      </c>
      <c r="AL32" s="25">
        <v>1.27</v>
      </c>
      <c r="AM32" s="25"/>
      <c r="AN32" s="25"/>
      <c r="AO32" s="25"/>
      <c r="AP32" s="25"/>
      <c r="AQ32" s="25"/>
    </row>
    <row r="33" spans="3:43" ht="15" customHeight="1">
      <c r="R33" s="33" t="s">
        <v>561</v>
      </c>
      <c r="T33" s="592">
        <f ca="1">+FCFF!AL169</f>
        <v>-15.041034535000984</v>
      </c>
      <c r="V33" s="33" t="s">
        <v>562</v>
      </c>
      <c r="W33" s="96"/>
      <c r="X33" s="612"/>
      <c r="Z33" s="23" t="s">
        <v>364</v>
      </c>
      <c r="AA33" s="25"/>
      <c r="AB33" s="25"/>
      <c r="AC33" s="25"/>
      <c r="AD33" s="25" t="str">
        <v>WACC</v>
      </c>
      <c r="AE33" s="25">
        <v>0</v>
      </c>
      <c r="AF33" s="25">
        <v>5.0000000000000001E-3</v>
      </c>
      <c r="AG33" s="25">
        <v>0</v>
      </c>
      <c r="AH33" s="25">
        <v>1.95</v>
      </c>
      <c r="AI33" s="25">
        <v>4.72</v>
      </c>
      <c r="AJ33" s="25">
        <v>-1.3499999999999999</v>
      </c>
      <c r="AK33" s="25">
        <v>1.42</v>
      </c>
      <c r="AL33" s="25">
        <v>1.42</v>
      </c>
      <c r="AM33" s="25"/>
      <c r="AN33" s="25"/>
      <c r="AO33" s="25"/>
      <c r="AP33" s="25"/>
      <c r="AQ33" s="25"/>
    </row>
    <row r="34" spans="3:43" ht="15" customHeight="1">
      <c r="R34" s="33" t="s">
        <v>563</v>
      </c>
      <c r="T34" s="592">
        <f ca="1">+FCFF!Z169</f>
        <v>2.737411735366126</v>
      </c>
      <c r="V34" s="103" t="s">
        <v>564</v>
      </c>
      <c r="W34" s="96"/>
      <c r="X34" s="612">
        <v>3.04</v>
      </c>
      <c r="AA34" s="25"/>
      <c r="AB34" s="25"/>
      <c r="AC34" s="25"/>
      <c r="AD34" s="25" t="str">
        <v>Terminal g</v>
      </c>
      <c r="AE34" s="25">
        <v>0</v>
      </c>
      <c r="AF34" s="25">
        <v>5.0000000000000001E-3</v>
      </c>
      <c r="AG34" s="25">
        <v>0</v>
      </c>
      <c r="AH34" s="25">
        <v>0</v>
      </c>
      <c r="AI34" s="25">
        <v>0</v>
      </c>
      <c r="AJ34" s="25">
        <v>-3.3</v>
      </c>
      <c r="AK34" s="25">
        <v>-3.3</v>
      </c>
      <c r="AL34" s="25">
        <v>3.3</v>
      </c>
      <c r="AM34" s="25"/>
      <c r="AN34" s="25"/>
      <c r="AO34" s="25"/>
      <c r="AP34" s="25"/>
      <c r="AQ34" s="25"/>
    </row>
    <row r="35" spans="3:43" ht="15" customHeight="1">
      <c r="R35" s="33" t="s">
        <v>565</v>
      </c>
      <c r="T35" s="592">
        <f ca="1">FCFF!AF169</f>
        <v>2.994343920317426</v>
      </c>
      <c r="V35" s="33" t="s">
        <v>566</v>
      </c>
      <c r="X35" s="613">
        <v>3.3</v>
      </c>
      <c r="AA35" s="25"/>
      <c r="AB35" s="25"/>
      <c r="AC35" s="25"/>
      <c r="AD35" s="25"/>
      <c r="AE35" s="25"/>
      <c r="AF35" s="25"/>
      <c r="AG35" s="25"/>
      <c r="AH35" s="25"/>
      <c r="AI35" s="25"/>
      <c r="AJ35" s="25"/>
      <c r="AK35" s="25"/>
      <c r="AL35" s="25"/>
      <c r="AM35" s="25"/>
      <c r="AN35" s="25"/>
      <c r="AO35" s="25"/>
      <c r="AP35" s="25"/>
      <c r="AQ35" s="25"/>
    </row>
    <row r="36" spans="3:43" ht="15" customHeight="1">
      <c r="AA36" s="25"/>
      <c r="AB36" s="25"/>
      <c r="AC36" s="25"/>
      <c r="AD36" s="25"/>
      <c r="AE36" s="25"/>
      <c r="AF36" s="25"/>
      <c r="AG36" s="25"/>
      <c r="AH36" s="25"/>
      <c r="AI36" s="25"/>
      <c r="AJ36" s="25"/>
      <c r="AK36" s="25"/>
      <c r="AL36" s="25"/>
      <c r="AM36" s="25"/>
      <c r="AN36" s="25"/>
      <c r="AO36" s="25"/>
      <c r="AP36" s="25"/>
      <c r="AQ36" s="25"/>
    </row>
    <row r="37" spans="3:43" ht="15" customHeight="1">
      <c r="R37" s="32"/>
      <c r="S37" s="32"/>
      <c r="T37" s="593" t="s">
        <v>567</v>
      </c>
      <c r="U37" s="593" t="s">
        <v>568</v>
      </c>
      <c r="V37" s="594" t="s">
        <v>569</v>
      </c>
      <c r="W37" s="594" t="s">
        <v>570</v>
      </c>
      <c r="X37" s="593" t="s">
        <v>571</v>
      </c>
      <c r="Y37" s="593" t="s">
        <v>572</v>
      </c>
      <c r="Z37" s="593" t="s">
        <v>573</v>
      </c>
      <c r="AA37" s="25"/>
      <c r="AB37" s="25"/>
      <c r="AC37" s="25"/>
      <c r="AD37" s="25"/>
      <c r="AE37" s="25"/>
      <c r="AF37" s="25"/>
      <c r="AG37" s="25"/>
      <c r="AH37" s="25"/>
      <c r="AI37" s="25"/>
      <c r="AJ37" s="25"/>
      <c r="AK37" s="25"/>
      <c r="AL37" s="25"/>
      <c r="AM37" s="25"/>
      <c r="AN37" s="25"/>
      <c r="AO37" s="25"/>
      <c r="AP37" s="25"/>
      <c r="AQ37" s="25"/>
    </row>
    <row r="38" spans="3:43" ht="15" customHeight="1">
      <c r="R38" s="96" t="s">
        <v>574</v>
      </c>
      <c r="S38" s="96"/>
      <c r="T38" s="597">
        <v>0.01</v>
      </c>
      <c r="U38" s="595"/>
      <c r="V38" s="612">
        <v>3.24</v>
      </c>
      <c r="W38" s="612">
        <v>3.36</v>
      </c>
      <c r="X38" s="23" cm="1">
        <f t="array" ref="X38">+V38-_xlfn.IFS($Z$33="EBITDA",$X$34,$Z$33="Revenue",$X$35,$Z$33="Gordon",$X$33)</f>
        <v>-5.9999999999999609E-2</v>
      </c>
      <c r="Y38" s="23" cm="1">
        <f t="array" ref="Y38">+W38-_xlfn.IFS($Z$33="EBITDA",$X$34,$Z$33="Revenue",$X$35,$Z$33="Gordon",$X$33)</f>
        <v>6.0000000000000053E-2</v>
      </c>
      <c r="Z38" s="23">
        <f>MAX(ABS(X38),ABS(Y38))</f>
        <v>6.0000000000000053E-2</v>
      </c>
      <c r="AA38" s="25"/>
      <c r="AB38" s="25"/>
      <c r="AC38" s="25"/>
      <c r="AD38" s="25"/>
      <c r="AE38" s="25"/>
      <c r="AF38" s="25"/>
      <c r="AG38" s="25"/>
      <c r="AH38" s="25"/>
      <c r="AI38" s="25"/>
      <c r="AJ38" s="25"/>
      <c r="AK38" s="25"/>
      <c r="AL38" s="25"/>
      <c r="AM38" s="25"/>
      <c r="AN38" s="25"/>
      <c r="AO38" s="25"/>
      <c r="AP38" s="25"/>
      <c r="AQ38" s="25"/>
    </row>
    <row r="39" spans="3:43" ht="15" customHeight="1">
      <c r="R39" s="96" t="s">
        <v>575</v>
      </c>
      <c r="S39" s="337"/>
      <c r="T39" s="597">
        <v>0.02</v>
      </c>
      <c r="U39" s="595"/>
      <c r="V39" s="612">
        <v>3.27</v>
      </c>
      <c r="W39" s="612">
        <v>3.32</v>
      </c>
      <c r="X39" s="23" cm="1">
        <f t="array" ref="X39">+V39-_xlfn.IFS($Z$33="EBITDA",$X$34,$Z$33="Revenue",$X$35,$Z$33="Gordon",$X$33)</f>
        <v>-2.9999999999999805E-2</v>
      </c>
      <c r="Y39" s="23" cm="1">
        <f t="array" ref="Y39">+W39-_xlfn.IFS($Z$33="EBITDA",$X$34,$Z$33="Revenue",$X$35,$Z$33="Gordon",$X$33)</f>
        <v>2.0000000000000018E-2</v>
      </c>
      <c r="Z39" s="23">
        <f>MAX(ABS(X39),ABS(Y39))</f>
        <v>2.9999999999999805E-2</v>
      </c>
      <c r="AA39" s="25"/>
      <c r="AB39" s="25"/>
      <c r="AC39" s="25"/>
      <c r="AD39" s="25"/>
      <c r="AE39" s="25"/>
      <c r="AF39" s="25"/>
      <c r="AG39" s="25"/>
      <c r="AH39" s="25"/>
      <c r="AI39" s="25"/>
      <c r="AJ39" s="25"/>
      <c r="AK39" s="25"/>
      <c r="AL39" s="25"/>
      <c r="AM39" s="25"/>
      <c r="AN39" s="25"/>
      <c r="AO39" s="25"/>
      <c r="AP39" s="25"/>
      <c r="AQ39" s="25"/>
    </row>
    <row r="40" spans="3:43" ht="15" customHeight="1">
      <c r="C40" s="1" t="s">
        <v>576</v>
      </c>
      <c r="R40" s="96" t="s">
        <v>577</v>
      </c>
      <c r="S40" s="96"/>
      <c r="T40" s="597">
        <v>0.01</v>
      </c>
      <c r="U40" s="595"/>
      <c r="V40" s="613">
        <v>2.98</v>
      </c>
      <c r="W40" s="613">
        <v>3.62</v>
      </c>
      <c r="X40" s="23" cm="1">
        <f t="array" ref="X40">+V40-_xlfn.IFS($Z$33="EBITDA",$X$34,$Z$33="Revenue",$X$35,$Z$33="Gordon",$X$33)</f>
        <v>-0.31999999999999984</v>
      </c>
      <c r="Y40" s="23" cm="1">
        <f t="array" ref="Y40">+W40-_xlfn.IFS($Z$33="EBITDA",$X$34,$Z$33="Revenue",$X$35,$Z$33="Gordon",$X$33)</f>
        <v>0.32000000000000028</v>
      </c>
      <c r="Z40" s="23">
        <f t="shared" ref="Z40:Z44" si="0">MAX(ABS(X40),ABS(Y40))</f>
        <v>0.32000000000000028</v>
      </c>
      <c r="AA40" s="25"/>
      <c r="AB40" s="25"/>
      <c r="AC40" s="25"/>
      <c r="AD40" s="25"/>
      <c r="AE40" s="25"/>
      <c r="AF40" s="25"/>
      <c r="AG40" s="25"/>
      <c r="AH40" s="25"/>
      <c r="AI40" s="25"/>
      <c r="AJ40" s="25"/>
      <c r="AK40" s="25"/>
      <c r="AL40" s="25"/>
      <c r="AM40" s="25"/>
      <c r="AN40" s="25"/>
      <c r="AO40" s="25"/>
      <c r="AP40" s="25"/>
      <c r="AQ40" s="25"/>
    </row>
    <row r="41" spans="3:43" ht="15" customHeight="1">
      <c r="C41" s="827" t="s">
        <v>578</v>
      </c>
      <c r="R41" s="96" t="s">
        <v>434</v>
      </c>
      <c r="S41" s="96"/>
      <c r="T41" s="597">
        <v>5.0000000000000001E-3</v>
      </c>
      <c r="U41" s="595"/>
      <c r="V41" s="612">
        <v>1.95</v>
      </c>
      <c r="W41" s="613">
        <v>4.72</v>
      </c>
      <c r="X41" s="23" cm="1">
        <f t="array" ref="X41">+V41-_xlfn.IFS($Z$33="EBITDA",$X$34,$Z$33="Revenue",$X$35,$Z$33="Gordon",$X$33)</f>
        <v>-1.3499999999999999</v>
      </c>
      <c r="Y41" s="23" cm="1">
        <f t="array" ref="Y41">+W41-_xlfn.IFS($Z$33="EBITDA",$X$34,$Z$33="Revenue",$X$35,$Z$33="Gordon",$X$33)</f>
        <v>1.42</v>
      </c>
      <c r="Z41" s="23">
        <f t="shared" si="0"/>
        <v>1.42</v>
      </c>
      <c r="AA41" s="25"/>
      <c r="AB41" s="25"/>
      <c r="AC41" s="25"/>
      <c r="AD41" s="25"/>
      <c r="AE41" s="25"/>
      <c r="AF41" s="25"/>
      <c r="AG41" s="25"/>
      <c r="AH41" s="25"/>
      <c r="AI41" s="25"/>
      <c r="AJ41" s="25"/>
      <c r="AK41" s="25"/>
      <c r="AL41" s="25"/>
      <c r="AM41" s="25"/>
      <c r="AN41" s="25"/>
      <c r="AO41" s="25"/>
      <c r="AP41" s="25"/>
      <c r="AQ41" s="25"/>
    </row>
    <row r="42" spans="3:43" ht="15" customHeight="1">
      <c r="C42" s="1" t="s">
        <v>579</v>
      </c>
      <c r="R42" s="96" t="s">
        <v>580</v>
      </c>
      <c r="S42" s="96"/>
      <c r="T42" s="597">
        <v>5.0000000000000001E-3</v>
      </c>
      <c r="U42" s="595"/>
      <c r="V42" s="612"/>
      <c r="W42" s="613"/>
      <c r="X42" s="23" cm="1">
        <f t="array" ref="X42">+V42-_xlfn.IFS($Z$33="EBITDA",$X$34,$Z$33="Revenue",$X$35,$Z$33="Gordon",$X$33)</f>
        <v>-3.3</v>
      </c>
      <c r="Y42" s="23" cm="1">
        <f t="array" ref="Y42">+W42-_xlfn.IFS($Z$33="EBITDA",$X$34,$Z$33="Revenue",$X$35,$Z$33="Gordon",$X$33)</f>
        <v>-3.3</v>
      </c>
      <c r="Z42" s="23">
        <f t="shared" si="0"/>
        <v>3.3</v>
      </c>
      <c r="AA42" s="25"/>
      <c r="AB42" s="25"/>
      <c r="AC42" s="25"/>
      <c r="AD42" s="25"/>
      <c r="AE42" s="25"/>
      <c r="AF42" s="25"/>
      <c r="AG42" s="25"/>
      <c r="AH42" s="25"/>
      <c r="AI42" s="25"/>
      <c r="AJ42" s="25"/>
      <c r="AK42" s="25"/>
      <c r="AL42" s="25"/>
      <c r="AM42" s="25"/>
      <c r="AN42" s="25"/>
      <c r="AO42" s="25"/>
      <c r="AP42" s="25"/>
      <c r="AQ42" s="25"/>
    </row>
    <row r="43" spans="3:43" ht="15" customHeight="1">
      <c r="C43" s="1" t="s">
        <v>581</v>
      </c>
      <c r="R43" s="96" t="s">
        <v>582</v>
      </c>
      <c r="S43" s="96"/>
      <c r="T43" s="598">
        <v>1.5</v>
      </c>
      <c r="U43" s="596"/>
      <c r="V43" s="613">
        <v>2.19</v>
      </c>
      <c r="W43" s="613">
        <v>3.9</v>
      </c>
      <c r="X43" s="23" cm="1">
        <f t="array" ref="X43">+V43-_xlfn.IFS($Z$33="EBITDA",$X$34,$Z$33="Revenue",$X$35,$Z$33="Gordon",$X$33)</f>
        <v>-1.1099999999999999</v>
      </c>
      <c r="Y43" s="23" cm="1">
        <f t="array" ref="Y43">+W43-_xlfn.IFS($Z$33="EBITDA",$X$34,$Z$33="Revenue",$X$35,$Z$33="Gordon",$X$33)</f>
        <v>0.60000000000000009</v>
      </c>
      <c r="Z43" s="23">
        <f t="shared" si="0"/>
        <v>1.1099999999999999</v>
      </c>
      <c r="AA43" s="25"/>
      <c r="AB43" s="25"/>
      <c r="AC43" s="25"/>
      <c r="AD43" s="25"/>
      <c r="AE43" s="25"/>
      <c r="AF43" s="25"/>
      <c r="AG43" s="25"/>
      <c r="AH43" s="25"/>
      <c r="AI43" s="25"/>
      <c r="AJ43" s="25"/>
      <c r="AK43" s="25"/>
      <c r="AL43" s="25"/>
      <c r="AM43" s="25"/>
      <c r="AN43" s="25"/>
      <c r="AO43" s="25"/>
      <c r="AP43" s="25"/>
      <c r="AQ43" s="25"/>
    </row>
    <row r="44" spans="3:43" ht="15" customHeight="1">
      <c r="C44" s="1" t="s">
        <v>583</v>
      </c>
      <c r="R44" s="96" t="s">
        <v>536</v>
      </c>
      <c r="S44" s="96"/>
      <c r="T44" s="598">
        <v>1</v>
      </c>
      <c r="U44" s="596"/>
      <c r="V44" s="612">
        <v>2.0299999999999998</v>
      </c>
      <c r="W44" s="613">
        <v>4.5599999999999996</v>
      </c>
      <c r="X44" s="23" cm="1">
        <f t="array" ref="X44">+V44-_xlfn.IFS($Z$33="EBITDA",$X$34,$Z$33="Revenue",$X$35,$Z$33="Gordon",$X$33)</f>
        <v>-1.27</v>
      </c>
      <c r="Y44" s="23" cm="1">
        <f t="array" ref="Y44">+W44-_xlfn.IFS($Z$33="EBITDA",$X$34,$Z$33="Revenue",$X$35,$Z$33="Gordon",$X$33)</f>
        <v>1.2599999999999998</v>
      </c>
      <c r="Z44" s="23">
        <f t="shared" si="0"/>
        <v>1.27</v>
      </c>
      <c r="AA44" s="25"/>
      <c r="AB44" s="25"/>
      <c r="AC44" s="25"/>
      <c r="AD44" s="25"/>
      <c r="AE44" s="25"/>
      <c r="AF44" s="25"/>
      <c r="AG44" s="25"/>
      <c r="AH44" s="25"/>
      <c r="AI44" s="25"/>
      <c r="AJ44" s="25"/>
      <c r="AK44" s="25"/>
      <c r="AL44" s="25"/>
      <c r="AM44" s="25"/>
      <c r="AN44" s="25"/>
      <c r="AO44" s="25"/>
      <c r="AP44" s="25"/>
      <c r="AQ44" s="25"/>
    </row>
    <row r="45" spans="3:43" ht="15" customHeight="1">
      <c r="C45" s="1" t="s">
        <v>584</v>
      </c>
      <c r="AA45" s="25"/>
      <c r="AB45" s="25"/>
      <c r="AC45" s="25"/>
      <c r="AD45" s="25"/>
      <c r="AE45" s="25"/>
      <c r="AF45" s="25"/>
      <c r="AG45" s="25"/>
      <c r="AH45" s="25"/>
      <c r="AI45" s="25"/>
      <c r="AJ45" s="25"/>
      <c r="AK45" s="25"/>
      <c r="AL45" s="25"/>
      <c r="AM45" s="25"/>
      <c r="AN45" s="25"/>
      <c r="AO45" s="25"/>
      <c r="AP45" s="25"/>
      <c r="AQ45" s="25"/>
    </row>
    <row r="46" spans="3:43" ht="15" customHeight="1">
      <c r="C46" s="1" t="s">
        <v>585</v>
      </c>
      <c r="AA46" s="25"/>
      <c r="AB46" s="25"/>
      <c r="AC46" s="25"/>
      <c r="AD46" s="25"/>
      <c r="AE46" s="25"/>
      <c r="AF46" s="25"/>
      <c r="AG46" s="25"/>
      <c r="AH46" s="25"/>
      <c r="AI46" s="25"/>
      <c r="AJ46" s="25"/>
      <c r="AK46" s="25"/>
      <c r="AL46" s="25"/>
      <c r="AM46" s="25"/>
      <c r="AN46" s="25"/>
      <c r="AO46" s="25"/>
      <c r="AP46" s="25"/>
      <c r="AQ46" s="25"/>
    </row>
    <row r="47" spans="3:43" ht="15" customHeight="1">
      <c r="C47" s="1" t="s">
        <v>586</v>
      </c>
      <c r="V47"/>
      <c r="W47"/>
      <c r="AA47" s="25"/>
      <c r="AB47" s="25"/>
      <c r="AC47" s="25"/>
      <c r="AD47" s="25"/>
      <c r="AE47" s="25"/>
      <c r="AF47" s="25"/>
      <c r="AG47" s="25"/>
      <c r="AH47" s="25"/>
      <c r="AI47" s="25"/>
      <c r="AJ47" s="25"/>
      <c r="AK47" s="25"/>
      <c r="AL47" s="25"/>
      <c r="AM47" s="25"/>
      <c r="AN47" s="25"/>
      <c r="AO47" s="25"/>
      <c r="AP47" s="25"/>
      <c r="AQ47" s="25"/>
    </row>
    <row r="48" spans="3:43" ht="15" customHeight="1">
      <c r="C48" s="1" t="s">
        <v>587</v>
      </c>
      <c r="V48"/>
      <c r="W48"/>
      <c r="AA48" s="25"/>
      <c r="AB48" s="25"/>
      <c r="AC48" s="25"/>
      <c r="AD48" s="25"/>
      <c r="AE48" s="25"/>
      <c r="AF48" s="25"/>
      <c r="AG48" s="25"/>
      <c r="AH48" s="25"/>
      <c r="AI48" s="25"/>
      <c r="AJ48" s="25"/>
      <c r="AK48" s="25"/>
      <c r="AL48" s="25"/>
      <c r="AM48" s="25"/>
      <c r="AN48" s="25"/>
      <c r="AO48" s="25"/>
      <c r="AP48" s="25"/>
      <c r="AQ48" s="25"/>
    </row>
    <row r="49" spans="22:43" ht="15" customHeight="1">
      <c r="V49"/>
      <c r="W49"/>
      <c r="AA49" s="25"/>
      <c r="AB49" s="25"/>
      <c r="AC49" s="25"/>
      <c r="AD49" s="25"/>
      <c r="AE49" s="25"/>
      <c r="AF49" s="25"/>
      <c r="AG49" s="25"/>
      <c r="AH49" s="25"/>
      <c r="AI49" s="25"/>
      <c r="AJ49" s="25"/>
      <c r="AK49" s="25"/>
      <c r="AL49" s="25"/>
      <c r="AM49" s="25"/>
      <c r="AN49" s="25"/>
      <c r="AO49" s="25"/>
      <c r="AP49" s="25"/>
      <c r="AQ49" s="25"/>
    </row>
    <row r="50" spans="22:43" ht="15" customHeight="1">
      <c r="V50"/>
      <c r="W50"/>
      <c r="AA50" s="25"/>
      <c r="AB50" s="25"/>
      <c r="AC50" s="25"/>
      <c r="AD50" s="25"/>
      <c r="AE50" s="25"/>
      <c r="AF50" s="25"/>
      <c r="AG50" s="25"/>
      <c r="AH50" s="25"/>
      <c r="AI50" s="25"/>
      <c r="AJ50" s="25"/>
      <c r="AK50" s="25"/>
      <c r="AL50" s="25"/>
      <c r="AM50" s="25"/>
      <c r="AN50" s="25"/>
      <c r="AO50" s="25"/>
      <c r="AP50" s="25"/>
      <c r="AQ50" s="25"/>
    </row>
    <row r="51" spans="22:43" ht="15" customHeight="1">
      <c r="V51"/>
      <c r="W51"/>
      <c r="AA51" s="25"/>
      <c r="AB51" s="25"/>
      <c r="AC51" s="25"/>
      <c r="AD51" s="25"/>
      <c r="AE51" s="25"/>
      <c r="AF51" s="25"/>
      <c r="AG51" s="25"/>
      <c r="AH51" s="25"/>
      <c r="AI51" s="25"/>
      <c r="AJ51" s="25"/>
      <c r="AK51" s="25"/>
      <c r="AL51" s="25"/>
      <c r="AM51" s="25"/>
      <c r="AN51" s="25"/>
      <c r="AO51" s="25"/>
      <c r="AP51" s="25"/>
      <c r="AQ51" s="25"/>
    </row>
    <row r="52" spans="22:43" ht="15" customHeight="1">
      <c r="V52"/>
      <c r="W52"/>
      <c r="AA52" s="25"/>
      <c r="AB52" s="25"/>
      <c r="AC52" s="25"/>
      <c r="AD52" s="25"/>
      <c r="AE52" s="25"/>
      <c r="AF52" s="25"/>
      <c r="AG52" s="25"/>
      <c r="AH52" s="25"/>
      <c r="AI52" s="25"/>
      <c r="AJ52" s="25"/>
      <c r="AK52" s="25"/>
      <c r="AL52" s="25"/>
      <c r="AM52" s="25"/>
      <c r="AN52" s="25"/>
      <c r="AO52" s="25"/>
      <c r="AP52" s="25"/>
      <c r="AQ52" s="25"/>
    </row>
    <row r="53" spans="22:43" ht="15" customHeight="1">
      <c r="V53"/>
      <c r="W53"/>
      <c r="AA53" s="25"/>
      <c r="AB53" s="25"/>
      <c r="AC53" s="25"/>
      <c r="AD53" s="25"/>
      <c r="AE53" s="25"/>
      <c r="AF53" s="25"/>
      <c r="AG53" s="25"/>
      <c r="AH53" s="25"/>
      <c r="AI53" s="25"/>
      <c r="AJ53" s="25"/>
      <c r="AK53" s="25"/>
      <c r="AL53" s="25"/>
      <c r="AM53" s="25"/>
      <c r="AN53" s="25"/>
      <c r="AO53" s="25"/>
      <c r="AP53" s="25"/>
      <c r="AQ53" s="25"/>
    </row>
    <row r="54" spans="22:43" ht="15" customHeight="1">
      <c r="V54" s="896"/>
      <c r="W54" s="897"/>
      <c r="AA54" s="25"/>
      <c r="AB54" s="25"/>
      <c r="AC54" s="25"/>
      <c r="AD54" s="25"/>
      <c r="AE54" s="25"/>
      <c r="AF54" s="25"/>
      <c r="AG54" s="25"/>
      <c r="AH54" s="25"/>
      <c r="AI54" s="25"/>
      <c r="AJ54" s="25"/>
      <c r="AK54" s="25"/>
      <c r="AL54" s="25"/>
      <c r="AM54" s="25"/>
      <c r="AN54" s="25"/>
      <c r="AO54" s="25"/>
      <c r="AP54" s="25"/>
      <c r="AQ54" s="25"/>
    </row>
    <row r="55" spans="22:43" ht="15" customHeight="1">
      <c r="V55" s="897"/>
      <c r="W55" s="897"/>
    </row>
    <row r="56" spans="22:43" ht="15" customHeight="1">
      <c r="V56" s="896"/>
      <c r="W56" s="897"/>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Y75"/>
  <sheetViews>
    <sheetView showGridLines="0" topLeftCell="A2" zoomScale="85" zoomScaleNormal="85" workbookViewId="0">
      <pane xSplit="3" ySplit="8" topLeftCell="AE49" activePane="bottomRight" state="frozen"/>
      <selection pane="bottomRight" activeCell="AF30" sqref="AF30"/>
      <selection pane="bottomLeft" activeCell="U40" sqref="U40"/>
      <selection pane="topRight" activeCell="U40" sqref="U40"/>
    </sheetView>
  </sheetViews>
  <sheetFormatPr defaultColWidth="9" defaultRowHeight="14.25" customHeight="1" outlineLevelCol="1"/>
  <cols>
    <col min="1" max="1" width="2.125" style="96" customWidth="1"/>
    <col min="2" max="2" width="50.625" style="96" customWidth="1"/>
    <col min="3" max="3" width="3.375" style="23" customWidth="1"/>
    <col min="4" max="6" width="9.625" style="96" customWidth="1" outlineLevel="1"/>
    <col min="7" max="7" width="10.5" style="96" customWidth="1" outlineLevel="1"/>
    <col min="8" max="8" width="11.625" style="96" customWidth="1"/>
    <col min="9" max="9" width="1.625" style="23" customWidth="1"/>
    <col min="10" max="12" width="9.625" style="96" customWidth="1" outlineLevel="1"/>
    <col min="13" max="13" width="11.5" style="96" customWidth="1" outlineLevel="1"/>
    <col min="14" max="14" width="11.625" style="96" customWidth="1"/>
    <col min="15" max="15" width="1.625" style="23" customWidth="1"/>
    <col min="16" max="18" width="9.625" style="96" customWidth="1" outlineLevel="1"/>
    <col min="19" max="19" width="10.25" style="96" customWidth="1" outlineLevel="1"/>
    <col min="20" max="20" width="11.625" style="96" customWidth="1"/>
    <col min="21" max="21" width="1.625" style="23" customWidth="1"/>
    <col min="22" max="25" width="9.625" style="96" customWidth="1" outlineLevel="1"/>
    <col min="26" max="26" width="11.625" style="96" customWidth="1"/>
    <col min="27" max="27" width="1.625" style="23" customWidth="1"/>
    <col min="28" max="31" width="9.625" style="96" customWidth="1" outlineLevel="1"/>
    <col min="32" max="32" width="11.625" style="96" customWidth="1"/>
    <col min="33" max="33" width="1.625" style="23" customWidth="1"/>
    <col min="34" max="37" width="9.625" style="96" customWidth="1" outlineLevel="1"/>
    <col min="38" max="38" width="11.625" style="96" customWidth="1"/>
    <col min="39" max="39" width="1.625" style="23" customWidth="1"/>
    <col min="40" max="43" width="9.625" style="96" customWidth="1" outlineLevel="1"/>
    <col min="44" max="44" width="11.625" style="96" customWidth="1"/>
    <col min="45" max="45" width="1.625" style="23" customWidth="1"/>
    <col min="46" max="46" width="11.625" style="96" customWidth="1"/>
    <col min="47" max="47" width="1.625" style="23" customWidth="1"/>
    <col min="48" max="48" width="11.625" style="103" customWidth="1"/>
    <col min="49" max="49" width="1.625" style="23" customWidth="1"/>
    <col min="50" max="50" width="11.625" style="96" customWidth="1"/>
    <col min="51" max="51" width="1.625" style="96" customWidth="1"/>
    <col min="52" max="16384" width="9" style="96"/>
  </cols>
  <sheetData>
    <row r="1" spans="2:51" s="574" customFormat="1" ht="15" customHeight="1"/>
    <row r="2" spans="2:51" s="574" customFormat="1" ht="15" customHeight="1"/>
    <row r="3" spans="2:51" s="574" customFormat="1" ht="15" customHeight="1"/>
    <row r="4" spans="2:51" s="574" customFormat="1" ht="15" customHeight="1"/>
    <row r="5" spans="2:51" s="286" customFormat="1" ht="3.95" customHeight="1">
      <c r="C5" s="36"/>
      <c r="I5" s="36"/>
      <c r="O5" s="36"/>
      <c r="U5" s="36"/>
      <c r="AA5" s="36"/>
      <c r="AG5" s="36"/>
      <c r="AM5" s="36"/>
      <c r="AS5" s="36"/>
      <c r="AU5" s="36"/>
      <c r="AV5" s="287"/>
      <c r="AW5" s="36"/>
    </row>
    <row r="7" spans="2:51" s="41" customFormat="1" ht="15" customHeight="1">
      <c r="B7" s="159" t="s">
        <v>445</v>
      </c>
      <c r="C7" s="18"/>
      <c r="D7" s="200">
        <v>2020</v>
      </c>
      <c r="E7" s="200">
        <v>2020</v>
      </c>
      <c r="F7" s="200">
        <v>2020</v>
      </c>
      <c r="G7" s="200">
        <v>2020</v>
      </c>
      <c r="H7" s="200">
        <v>2020</v>
      </c>
      <c r="I7" s="18"/>
      <c r="J7" s="200">
        <v>2021</v>
      </c>
      <c r="K7" s="200">
        <v>2021</v>
      </c>
      <c r="L7" s="200">
        <v>2021</v>
      </c>
      <c r="M7" s="200">
        <v>2021</v>
      </c>
      <c r="N7" s="200">
        <v>2021</v>
      </c>
      <c r="O7" s="167"/>
      <c r="P7" s="200">
        <v>2022</v>
      </c>
      <c r="Q7" s="200">
        <v>2022</v>
      </c>
      <c r="R7" s="200">
        <v>2022</v>
      </c>
      <c r="S7" s="200">
        <v>2022</v>
      </c>
      <c r="T7" s="200">
        <v>2022</v>
      </c>
      <c r="U7" s="167"/>
      <c r="V7" s="200">
        <v>2023</v>
      </c>
      <c r="W7" s="200">
        <v>2023</v>
      </c>
      <c r="X7" s="200">
        <v>2023</v>
      </c>
      <c r="Y7" s="200">
        <v>2023</v>
      </c>
      <c r="Z7" s="200">
        <v>2023</v>
      </c>
      <c r="AA7" s="168"/>
      <c r="AB7" s="200">
        <v>2024</v>
      </c>
      <c r="AC7" s="200">
        <v>2024</v>
      </c>
      <c r="AD7" s="200">
        <v>2024</v>
      </c>
      <c r="AE7" s="200">
        <v>2024</v>
      </c>
      <c r="AF7" s="200">
        <v>2024</v>
      </c>
      <c r="AG7" s="168"/>
      <c r="AH7" s="200">
        <v>2025</v>
      </c>
      <c r="AI7" s="200">
        <v>2025</v>
      </c>
      <c r="AJ7" s="201">
        <v>2025</v>
      </c>
      <c r="AK7" s="200">
        <v>2025</v>
      </c>
      <c r="AL7" s="200">
        <v>2025</v>
      </c>
      <c r="AM7" s="169"/>
      <c r="AN7" s="200">
        <v>2025</v>
      </c>
      <c r="AO7" s="200">
        <v>2025</v>
      </c>
      <c r="AP7" s="201">
        <v>2025</v>
      </c>
      <c r="AQ7" s="200">
        <v>2025</v>
      </c>
      <c r="AR7" s="200">
        <v>2025</v>
      </c>
      <c r="AS7" s="18"/>
      <c r="AT7" s="160"/>
      <c r="AU7" s="18"/>
      <c r="AV7" s="161"/>
      <c r="AW7" s="18"/>
      <c r="AX7" s="161"/>
    </row>
    <row r="8" spans="2:51" s="41" customFormat="1" ht="15" customHeight="1">
      <c r="B8" s="162"/>
      <c r="C8" s="18"/>
      <c r="D8" s="950">
        <v>2020</v>
      </c>
      <c r="E8" s="950"/>
      <c r="F8" s="950"/>
      <c r="G8" s="950"/>
      <c r="H8" s="950"/>
      <c r="I8" s="167"/>
      <c r="J8" s="950">
        <v>2021</v>
      </c>
      <c r="K8" s="950"/>
      <c r="L8" s="950"/>
      <c r="M8" s="950"/>
      <c r="N8" s="950"/>
      <c r="O8" s="167"/>
      <c r="P8" s="950">
        <v>2022</v>
      </c>
      <c r="Q8" s="950"/>
      <c r="R8" s="950"/>
      <c r="S8" s="950"/>
      <c r="T8" s="950"/>
      <c r="U8" s="167"/>
      <c r="V8" s="950">
        <v>2023</v>
      </c>
      <c r="W8" s="950"/>
      <c r="X8" s="950"/>
      <c r="Y8" s="950"/>
      <c r="Z8" s="950"/>
      <c r="AA8" s="167"/>
      <c r="AB8" s="950">
        <v>2024</v>
      </c>
      <c r="AC8" s="950"/>
      <c r="AD8" s="950"/>
      <c r="AE8" s="950"/>
      <c r="AF8" s="950"/>
      <c r="AG8" s="167"/>
      <c r="AH8" s="949">
        <v>2025</v>
      </c>
      <c r="AI8" s="949"/>
      <c r="AJ8" s="949"/>
      <c r="AK8" s="949"/>
      <c r="AL8" s="949"/>
      <c r="AM8" s="167"/>
      <c r="AN8" s="949">
        <v>2026</v>
      </c>
      <c r="AO8" s="949"/>
      <c r="AP8" s="949"/>
      <c r="AQ8" s="949"/>
      <c r="AR8" s="949"/>
      <c r="AS8" s="169"/>
      <c r="AT8" s="164">
        <v>2027</v>
      </c>
      <c r="AU8" s="165"/>
      <c r="AV8" s="164">
        <v>2028</v>
      </c>
      <c r="AW8" s="165"/>
      <c r="AX8" s="164">
        <v>2029</v>
      </c>
    </row>
    <row r="9" spans="2:51" s="41" customFormat="1" ht="14.25" customHeight="1">
      <c r="B9" s="162"/>
      <c r="C9" s="18"/>
      <c r="D9" s="166" t="s">
        <v>197</v>
      </c>
      <c r="E9" s="166" t="s">
        <v>198</v>
      </c>
      <c r="F9" s="166" t="s">
        <v>199</v>
      </c>
      <c r="G9" s="166" t="s">
        <v>200</v>
      </c>
      <c r="H9" s="166" t="s">
        <v>201</v>
      </c>
      <c r="I9" s="18"/>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197</v>
      </c>
      <c r="AI9" s="166" t="s">
        <v>198</v>
      </c>
      <c r="AJ9" s="166" t="s">
        <v>199</v>
      </c>
      <c r="AK9" s="166" t="s">
        <v>200</v>
      </c>
      <c r="AL9" s="166" t="s">
        <v>201</v>
      </c>
      <c r="AM9" s="163"/>
      <c r="AN9" s="166" t="s">
        <v>197</v>
      </c>
      <c r="AO9" s="166" t="s">
        <v>198</v>
      </c>
      <c r="AP9" s="166" t="s">
        <v>199</v>
      </c>
      <c r="AQ9" s="166" t="s">
        <v>200</v>
      </c>
      <c r="AR9" s="166" t="s">
        <v>201</v>
      </c>
      <c r="AS9" s="163"/>
      <c r="AT9" s="166" t="s">
        <v>201</v>
      </c>
      <c r="AU9" s="163"/>
      <c r="AV9" s="166" t="s">
        <v>201</v>
      </c>
      <c r="AW9" s="163"/>
      <c r="AX9" s="166" t="s">
        <v>201</v>
      </c>
    </row>
    <row r="10" spans="2:51" s="41" customFormat="1" ht="3.95" customHeight="1">
      <c r="B10" s="174"/>
      <c r="C10" s="35"/>
      <c r="D10" s="175"/>
      <c r="E10" s="175"/>
      <c r="F10" s="175"/>
      <c r="G10" s="175"/>
      <c r="H10" s="175"/>
      <c r="I10" s="35"/>
      <c r="J10" s="175"/>
      <c r="K10" s="175"/>
      <c r="L10" s="175"/>
      <c r="M10" s="175"/>
      <c r="N10" s="175"/>
      <c r="O10" s="176"/>
      <c r="P10" s="175"/>
      <c r="Q10" s="175"/>
      <c r="R10" s="175"/>
      <c r="S10" s="175"/>
      <c r="T10" s="175"/>
      <c r="U10" s="176"/>
      <c r="V10" s="175"/>
      <c r="W10" s="175"/>
      <c r="X10" s="175"/>
      <c r="Y10" s="175"/>
      <c r="Z10" s="175"/>
      <c r="AA10" s="176"/>
      <c r="AB10" s="175"/>
      <c r="AC10" s="175"/>
      <c r="AD10" s="175"/>
      <c r="AE10" s="175"/>
      <c r="AF10" s="175"/>
      <c r="AG10" s="176"/>
      <c r="AH10" s="175"/>
      <c r="AI10" s="175"/>
      <c r="AJ10" s="175"/>
      <c r="AK10" s="175"/>
      <c r="AL10" s="177"/>
      <c r="AM10" s="178"/>
      <c r="AN10" s="177"/>
      <c r="AO10" s="177"/>
      <c r="AP10" s="177"/>
      <c r="AQ10" s="177"/>
      <c r="AR10" s="177"/>
      <c r="AS10" s="178"/>
      <c r="AT10" s="177"/>
      <c r="AU10" s="178"/>
      <c r="AV10" s="177"/>
      <c r="AW10" s="178"/>
      <c r="AX10" s="177"/>
    </row>
    <row r="11" spans="2:51" s="41" customFormat="1" ht="3.95" customHeight="1">
      <c r="B11" s="170"/>
      <c r="C11" s="19"/>
      <c r="D11" s="171"/>
      <c r="E11" s="171"/>
      <c r="F11" s="171"/>
      <c r="G11" s="171"/>
      <c r="H11" s="171"/>
      <c r="I11" s="19"/>
      <c r="J11" s="171"/>
      <c r="K11" s="171"/>
      <c r="L11" s="171"/>
      <c r="M11" s="171"/>
      <c r="N11" s="171"/>
      <c r="O11" s="172"/>
      <c r="P11" s="171"/>
      <c r="Q11" s="171"/>
      <c r="R11" s="171"/>
      <c r="S11" s="171"/>
      <c r="T11" s="171"/>
      <c r="U11" s="172"/>
      <c r="V11" s="171"/>
      <c r="W11" s="171"/>
      <c r="X11" s="171"/>
      <c r="Y11" s="171"/>
      <c r="Z11" s="171"/>
      <c r="AA11" s="172"/>
      <c r="AB11" s="171"/>
      <c r="AC11" s="171"/>
      <c r="AD11" s="171"/>
      <c r="AE11" s="171"/>
      <c r="AF11" s="171"/>
      <c r="AG11" s="202"/>
      <c r="AH11" s="171"/>
      <c r="AI11" s="171"/>
      <c r="AJ11" s="171"/>
      <c r="AK11" s="171"/>
      <c r="AL11" s="173"/>
      <c r="AM11" s="34"/>
      <c r="AN11" s="173"/>
      <c r="AO11" s="173"/>
      <c r="AP11" s="173"/>
      <c r="AQ11" s="173"/>
      <c r="AR11" s="173"/>
      <c r="AS11" s="34"/>
      <c r="AT11" s="173"/>
      <c r="AU11" s="34"/>
      <c r="AV11" s="173"/>
      <c r="AW11" s="34"/>
      <c r="AX11" s="173"/>
    </row>
    <row r="12" spans="2:51" s="54" customFormat="1" ht="14.25" customHeight="1">
      <c r="B12" s="45" t="s">
        <v>588</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1" s="54" customFormat="1" ht="14.25" customHeight="1">
      <c r="B13" s="56" t="s">
        <v>204</v>
      </c>
      <c r="C13" s="23"/>
      <c r="D13" s="50"/>
      <c r="E13" s="50"/>
      <c r="F13" s="50"/>
      <c r="G13" s="50"/>
      <c r="H13" s="52">
        <v>12513</v>
      </c>
      <c r="I13" s="48"/>
      <c r="J13" s="50"/>
      <c r="K13" s="50"/>
      <c r="L13" s="50"/>
      <c r="M13" s="50"/>
      <c r="N13" s="52">
        <v>11799</v>
      </c>
      <c r="O13" s="47"/>
      <c r="P13" s="50">
        <v>3799</v>
      </c>
      <c r="Q13" s="718">
        <v>4345</v>
      </c>
      <c r="R13" s="718">
        <v>4263</v>
      </c>
      <c r="S13" s="718">
        <v>4845</v>
      </c>
      <c r="T13" s="719">
        <v>17252</v>
      </c>
      <c r="U13" s="52"/>
      <c r="V13" s="718">
        <v>5383</v>
      </c>
      <c r="W13" s="718">
        <v>6445</v>
      </c>
      <c r="X13" s="718">
        <v>4847</v>
      </c>
      <c r="Y13" s="718">
        <v>5228</v>
      </c>
      <c r="Z13" s="719">
        <v>21903</v>
      </c>
      <c r="AA13" s="52"/>
      <c r="AB13" s="718">
        <v>5301</v>
      </c>
      <c r="AC13" s="718">
        <v>5429</v>
      </c>
      <c r="AD13" s="718">
        <v>6314</v>
      </c>
      <c r="AE13" s="718">
        <v>6552</v>
      </c>
      <c r="AF13" s="719">
        <v>23596</v>
      </c>
      <c r="AG13" s="721"/>
      <c r="AH13" s="718">
        <f t="shared" ref="AH13:AM13" si="0">0.1329*AH18</f>
        <v>6092.9333999999999</v>
      </c>
      <c r="AI13" s="722">
        <f t="shared" si="0"/>
        <v>8505.2012999999988</v>
      </c>
      <c r="AJ13" s="50">
        <f>0.14*AJ18</f>
        <v>8141.6440000000002</v>
      </c>
      <c r="AK13" s="50">
        <f>0.145*AK18</f>
        <v>11757.962999999998</v>
      </c>
      <c r="AL13" s="858">
        <f>SUM(AH13:AK13)</f>
        <v>34497.741699999999</v>
      </c>
      <c r="AM13" s="50">
        <f t="shared" si="0"/>
        <v>0</v>
      </c>
      <c r="AN13" s="50">
        <f>0.155*AN18</f>
        <v>9967.4705788739011</v>
      </c>
      <c r="AO13" s="50">
        <f>0.165*AO18</f>
        <v>10610.533196865767</v>
      </c>
      <c r="AP13" s="50">
        <f>0.175*AP18</f>
        <v>11428.595814857636</v>
      </c>
      <c r="AQ13" s="50">
        <f>0.18*AQ18</f>
        <v>11395.127123853568</v>
      </c>
      <c r="AR13" s="50">
        <f>SUM(AN13:AQ13)</f>
        <v>43401.726714450873</v>
      </c>
      <c r="AS13" s="50">
        <f t="shared" ref="AS13:AW13" si="1">(0.1329-0.01)*AS18</f>
        <v>0</v>
      </c>
      <c r="AT13" s="50">
        <f>0.19*AT18</f>
        <v>53812.75</v>
      </c>
      <c r="AU13" s="50">
        <f t="shared" si="1"/>
        <v>0</v>
      </c>
      <c r="AV13" s="50">
        <f>0.2*AV18</f>
        <v>62636.800000000003</v>
      </c>
      <c r="AW13" s="50">
        <f t="shared" si="1"/>
        <v>0</v>
      </c>
      <c r="AX13" s="50">
        <f>0.21*AX18</f>
        <v>71316.84</v>
      </c>
    </row>
    <row r="14" spans="2:51" s="54" customFormat="1" ht="14.25" customHeight="1">
      <c r="B14" s="56" t="s">
        <v>205</v>
      </c>
      <c r="C14" s="23"/>
      <c r="D14" s="50"/>
      <c r="E14" s="50"/>
      <c r="F14" s="50"/>
      <c r="G14" s="50"/>
      <c r="H14" s="52">
        <v>24451</v>
      </c>
      <c r="I14" s="48"/>
      <c r="J14" s="50"/>
      <c r="K14" s="50"/>
      <c r="L14" s="50"/>
      <c r="M14" s="50"/>
      <c r="N14" s="52">
        <v>8417</v>
      </c>
      <c r="O14" s="47"/>
      <c r="P14" s="50">
        <v>7737</v>
      </c>
      <c r="Q14" s="50">
        <v>7647</v>
      </c>
      <c r="R14" s="50">
        <v>7466</v>
      </c>
      <c r="S14" s="50">
        <v>7646</v>
      </c>
      <c r="T14" s="719">
        <v>30496</v>
      </c>
      <c r="U14" s="717">
        <v>7690</v>
      </c>
      <c r="V14" s="718">
        <v>7690</v>
      </c>
      <c r="W14" s="718">
        <v>7832</v>
      </c>
      <c r="X14" s="718">
        <v>7788</v>
      </c>
      <c r="Y14" s="718">
        <v>7804</v>
      </c>
      <c r="Z14" s="52">
        <v>31114</v>
      </c>
      <c r="AA14" s="52"/>
      <c r="AB14" s="50">
        <v>7785</v>
      </c>
      <c r="AC14" s="50">
        <v>7733</v>
      </c>
      <c r="AD14" s="50">
        <v>8071</v>
      </c>
      <c r="AE14" s="50">
        <v>8466</v>
      </c>
      <c r="AF14" s="52">
        <v>32055</v>
      </c>
      <c r="AG14" s="536"/>
      <c r="AH14" s="50">
        <f t="shared" ref="AH14:AM14" si="2">0.1902*AH18</f>
        <v>8719.9092000000001</v>
      </c>
      <c r="AI14" s="50">
        <f t="shared" si="2"/>
        <v>12172.2294</v>
      </c>
      <c r="AJ14" s="50">
        <f>0.195*AJ18</f>
        <v>11340.147000000001</v>
      </c>
      <c r="AK14" s="50">
        <f>0.2*AK18</f>
        <v>16217.88</v>
      </c>
      <c r="AL14" s="858">
        <f t="shared" ref="AL14:AL17" si="3">SUM(AH14:AK14)</f>
        <v>48450.1656</v>
      </c>
      <c r="AM14" s="50">
        <f t="shared" si="2"/>
        <v>0</v>
      </c>
      <c r="AN14" s="50">
        <f>0.21*AN18</f>
        <v>13504.314977829155</v>
      </c>
      <c r="AO14" s="50">
        <f>0.22*AO18</f>
        <v>14147.377595821021</v>
      </c>
      <c r="AP14" s="50">
        <f>0.23*AP18</f>
        <v>15020.440213812895</v>
      </c>
      <c r="AQ14" s="50">
        <f>(0.235*AQ18)</f>
        <v>14876.971522808826</v>
      </c>
      <c r="AR14" s="50">
        <f t="shared" ref="AR14:AR17" si="4">SUM(AN14:AQ14)</f>
        <v>57549.104310271898</v>
      </c>
      <c r="AS14" s="50">
        <f t="shared" ref="AS14:AW14" si="5">(0.1902-0.04)*AS18</f>
        <v>0</v>
      </c>
      <c r="AT14" s="50">
        <f>0.245*AT18</f>
        <v>69390.125</v>
      </c>
      <c r="AU14" s="50">
        <f t="shared" si="5"/>
        <v>0</v>
      </c>
      <c r="AV14" s="50">
        <f>0.25*AV18</f>
        <v>78296</v>
      </c>
      <c r="AW14" s="50">
        <f t="shared" si="5"/>
        <v>0</v>
      </c>
      <c r="AX14" s="50">
        <f>0.255*AX18</f>
        <v>86599.02</v>
      </c>
    </row>
    <row r="15" spans="2:51" s="54" customFormat="1" ht="14.25" customHeight="1">
      <c r="B15" s="56" t="s">
        <v>206</v>
      </c>
      <c r="C15" s="23"/>
      <c r="D15" s="50"/>
      <c r="E15" s="50"/>
      <c r="F15" s="50"/>
      <c r="G15" s="50"/>
      <c r="H15" s="52">
        <v>31749</v>
      </c>
      <c r="I15" s="48"/>
      <c r="J15" s="50"/>
      <c r="K15" s="50"/>
      <c r="L15" s="50"/>
      <c r="M15" s="50"/>
      <c r="N15" s="52">
        <v>37328</v>
      </c>
      <c r="O15" s="47"/>
      <c r="P15" s="50">
        <v>15286</v>
      </c>
      <c r="Q15" s="50">
        <v>12965</v>
      </c>
      <c r="R15" s="50">
        <v>13301</v>
      </c>
      <c r="S15" s="50">
        <v>14842</v>
      </c>
      <c r="T15" s="720">
        <v>56394</v>
      </c>
      <c r="U15" s="52"/>
      <c r="V15" s="50">
        <v>12871</v>
      </c>
      <c r="W15" s="50">
        <v>12671</v>
      </c>
      <c r="X15" s="50">
        <v>14359</v>
      </c>
      <c r="Y15" s="50">
        <v>15805</v>
      </c>
      <c r="Z15" s="52">
        <v>55706</v>
      </c>
      <c r="AA15" s="52"/>
      <c r="AB15" s="50">
        <v>14831</v>
      </c>
      <c r="AC15" s="50">
        <v>14262</v>
      </c>
      <c r="AD15" s="50">
        <v>14908</v>
      </c>
      <c r="AE15" s="50">
        <v>17113</v>
      </c>
      <c r="AF15" s="52">
        <v>61114</v>
      </c>
      <c r="AG15" s="536"/>
      <c r="AH15" s="50">
        <f t="shared" ref="AH15:AM15" si="6">0.3596*AH18</f>
        <v>16486.221599999997</v>
      </c>
      <c r="AI15" s="50">
        <f t="shared" si="6"/>
        <v>23013.321199999998</v>
      </c>
      <c r="AJ15" s="50">
        <f>0.355*AJ18</f>
        <v>20644.882999999998</v>
      </c>
      <c r="AK15" s="50">
        <f>0.35*AK18</f>
        <v>28381.289999999997</v>
      </c>
      <c r="AL15" s="858">
        <f t="shared" si="3"/>
        <v>88525.715799999991</v>
      </c>
      <c r="AM15" s="50">
        <f t="shared" si="6"/>
        <v>0</v>
      </c>
      <c r="AN15" s="50">
        <f>0.345*AN18</f>
        <v>22185.660320719326</v>
      </c>
      <c r="AO15" s="50">
        <f>0.34*AO18</f>
        <v>21864.129011723398</v>
      </c>
      <c r="AP15" s="50">
        <f>0.335*AP18</f>
        <v>21877.597702727478</v>
      </c>
      <c r="AQ15" s="50">
        <f>0.33*AQ18</f>
        <v>20891.066393731544</v>
      </c>
      <c r="AR15" s="50">
        <f t="shared" si="4"/>
        <v>86818.453428901747</v>
      </c>
      <c r="AS15" s="50">
        <f t="shared" ref="AS15:AW15" si="7">(0.3596+0.06)*AS18</f>
        <v>0</v>
      </c>
      <c r="AT15" s="50">
        <f>0.325*AT18</f>
        <v>92048.125</v>
      </c>
      <c r="AU15" s="50">
        <f t="shared" si="7"/>
        <v>0</v>
      </c>
      <c r="AV15" s="50">
        <f>0.32*AV18</f>
        <v>100218.88</v>
      </c>
      <c r="AW15" s="50">
        <f t="shared" si="7"/>
        <v>0</v>
      </c>
      <c r="AX15" s="50">
        <f>0.315*AX18</f>
        <v>106975.26</v>
      </c>
    </row>
    <row r="16" spans="2:51" s="54" customFormat="1" ht="14.25" customHeight="1">
      <c r="B16" s="56" t="s">
        <v>207</v>
      </c>
      <c r="C16" s="23"/>
      <c r="D16" s="50"/>
      <c r="E16" s="50"/>
      <c r="F16" s="50"/>
      <c r="G16" s="50"/>
      <c r="H16" s="58">
        <v>8620</v>
      </c>
      <c r="I16" s="48"/>
      <c r="J16" s="50"/>
      <c r="K16" s="50"/>
      <c r="L16" s="50"/>
      <c r="M16" s="50"/>
      <c r="N16" s="58">
        <v>30358</v>
      </c>
      <c r="O16" s="57"/>
      <c r="P16" s="50">
        <v>9452</v>
      </c>
      <c r="Q16" s="50">
        <v>10696</v>
      </c>
      <c r="R16" s="50">
        <v>10820</v>
      </c>
      <c r="S16" s="50">
        <v>11947</v>
      </c>
      <c r="T16" s="58">
        <v>42915</v>
      </c>
      <c r="U16" s="57"/>
      <c r="V16" s="50">
        <v>11741</v>
      </c>
      <c r="W16" s="50">
        <v>12755</v>
      </c>
      <c r="X16" s="50">
        <v>13022</v>
      </c>
      <c r="Y16" s="50">
        <v>12095</v>
      </c>
      <c r="Z16" s="58">
        <v>49613</v>
      </c>
      <c r="AA16" s="57"/>
      <c r="AB16" s="50">
        <v>11281</v>
      </c>
      <c r="AC16" s="50">
        <v>13239</v>
      </c>
      <c r="AD16" s="50">
        <v>13432</v>
      </c>
      <c r="AE16" s="50">
        <v>13363</v>
      </c>
      <c r="AF16" s="58">
        <v>51315</v>
      </c>
      <c r="AG16" s="49"/>
      <c r="AH16" s="50">
        <f t="shared" ref="AH16:AM16" si="8">0.2961*AH18</f>
        <v>13575.000599999999</v>
      </c>
      <c r="AI16" s="50">
        <f t="shared" si="8"/>
        <v>18949.511699999999</v>
      </c>
      <c r="AJ16" s="50">
        <f>0.28*AJ18</f>
        <v>16283.288</v>
      </c>
      <c r="AK16" s="50">
        <f>0.285*AK18</f>
        <v>23110.478999999996</v>
      </c>
      <c r="AL16" s="858">
        <f t="shared" si="3"/>
        <v>71918.279299999995</v>
      </c>
      <c r="AM16" s="50">
        <f t="shared" si="8"/>
        <v>0</v>
      </c>
      <c r="AN16" s="50">
        <f>0.27*AN18</f>
        <v>17362.690685780344</v>
      </c>
      <c r="AO16" s="50">
        <f>0.26*AO18</f>
        <v>16719.628067788479</v>
      </c>
      <c r="AP16" s="50">
        <f>0.25*AP18</f>
        <v>16326.565449796624</v>
      </c>
      <c r="AQ16" s="50">
        <f>0.245*AQ18</f>
        <v>15510.034140800692</v>
      </c>
      <c r="AR16" s="50">
        <f t="shared" si="4"/>
        <v>65918.91834416613</v>
      </c>
      <c r="AS16" s="50">
        <f t="shared" ref="AS16:AW16" si="9">(0.2961-0.01)*AS18</f>
        <v>0</v>
      </c>
      <c r="AT16" s="50">
        <f>0.23*AT18</f>
        <v>65141.75</v>
      </c>
      <c r="AU16" s="50">
        <f t="shared" si="9"/>
        <v>0</v>
      </c>
      <c r="AV16" s="50">
        <f>0.22*AV18</f>
        <v>68900.479999999996</v>
      </c>
      <c r="AW16" s="50">
        <f t="shared" si="9"/>
        <v>0</v>
      </c>
      <c r="AX16" s="50">
        <f>0.21*AX18</f>
        <v>71316.84</v>
      </c>
      <c r="AY16" s="50">
        <f t="shared" ref="AY16" si="10">(0.2961-0.01)*AY18</f>
        <v>0</v>
      </c>
    </row>
    <row r="17" spans="1:50" s="54" customFormat="1" ht="14.25" customHeight="1">
      <c r="A17" s="55"/>
      <c r="B17" s="56" t="s">
        <v>589</v>
      </c>
      <c r="C17" s="23"/>
      <c r="D17" s="50"/>
      <c r="E17" s="50"/>
      <c r="F17" s="50"/>
      <c r="G17" s="50"/>
      <c r="H17" s="58">
        <v>0</v>
      </c>
      <c r="I17" s="48"/>
      <c r="J17" s="50"/>
      <c r="K17" s="50"/>
      <c r="L17" s="50"/>
      <c r="M17" s="50"/>
      <c r="N17" s="58">
        <v>0</v>
      </c>
      <c r="O17" s="57"/>
      <c r="P17" s="50">
        <v>1139</v>
      </c>
      <c r="Q17" s="50">
        <v>1164</v>
      </c>
      <c r="R17" s="50">
        <v>1034</v>
      </c>
      <c r="S17" s="50">
        <v>1046</v>
      </c>
      <c r="T17" s="58">
        <v>4383</v>
      </c>
      <c r="U17" s="57"/>
      <c r="V17" s="50">
        <v>1037</v>
      </c>
      <c r="W17" s="50">
        <v>980</v>
      </c>
      <c r="X17" s="50">
        <v>995</v>
      </c>
      <c r="Y17" s="50">
        <v>997</v>
      </c>
      <c r="Z17" s="58">
        <v>4009</v>
      </c>
      <c r="AA17" s="57"/>
      <c r="AB17" s="50">
        <v>809</v>
      </c>
      <c r="AC17" s="50">
        <v>1187</v>
      </c>
      <c r="AD17" s="50">
        <v>1001</v>
      </c>
      <c r="AE17" s="50">
        <v>1099</v>
      </c>
      <c r="AF17" s="58">
        <v>4096</v>
      </c>
      <c r="AG17" s="49"/>
      <c r="AH17" s="50">
        <f>0.0212*AH18</f>
        <v>971.93520000000001</v>
      </c>
      <c r="AI17" s="50">
        <f t="shared" ref="AI17:AM17" si="11">0.0212*AI18</f>
        <v>1356.7364</v>
      </c>
      <c r="AJ17" s="50">
        <f>0.02*AJ18</f>
        <v>1163.0920000000001</v>
      </c>
      <c r="AK17" s="50">
        <f>0.02*AK18</f>
        <v>1621.788</v>
      </c>
      <c r="AL17" s="858">
        <f t="shared" si="3"/>
        <v>5113.5516000000007</v>
      </c>
      <c r="AM17" s="50">
        <f t="shared" si="11"/>
        <v>0</v>
      </c>
      <c r="AN17" s="50">
        <f>0.02*AN18</f>
        <v>1286.1252359837292</v>
      </c>
      <c r="AO17" s="50">
        <f t="shared" ref="AO17:AW17" si="12">0.02*AO18</f>
        <v>1286.1252359837292</v>
      </c>
      <c r="AP17" s="50">
        <f t="shared" si="12"/>
        <v>1306.1252359837299</v>
      </c>
      <c r="AQ17" s="50">
        <f t="shared" si="12"/>
        <v>1266.1252359837299</v>
      </c>
      <c r="AR17" s="50">
        <f t="shared" si="4"/>
        <v>5144.5009439349178</v>
      </c>
      <c r="AS17" s="50">
        <f t="shared" si="12"/>
        <v>0</v>
      </c>
      <c r="AT17" s="50">
        <f>0.019*AT18</f>
        <v>5381.2749999999996</v>
      </c>
      <c r="AU17" s="50">
        <f t="shared" si="12"/>
        <v>0</v>
      </c>
      <c r="AV17" s="50">
        <f>0.019*AV18</f>
        <v>5950.4960000000001</v>
      </c>
      <c r="AW17" s="50">
        <f t="shared" si="12"/>
        <v>0</v>
      </c>
      <c r="AX17" s="50">
        <f>0.019*AX18</f>
        <v>6452.4759999999997</v>
      </c>
    </row>
    <row r="18" spans="1:50" s="54" customFormat="1" ht="14.25" customHeight="1">
      <c r="A18" s="55"/>
      <c r="B18" s="59" t="s">
        <v>209</v>
      </c>
      <c r="C18" s="23"/>
      <c r="D18" s="60">
        <v>19810</v>
      </c>
      <c r="E18" s="60">
        <v>18309</v>
      </c>
      <c r="F18" s="60">
        <v>20789</v>
      </c>
      <c r="G18" s="60">
        <v>21861</v>
      </c>
      <c r="H18" s="61">
        <v>77333</v>
      </c>
      <c r="I18" s="48"/>
      <c r="J18" s="60">
        <v>19127</v>
      </c>
      <c r="K18" s="60">
        <v>17498</v>
      </c>
      <c r="L18" s="60">
        <v>22105</v>
      </c>
      <c r="M18" s="60">
        <v>47678</v>
      </c>
      <c r="N18" s="61">
        <v>87902</v>
      </c>
      <c r="O18" s="47"/>
      <c r="P18" s="60">
        <v>34134</v>
      </c>
      <c r="Q18" s="60">
        <v>34302</v>
      </c>
      <c r="R18" s="60">
        <v>34378</v>
      </c>
      <c r="S18" s="60">
        <v>38052</v>
      </c>
      <c r="T18" s="61">
        <v>140866</v>
      </c>
      <c r="U18" s="47"/>
      <c r="V18" s="60">
        <v>52729</v>
      </c>
      <c r="W18" s="60">
        <v>39112</v>
      </c>
      <c r="X18" s="60">
        <v>38430</v>
      </c>
      <c r="Y18" s="60">
        <v>23111</v>
      </c>
      <c r="Z18" s="61">
        <v>153382</v>
      </c>
      <c r="AA18" s="47"/>
      <c r="AB18" s="60">
        <v>37691</v>
      </c>
      <c r="AC18" s="60">
        <v>39774</v>
      </c>
      <c r="AD18" s="60">
        <v>41539</v>
      </c>
      <c r="AE18" s="60">
        <v>43978</v>
      </c>
      <c r="AF18" s="61">
        <v>162982</v>
      </c>
      <c r="AG18" s="49"/>
      <c r="AH18" s="60">
        <v>45846</v>
      </c>
      <c r="AI18" s="60">
        <v>63997</v>
      </c>
      <c r="AJ18" s="62">
        <v>58154.6</v>
      </c>
      <c r="AK18" s="62">
        <v>81089.399999999994</v>
      </c>
      <c r="AL18" s="723">
        <v>249087</v>
      </c>
      <c r="AM18" s="51"/>
      <c r="AN18" s="62">
        <v>64306.261799186461</v>
      </c>
      <c r="AO18" s="62">
        <v>64306.261799186461</v>
      </c>
      <c r="AP18" s="62">
        <v>65306.261799186497</v>
      </c>
      <c r="AQ18" s="62">
        <v>63306.261799186497</v>
      </c>
      <c r="AR18" s="723">
        <v>257225</v>
      </c>
      <c r="AS18" s="67"/>
      <c r="AT18" s="723">
        <v>283225</v>
      </c>
      <c r="AU18" s="69"/>
      <c r="AV18" s="723">
        <v>313184</v>
      </c>
      <c r="AW18" s="69"/>
      <c r="AX18" s="723">
        <v>339604</v>
      </c>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65"/>
      <c r="AI19" s="46"/>
      <c r="AJ19" s="50"/>
      <c r="AK19" s="50"/>
      <c r="AL19" s="720"/>
      <c r="AM19" s="51"/>
      <c r="AN19" s="50"/>
      <c r="AO19" s="50"/>
      <c r="AP19" s="50"/>
      <c r="AQ19" s="50"/>
      <c r="AR19" s="52"/>
      <c r="AS19" s="51"/>
      <c r="AT19" s="52"/>
      <c r="AU19" s="53"/>
      <c r="AV19" s="52"/>
      <c r="AW19" s="53"/>
      <c r="AX19" s="52"/>
    </row>
    <row r="20" spans="1:50" s="54" customFormat="1" ht="14.25" customHeight="1">
      <c r="A20" s="44" t="s">
        <v>39</v>
      </c>
      <c r="B20" s="65" t="s">
        <v>590</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98"/>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591</v>
      </c>
      <c r="C21" s="24"/>
      <c r="D21" s="60">
        <v>0</v>
      </c>
      <c r="E21" s="60">
        <v>0</v>
      </c>
      <c r="F21" s="60">
        <v>0</v>
      </c>
      <c r="G21" s="60">
        <v>0</v>
      </c>
      <c r="H21" s="66">
        <v>0</v>
      </c>
      <c r="I21" s="66"/>
      <c r="J21" s="66">
        <v>0</v>
      </c>
      <c r="K21" s="66">
        <v>0</v>
      </c>
      <c r="L21" s="66">
        <v>0</v>
      </c>
      <c r="M21" s="66">
        <v>0</v>
      </c>
      <c r="N21" s="66">
        <v>0</v>
      </c>
      <c r="O21" s="48"/>
      <c r="P21" s="690">
        <v>7004</v>
      </c>
      <c r="Q21" s="690">
        <v>4944</v>
      </c>
      <c r="R21" s="690">
        <v>4459</v>
      </c>
      <c r="S21" s="690">
        <v>5892</v>
      </c>
      <c r="T21" s="698">
        <f>+SUM(P21:S21)</f>
        <v>22299</v>
      </c>
      <c r="U21" s="48"/>
      <c r="V21" s="690">
        <v>5907</v>
      </c>
      <c r="W21" s="690">
        <v>6864</v>
      </c>
      <c r="X21" s="690">
        <v>8319</v>
      </c>
      <c r="Y21" s="690">
        <v>8013</v>
      </c>
      <c r="Z21" s="698">
        <f>+SUM(V21:Y21)</f>
        <v>29103</v>
      </c>
      <c r="AA21" s="51"/>
      <c r="AB21" s="690">
        <v>7197</v>
      </c>
      <c r="AC21" s="690">
        <v>8176</v>
      </c>
      <c r="AD21" s="690">
        <v>8130</v>
      </c>
      <c r="AE21" s="690">
        <v>9500</v>
      </c>
      <c r="AF21" s="698">
        <f>SUM(AB21:AE21)</f>
        <v>33003</v>
      </c>
      <c r="AG21" s="49"/>
      <c r="AH21" s="690">
        <v>15902</v>
      </c>
      <c r="AI21" s="690">
        <v>27846</v>
      </c>
      <c r="AJ21" s="50">
        <v>13885.132259487875</v>
      </c>
      <c r="AK21" s="50">
        <v>14700.410373570809</v>
      </c>
      <c r="AL21" s="68">
        <v>72333.542633058678</v>
      </c>
      <c r="AM21" s="71"/>
      <c r="AN21" s="50">
        <v>15660.996192886822</v>
      </c>
      <c r="AO21" s="50">
        <v>15974.216116744557</v>
      </c>
      <c r="AP21" s="50">
        <v>16547.077015220068</v>
      </c>
      <c r="AQ21" s="50">
        <v>16361.130340197627</v>
      </c>
      <c r="AR21" s="68">
        <v>64543.41966504907</v>
      </c>
      <c r="AS21" s="71"/>
      <c r="AT21" s="68">
        <v>73646.314415285247</v>
      </c>
      <c r="AU21" s="72"/>
      <c r="AV21" s="68">
        <v>81427.894344856046</v>
      </c>
      <c r="AW21" s="72"/>
      <c r="AX21" s="68">
        <v>88297.125774</v>
      </c>
    </row>
    <row r="22" spans="1:50" s="54" customFormat="1" ht="14.25" customHeight="1">
      <c r="A22" s="73"/>
      <c r="B22" s="70" t="s">
        <v>592</v>
      </c>
      <c r="C22" s="21"/>
      <c r="D22" s="46">
        <v>0</v>
      </c>
      <c r="E22" s="46">
        <v>0</v>
      </c>
      <c r="F22" s="46">
        <v>0</v>
      </c>
      <c r="G22" s="46">
        <v>0</v>
      </c>
      <c r="H22" s="66">
        <v>0</v>
      </c>
      <c r="I22" s="66"/>
      <c r="J22" s="66">
        <v>0</v>
      </c>
      <c r="K22" s="66">
        <v>0</v>
      </c>
      <c r="L22" s="66">
        <v>0</v>
      </c>
      <c r="M22" s="66">
        <v>0</v>
      </c>
      <c r="N22" s="66">
        <v>0</v>
      </c>
      <c r="O22" s="48"/>
      <c r="P22" s="46">
        <v>0</v>
      </c>
      <c r="Q22" s="46">
        <v>0</v>
      </c>
      <c r="R22" s="46">
        <v>0</v>
      </c>
      <c r="S22" s="46">
        <v>0</v>
      </c>
      <c r="T22" s="698">
        <v>0</v>
      </c>
      <c r="U22" s="696"/>
      <c r="V22" s="46">
        <v>0</v>
      </c>
      <c r="W22" s="46">
        <v>0</v>
      </c>
      <c r="X22" s="46">
        <v>0</v>
      </c>
      <c r="Y22" s="46">
        <v>0</v>
      </c>
      <c r="Z22" s="66">
        <v>0</v>
      </c>
      <c r="AA22" s="51"/>
      <c r="AB22" s="46">
        <v>0</v>
      </c>
      <c r="AC22" s="46">
        <v>0</v>
      </c>
      <c r="AD22" s="46">
        <v>0</v>
      </c>
      <c r="AE22" s="46">
        <v>0</v>
      </c>
      <c r="AF22" s="698">
        <v>0</v>
      </c>
      <c r="AG22" s="699"/>
      <c r="AH22" s="46">
        <v>0</v>
      </c>
      <c r="AI22" s="46">
        <v>0</v>
      </c>
      <c r="AJ22" s="50"/>
      <c r="AK22" s="50"/>
      <c r="AL22" s="75"/>
      <c r="AM22" s="71"/>
      <c r="AN22" s="50"/>
      <c r="AO22" s="50"/>
      <c r="AP22" s="50"/>
      <c r="AQ22" s="50"/>
      <c r="AR22" s="75"/>
      <c r="AS22" s="71"/>
      <c r="AT22" s="75"/>
      <c r="AU22" s="72"/>
      <c r="AV22" s="75"/>
      <c r="AW22" s="72"/>
      <c r="AX22" s="75"/>
    </row>
    <row r="23" spans="1:50" s="54" customFormat="1" ht="14.25" customHeight="1">
      <c r="A23" s="55"/>
      <c r="B23" s="76" t="s">
        <v>593</v>
      </c>
      <c r="C23" s="23"/>
      <c r="D23" s="46">
        <v>0</v>
      </c>
      <c r="E23" s="46">
        <v>0</v>
      </c>
      <c r="F23" s="46">
        <v>0</v>
      </c>
      <c r="G23" s="46">
        <v>0</v>
      </c>
      <c r="H23" s="66">
        <v>0</v>
      </c>
      <c r="I23" s="66"/>
      <c r="J23" s="66">
        <v>0</v>
      </c>
      <c r="K23" s="66">
        <v>0</v>
      </c>
      <c r="L23" s="66">
        <v>0</v>
      </c>
      <c r="M23" s="66">
        <v>0</v>
      </c>
      <c r="N23" s="66">
        <v>0</v>
      </c>
      <c r="O23" s="698"/>
      <c r="P23" s="46">
        <v>0</v>
      </c>
      <c r="Q23" s="46">
        <v>0</v>
      </c>
      <c r="R23" s="46">
        <v>0</v>
      </c>
      <c r="S23" s="46">
        <v>0</v>
      </c>
      <c r="T23" s="698">
        <v>0</v>
      </c>
      <c r="U23" s="698"/>
      <c r="V23" s="46">
        <v>0</v>
      </c>
      <c r="W23" s="46">
        <v>0</v>
      </c>
      <c r="X23" s="46">
        <v>0</v>
      </c>
      <c r="Y23" s="46">
        <v>0</v>
      </c>
      <c r="Z23" s="698">
        <v>0</v>
      </c>
      <c r="AA23" s="698"/>
      <c r="AB23" s="46">
        <v>0</v>
      </c>
      <c r="AC23" s="46">
        <v>0</v>
      </c>
      <c r="AD23" s="46">
        <v>0</v>
      </c>
      <c r="AE23" s="46">
        <v>0</v>
      </c>
      <c r="AF23" s="698">
        <v>0</v>
      </c>
      <c r="AG23" s="700"/>
      <c r="AH23" s="46">
        <v>0</v>
      </c>
      <c r="AI23" s="46">
        <v>0</v>
      </c>
      <c r="AJ23" s="50"/>
      <c r="AK23" s="50"/>
      <c r="AL23" s="78"/>
      <c r="AM23" s="71"/>
      <c r="AN23" s="50"/>
      <c r="AO23" s="50"/>
      <c r="AP23" s="50"/>
      <c r="AQ23" s="50"/>
      <c r="AR23" s="78"/>
      <c r="AS23" s="71"/>
      <c r="AT23" s="78"/>
      <c r="AU23" s="72"/>
      <c r="AV23" s="78"/>
      <c r="AW23" s="72"/>
      <c r="AX23" s="78"/>
    </row>
    <row r="24" spans="1:50" s="54" customFormat="1" ht="14.25" customHeight="1">
      <c r="A24" s="73"/>
      <c r="B24" s="79" t="s">
        <v>245</v>
      </c>
      <c r="C24" s="21"/>
      <c r="D24" s="46">
        <v>0</v>
      </c>
      <c r="E24" s="46">
        <v>0</v>
      </c>
      <c r="F24" s="46">
        <v>0</v>
      </c>
      <c r="G24" s="46">
        <v>0</v>
      </c>
      <c r="H24" s="66">
        <v>0</v>
      </c>
      <c r="I24" s="66"/>
      <c r="J24" s="66">
        <v>0</v>
      </c>
      <c r="K24" s="66">
        <v>0</v>
      </c>
      <c r="L24" s="66">
        <v>0</v>
      </c>
      <c r="M24" s="66">
        <v>0</v>
      </c>
      <c r="N24" s="66">
        <v>0</v>
      </c>
      <c r="O24" s="698"/>
      <c r="P24" s="811">
        <f>+(P18-P21)</f>
        <v>27130</v>
      </c>
      <c r="Q24" s="811">
        <f t="shared" ref="Q24:AL24" si="13">+(Q18-Q21)</f>
        <v>29358</v>
      </c>
      <c r="R24" s="811">
        <f t="shared" si="13"/>
        <v>29919</v>
      </c>
      <c r="S24" s="811">
        <f t="shared" si="13"/>
        <v>32160</v>
      </c>
      <c r="T24" s="811">
        <f t="shared" si="13"/>
        <v>118567</v>
      </c>
      <c r="U24" s="811">
        <f t="shared" si="13"/>
        <v>0</v>
      </c>
      <c r="V24" s="811">
        <f t="shared" si="13"/>
        <v>46822</v>
      </c>
      <c r="W24" s="811">
        <f t="shared" si="13"/>
        <v>32248</v>
      </c>
      <c r="X24" s="811">
        <f t="shared" si="13"/>
        <v>30111</v>
      </c>
      <c r="Y24" s="811">
        <f t="shared" si="13"/>
        <v>15098</v>
      </c>
      <c r="Z24" s="811">
        <f t="shared" si="13"/>
        <v>124279</v>
      </c>
      <c r="AA24" s="811">
        <f t="shared" si="13"/>
        <v>0</v>
      </c>
      <c r="AB24" s="811">
        <f t="shared" si="13"/>
        <v>30494</v>
      </c>
      <c r="AC24" s="811">
        <f t="shared" si="13"/>
        <v>31598</v>
      </c>
      <c r="AD24" s="811">
        <f t="shared" si="13"/>
        <v>33409</v>
      </c>
      <c r="AE24" s="811">
        <f t="shared" si="13"/>
        <v>34478</v>
      </c>
      <c r="AF24" s="811">
        <f t="shared" si="13"/>
        <v>129979</v>
      </c>
      <c r="AG24" s="811">
        <f t="shared" si="13"/>
        <v>0</v>
      </c>
      <c r="AH24" s="811">
        <f t="shared" si="13"/>
        <v>29944</v>
      </c>
      <c r="AI24" s="811">
        <f t="shared" si="13"/>
        <v>36151</v>
      </c>
      <c r="AJ24" s="811">
        <f t="shared" si="13"/>
        <v>44269.467740512126</v>
      </c>
      <c r="AK24" s="811">
        <f t="shared" si="13"/>
        <v>66388.989626429189</v>
      </c>
      <c r="AL24" s="811">
        <f t="shared" si="13"/>
        <v>176753.45736694132</v>
      </c>
      <c r="AM24" s="565"/>
      <c r="AN24" s="565">
        <f t="shared" ref="AN24:AX24" si="14">+(AN18-AN21)/AN18</f>
        <v>0.75646234511667809</v>
      </c>
      <c r="AO24" s="565">
        <f t="shared" si="14"/>
        <v>0.7515915920190116</v>
      </c>
      <c r="AP24" s="565">
        <f t="shared" si="14"/>
        <v>0.74662342385939173</v>
      </c>
      <c r="AQ24" s="565">
        <f t="shared" si="14"/>
        <v>0.7415558923365797</v>
      </c>
      <c r="AR24" s="565">
        <f t="shared" si="14"/>
        <v>0.74907796806278915</v>
      </c>
      <c r="AS24" s="565"/>
      <c r="AT24" s="565">
        <f t="shared" si="14"/>
        <v>0.73997240916131968</v>
      </c>
      <c r="AU24" s="565"/>
      <c r="AV24" s="565">
        <f t="shared" si="14"/>
        <v>0.7399998264762695</v>
      </c>
      <c r="AW24" s="565"/>
      <c r="AX24" s="565">
        <f t="shared" si="14"/>
        <v>0.73999974742935881</v>
      </c>
    </row>
    <row r="25" spans="1:50" s="54" customFormat="1" ht="14.25" customHeight="1">
      <c r="A25" s="55"/>
      <c r="B25" s="80"/>
      <c r="C25" s="23"/>
      <c r="D25" s="46"/>
      <c r="E25" s="46"/>
      <c r="F25" s="46"/>
      <c r="G25" s="46"/>
      <c r="H25" s="66"/>
      <c r="I25" s="48"/>
      <c r="J25" s="46"/>
      <c r="K25" s="46"/>
      <c r="L25" s="46"/>
      <c r="M25" s="46"/>
      <c r="N25" s="66"/>
      <c r="O25" s="696"/>
      <c r="P25" s="46"/>
      <c r="Q25" s="46"/>
      <c r="R25" s="46"/>
      <c r="S25" s="46"/>
      <c r="T25" s="698"/>
      <c r="U25" s="696"/>
      <c r="V25" s="46"/>
      <c r="W25" s="46"/>
      <c r="X25" s="46"/>
      <c r="Y25" s="46"/>
      <c r="Z25" s="698"/>
      <c r="AA25" s="67"/>
      <c r="AB25" s="46"/>
      <c r="AC25" s="46"/>
      <c r="AD25" s="46"/>
      <c r="AE25" s="46"/>
      <c r="AF25" s="698"/>
      <c r="AG25" s="69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39</v>
      </c>
      <c r="B26" s="65" t="s">
        <v>594</v>
      </c>
      <c r="C26" s="21"/>
      <c r="D26" s="46"/>
      <c r="E26" s="46"/>
      <c r="F26" s="46"/>
      <c r="G26" s="46"/>
      <c r="H26" s="66"/>
      <c r="I26" s="48"/>
      <c r="J26" s="46"/>
      <c r="K26" s="46"/>
      <c r="L26" s="46"/>
      <c r="M26" s="46"/>
      <c r="N26" s="66"/>
      <c r="O26" s="696"/>
      <c r="P26" s="46"/>
      <c r="Q26" s="46"/>
      <c r="R26" s="46"/>
      <c r="S26" s="46"/>
      <c r="T26" s="698"/>
      <c r="U26" s="696"/>
      <c r="V26" s="46"/>
      <c r="W26" s="46"/>
      <c r="X26" s="46"/>
      <c r="Y26" s="46"/>
      <c r="Z26" s="698"/>
      <c r="AA26" s="87"/>
      <c r="AB26" s="46"/>
      <c r="AC26" s="46"/>
      <c r="AD26" s="46"/>
      <c r="AE26" s="46"/>
      <c r="AF26" s="698"/>
      <c r="AG26" s="701"/>
      <c r="AH26" s="702"/>
      <c r="AI26" s="702"/>
      <c r="AJ26" s="702"/>
      <c r="AK26" s="50"/>
      <c r="AL26" s="68"/>
      <c r="AM26" s="81"/>
      <c r="AN26" s="50"/>
      <c r="AO26" s="50"/>
      <c r="AP26" s="50"/>
      <c r="AQ26" s="50"/>
      <c r="AR26" s="68"/>
      <c r="AS26" s="81"/>
      <c r="AT26" s="68"/>
      <c r="AU26" s="83"/>
      <c r="AV26" s="68"/>
      <c r="AW26" s="83"/>
      <c r="AX26" s="68"/>
    </row>
    <row r="27" spans="1:50" s="54" customFormat="1" ht="14.25" customHeight="1">
      <c r="A27" s="84"/>
      <c r="B27" s="70" t="s">
        <v>595</v>
      </c>
      <c r="C27" s="26"/>
      <c r="D27" s="677">
        <v>3583</v>
      </c>
      <c r="E27" s="677">
        <v>3556</v>
      </c>
      <c r="F27" s="677">
        <v>10205</v>
      </c>
      <c r="G27" s="677">
        <v>9082</v>
      </c>
      <c r="H27" s="695">
        <v>26426</v>
      </c>
      <c r="I27" s="696"/>
      <c r="J27" s="697">
        <v>4718</v>
      </c>
      <c r="K27" s="697">
        <v>9186</v>
      </c>
      <c r="L27" s="747">
        <v>7218</v>
      </c>
      <c r="M27" s="747">
        <v>8249</v>
      </c>
      <c r="N27" s="745">
        <v>29371</v>
      </c>
      <c r="O27" s="746"/>
      <c r="P27" s="749">
        <v>9379</v>
      </c>
      <c r="Q27" s="749">
        <v>8273</v>
      </c>
      <c r="R27" s="749">
        <v>8676</v>
      </c>
      <c r="S27" s="749">
        <v>7663</v>
      </c>
      <c r="T27" s="745">
        <v>33991</v>
      </c>
      <c r="U27" s="746"/>
      <c r="V27" s="749">
        <v>10277</v>
      </c>
      <c r="W27" s="749">
        <v>11727</v>
      </c>
      <c r="X27" s="749">
        <v>10777</v>
      </c>
      <c r="Y27" s="749">
        <v>12577</v>
      </c>
      <c r="Z27" s="745">
        <v>45358</v>
      </c>
      <c r="AA27" s="752"/>
      <c r="AB27" s="749">
        <v>12424</v>
      </c>
      <c r="AC27" s="749">
        <v>10799</v>
      </c>
      <c r="AD27" s="749">
        <v>11389</v>
      </c>
      <c r="AE27" s="749">
        <v>12763</v>
      </c>
      <c r="AF27" s="745">
        <v>47375</v>
      </c>
      <c r="AG27" s="753"/>
      <c r="AH27" s="754">
        <v>6958</v>
      </c>
      <c r="AI27" s="754">
        <v>12627</v>
      </c>
      <c r="AJ27" s="702">
        <v>13339.948488666369</v>
      </c>
      <c r="AK27" s="50">
        <v>14123.215643962771</v>
      </c>
      <c r="AL27" s="68">
        <v>47048.164132629143</v>
      </c>
      <c r="AM27" s="81"/>
      <c r="AN27" s="50">
        <v>14726.133952013701</v>
      </c>
      <c r="AO27" s="50">
        <v>14726.133952013701</v>
      </c>
      <c r="AP27" s="50">
        <v>14955.133952013708</v>
      </c>
      <c r="AQ27" s="50">
        <v>14497.133952013708</v>
      </c>
      <c r="AR27" s="68">
        <v>58904.535808054818</v>
      </c>
      <c r="AS27" s="81"/>
      <c r="AT27" s="68">
        <v>64865.407696539696</v>
      </c>
      <c r="AU27" s="83"/>
      <c r="AV27" s="68">
        <v>71719.183865277053</v>
      </c>
      <c r="AW27" s="83"/>
      <c r="AX27" s="68">
        <v>77769.391547100007</v>
      </c>
    </row>
    <row r="28" spans="1:50" s="54" customFormat="1" ht="14.25" customHeight="1">
      <c r="A28" s="55"/>
      <c r="B28" s="70" t="s">
        <v>596</v>
      </c>
      <c r="C28" s="23"/>
      <c r="D28" s="46">
        <v>118</v>
      </c>
      <c r="E28" s="46">
        <v>379</v>
      </c>
      <c r="F28" s="46">
        <v>134</v>
      </c>
      <c r="G28" s="46">
        <v>135</v>
      </c>
      <c r="H28" s="698">
        <v>766</v>
      </c>
      <c r="I28" s="696"/>
      <c r="J28" s="698">
        <v>144</v>
      </c>
      <c r="K28" s="698">
        <v>157</v>
      </c>
      <c r="L28" s="694">
        <v>166</v>
      </c>
      <c r="M28" s="694">
        <v>155</v>
      </c>
      <c r="N28" s="694">
        <v>622</v>
      </c>
      <c r="O28" s="746"/>
      <c r="P28" s="755">
        <v>173</v>
      </c>
      <c r="Q28" s="755">
        <v>194</v>
      </c>
      <c r="R28" s="755">
        <v>243</v>
      </c>
      <c r="S28" s="755">
        <v>305</v>
      </c>
      <c r="T28" s="694">
        <v>915</v>
      </c>
      <c r="U28" s="746"/>
      <c r="V28" s="755">
        <v>480</v>
      </c>
      <c r="W28" s="755">
        <v>562</v>
      </c>
      <c r="X28" s="755">
        <v>476</v>
      </c>
      <c r="Y28" s="755">
        <v>459</v>
      </c>
      <c r="Z28" s="694">
        <v>1977</v>
      </c>
      <c r="AA28" s="756"/>
      <c r="AB28" s="755">
        <v>1055</v>
      </c>
      <c r="AC28" s="755">
        <v>1119</v>
      </c>
      <c r="AD28" s="755">
        <v>0</v>
      </c>
      <c r="AE28" s="755">
        <v>0</v>
      </c>
      <c r="AF28" s="694">
        <v>2174</v>
      </c>
      <c r="AG28" s="757"/>
      <c r="AH28" s="758">
        <v>1621</v>
      </c>
      <c r="AI28" s="758">
        <v>1818</v>
      </c>
      <c r="AJ28" s="702"/>
      <c r="AK28" s="50"/>
      <c r="AL28" s="68"/>
      <c r="AM28" s="71"/>
      <c r="AN28" s="50"/>
      <c r="AO28" s="50"/>
      <c r="AP28" s="50"/>
      <c r="AQ28" s="50"/>
      <c r="AR28" s="68"/>
      <c r="AS28" s="71"/>
      <c r="AT28" s="68"/>
      <c r="AU28" s="72"/>
      <c r="AV28" s="68"/>
      <c r="AW28" s="72"/>
      <c r="AX28" s="68"/>
    </row>
    <row r="29" spans="1:50" s="54" customFormat="1" ht="14.25" customHeight="1">
      <c r="A29" s="73"/>
      <c r="B29" s="70" t="s">
        <v>597</v>
      </c>
      <c r="C29" s="21"/>
      <c r="D29" s="46">
        <v>0</v>
      </c>
      <c r="E29" s="46">
        <v>0</v>
      </c>
      <c r="F29" s="46">
        <v>0</v>
      </c>
      <c r="G29" s="46">
        <v>0</v>
      </c>
      <c r="H29" s="698"/>
      <c r="I29" s="696"/>
      <c r="J29" s="698">
        <v>0</v>
      </c>
      <c r="K29" s="698">
        <v>0</v>
      </c>
      <c r="L29" s="694">
        <v>0</v>
      </c>
      <c r="M29" s="694">
        <v>0</v>
      </c>
      <c r="N29" s="694">
        <v>0</v>
      </c>
      <c r="O29" s="746"/>
      <c r="P29" s="755">
        <v>0</v>
      </c>
      <c r="Q29" s="755">
        <v>0</v>
      </c>
      <c r="R29" s="755">
        <v>0</v>
      </c>
      <c r="S29" s="755"/>
      <c r="T29" s="694">
        <v>0</v>
      </c>
      <c r="U29" s="746"/>
      <c r="V29" s="755">
        <v>0</v>
      </c>
      <c r="W29" s="755">
        <v>0</v>
      </c>
      <c r="X29" s="755">
        <v>0</v>
      </c>
      <c r="Y29" s="755">
        <v>0</v>
      </c>
      <c r="Z29" s="694">
        <v>0</v>
      </c>
      <c r="AA29" s="759"/>
      <c r="AB29" s="755">
        <v>0</v>
      </c>
      <c r="AC29" s="755">
        <v>0</v>
      </c>
      <c r="AD29" s="755">
        <v>0</v>
      </c>
      <c r="AE29" s="755">
        <v>0</v>
      </c>
      <c r="AF29" s="694">
        <v>0</v>
      </c>
      <c r="AG29" s="753"/>
      <c r="AH29" s="758">
        <v>0</v>
      </c>
      <c r="AI29" s="758">
        <v>0</v>
      </c>
      <c r="AJ29" s="702"/>
      <c r="AK29" s="50"/>
      <c r="AL29" s="68"/>
      <c r="AM29" s="81"/>
      <c r="AN29" s="50"/>
      <c r="AO29" s="50"/>
      <c r="AP29" s="50"/>
      <c r="AQ29" s="50"/>
      <c r="AR29" s="68"/>
      <c r="AS29" s="81"/>
      <c r="AT29" s="68"/>
      <c r="AU29" s="83"/>
      <c r="AV29" s="68"/>
      <c r="AW29" s="83"/>
      <c r="AX29" s="68"/>
    </row>
    <row r="30" spans="1:50" s="54" customFormat="1" ht="14.25" customHeight="1">
      <c r="A30" s="55"/>
      <c r="B30" s="70" t="s">
        <v>598</v>
      </c>
      <c r="C30" s="23"/>
      <c r="D30" s="677">
        <v>-38</v>
      </c>
      <c r="E30" s="677">
        <v>2079</v>
      </c>
      <c r="F30" s="677">
        <v>-7985</v>
      </c>
      <c r="G30" s="677">
        <v>-39765</v>
      </c>
      <c r="H30" s="745">
        <f>+SUM(D30:G30)</f>
        <v>-45709</v>
      </c>
      <c r="I30" s="746"/>
      <c r="J30" s="747">
        <v>-1247</v>
      </c>
      <c r="K30" s="747">
        <v>-4107</v>
      </c>
      <c r="L30" s="747">
        <v>-4499</v>
      </c>
      <c r="M30" s="747">
        <v>-257757</v>
      </c>
      <c r="N30" s="745">
        <f>+SUM(J30:M30)</f>
        <v>-267610</v>
      </c>
      <c r="O30" s="746"/>
      <c r="P30" s="748">
        <v>-2085</v>
      </c>
      <c r="Q30" s="748">
        <v>-3550</v>
      </c>
      <c r="R30" s="748">
        <v>-3531</v>
      </c>
      <c r="S30" s="749">
        <f>-162658+159134</f>
        <v>-3524</v>
      </c>
      <c r="T30" s="745">
        <f>+SUM(P30:S30)</f>
        <v>-12690</v>
      </c>
      <c r="U30" s="746"/>
      <c r="V30" s="748">
        <v>-4370</v>
      </c>
      <c r="W30" s="748">
        <v>-4863</v>
      </c>
      <c r="X30" s="748">
        <v>-2275</v>
      </c>
      <c r="Y30" s="748">
        <f>-379967+388175</f>
        <v>8208</v>
      </c>
      <c r="Z30" s="745">
        <f>+SUM(V30:Y30)</f>
        <v>-3300</v>
      </c>
      <c r="AA30" s="760"/>
      <c r="AB30" s="748">
        <v>-5118</v>
      </c>
      <c r="AC30" s="748">
        <v>1308</v>
      </c>
      <c r="AD30" s="748">
        <v>-1759</v>
      </c>
      <c r="AE30" s="748">
        <f>-197251+192995</f>
        <v>-4256</v>
      </c>
      <c r="AF30" s="745">
        <f>+SUM(AB30:AE30)</f>
        <v>-9825</v>
      </c>
      <c r="AG30" s="760"/>
      <c r="AH30" s="761">
        <v>11377</v>
      </c>
      <c r="AI30" s="762">
        <v>15219</v>
      </c>
      <c r="AJ30" s="702"/>
      <c r="AK30" s="50"/>
      <c r="AL30" s="75"/>
      <c r="AM30" s="71"/>
      <c r="AN30" s="50"/>
      <c r="AO30" s="50"/>
      <c r="AP30" s="50"/>
      <c r="AQ30" s="50"/>
      <c r="AR30" s="75"/>
      <c r="AS30" s="71"/>
      <c r="AT30" s="75"/>
      <c r="AU30" s="72"/>
      <c r="AV30" s="75"/>
      <c r="AW30" s="72"/>
      <c r="AX30" s="75"/>
    </row>
    <row r="31" spans="1:50" s="54" customFormat="1" ht="14.25" customHeight="1">
      <c r="A31" s="73"/>
      <c r="B31" s="76" t="s">
        <v>599</v>
      </c>
      <c r="C31" s="21"/>
      <c r="D31" s="46">
        <v>3663</v>
      </c>
      <c r="E31" s="46">
        <v>6014</v>
      </c>
      <c r="F31" s="46">
        <v>2354</v>
      </c>
      <c r="G31" s="46">
        <v>-30548</v>
      </c>
      <c r="H31" s="745">
        <f t="shared" ref="H31:H32" si="15">+SUM(D31:G31)</f>
        <v>-18517</v>
      </c>
      <c r="I31" s="694"/>
      <c r="J31" s="694">
        <v>3615</v>
      </c>
      <c r="K31" s="694">
        <v>5236</v>
      </c>
      <c r="L31" s="694">
        <v>2885</v>
      </c>
      <c r="M31" s="694">
        <v>-249353</v>
      </c>
      <c r="N31" s="745">
        <f t="shared" ref="N31:N32" si="16">+SUM(J31:M31)</f>
        <v>-237617</v>
      </c>
      <c r="O31" s="694"/>
      <c r="P31" s="694">
        <v>7467</v>
      </c>
      <c r="Q31" s="694">
        <v>4917</v>
      </c>
      <c r="R31" s="694">
        <v>5388</v>
      </c>
      <c r="S31" s="694">
        <v>-154690</v>
      </c>
      <c r="T31" s="745">
        <f t="shared" ref="T31:T32" si="17">+SUM(P31:S31)</f>
        <v>-136918</v>
      </c>
      <c r="U31" s="694"/>
      <c r="V31" s="694">
        <v>6387</v>
      </c>
      <c r="W31" s="694">
        <v>7426</v>
      </c>
      <c r="X31" s="694">
        <v>8978</v>
      </c>
      <c r="Y31" s="694">
        <v>-366931</v>
      </c>
      <c r="Z31" s="745">
        <f t="shared" ref="Z31:Z32" si="18">+SUM(V31:Y31)</f>
        <v>-344140</v>
      </c>
      <c r="AA31" s="694"/>
      <c r="AB31" s="694">
        <v>8361</v>
      </c>
      <c r="AC31" s="694">
        <v>13226</v>
      </c>
      <c r="AD31" s="694">
        <v>9630</v>
      </c>
      <c r="AE31" s="694">
        <v>-184488</v>
      </c>
      <c r="AF31" s="745">
        <f t="shared" ref="AF31:AF32" si="19">+SUM(AB31:AE31)</f>
        <v>-153271</v>
      </c>
      <c r="AG31" s="694"/>
      <c r="AH31" s="763">
        <v>19956</v>
      </c>
      <c r="AI31" s="755">
        <v>29664</v>
      </c>
      <c r="AJ31" s="702"/>
      <c r="AK31" s="46"/>
      <c r="AL31" s="357"/>
      <c r="AM31" s="81"/>
      <c r="AN31" s="46"/>
      <c r="AO31" s="46"/>
      <c r="AP31" s="46"/>
      <c r="AQ31" s="46"/>
      <c r="AR31" s="357"/>
      <c r="AS31" s="81"/>
      <c r="AT31" s="357"/>
      <c r="AU31" s="83"/>
      <c r="AV31" s="357"/>
      <c r="AW31" s="83"/>
      <c r="AX31" s="357"/>
    </row>
    <row r="32" spans="1:50" s="54" customFormat="1" ht="14.25" customHeight="1">
      <c r="A32" s="73"/>
      <c r="B32" s="76" t="s">
        <v>600</v>
      </c>
      <c r="C32" s="21"/>
      <c r="D32" s="677">
        <v>303</v>
      </c>
      <c r="E32" s="677">
        <v>0</v>
      </c>
      <c r="F32" s="677">
        <v>3133</v>
      </c>
      <c r="G32" s="677">
        <v>0</v>
      </c>
      <c r="H32" s="745">
        <f t="shared" si="15"/>
        <v>3436</v>
      </c>
      <c r="I32" s="746"/>
      <c r="J32" s="747">
        <v>0</v>
      </c>
      <c r="K32" s="747">
        <v>0</v>
      </c>
      <c r="L32" s="747">
        <v>751</v>
      </c>
      <c r="M32" s="747">
        <v>17755</v>
      </c>
      <c r="N32" s="745">
        <f t="shared" si="16"/>
        <v>18506</v>
      </c>
      <c r="O32" s="746"/>
      <c r="P32" s="748">
        <v>1685</v>
      </c>
      <c r="Q32" s="748">
        <v>2914</v>
      </c>
      <c r="R32" s="748">
        <v>647</v>
      </c>
      <c r="S32" s="750">
        <v>11768</v>
      </c>
      <c r="T32" s="745">
        <f t="shared" si="17"/>
        <v>17014</v>
      </c>
      <c r="U32" s="746"/>
      <c r="V32" s="749">
        <v>15752</v>
      </c>
      <c r="W32" s="749">
        <v>6784</v>
      </c>
      <c r="X32" s="749">
        <v>59</v>
      </c>
      <c r="Y32" s="750">
        <v>9924</v>
      </c>
      <c r="Z32" s="745">
        <f t="shared" si="18"/>
        <v>32519</v>
      </c>
      <c r="AA32" s="752"/>
      <c r="AB32" s="749">
        <v>259</v>
      </c>
      <c r="AC32" s="749">
        <v>7719</v>
      </c>
      <c r="AD32" s="749">
        <v>7988</v>
      </c>
      <c r="AE32" s="750">
        <v>0</v>
      </c>
      <c r="AF32" s="745">
        <f t="shared" si="19"/>
        <v>15966</v>
      </c>
      <c r="AG32" s="752"/>
      <c r="AH32" s="764">
        <v>233</v>
      </c>
      <c r="AI32" s="754">
        <v>23087</v>
      </c>
      <c r="AJ32" s="702"/>
      <c r="AK32" s="50"/>
      <c r="AL32" s="75"/>
      <c r="AM32" s="85"/>
      <c r="AN32" s="50"/>
      <c r="AO32" s="50"/>
      <c r="AP32" s="50"/>
      <c r="AQ32" s="50"/>
      <c r="AR32" s="75"/>
      <c r="AS32" s="85"/>
      <c r="AT32" s="75"/>
      <c r="AU32" s="86"/>
      <c r="AV32" s="75"/>
      <c r="AW32" s="86"/>
      <c r="AX32" s="75"/>
    </row>
    <row r="33" spans="1:51" s="54" customFormat="1" ht="14.25" customHeight="1">
      <c r="A33" s="55"/>
      <c r="B33" s="79" t="s">
        <v>601</v>
      </c>
      <c r="C33" s="23"/>
      <c r="D33" s="46">
        <v>12564</v>
      </c>
      <c r="E33" s="46">
        <v>8739</v>
      </c>
      <c r="F33" s="46">
        <v>8230</v>
      </c>
      <c r="G33" s="46">
        <v>5416</v>
      </c>
      <c r="H33" s="751">
        <v>34949</v>
      </c>
      <c r="I33" s="746"/>
      <c r="J33" s="694">
        <v>10794</v>
      </c>
      <c r="K33" s="694">
        <v>3076</v>
      </c>
      <c r="L33" s="694">
        <v>12002</v>
      </c>
      <c r="M33" s="694">
        <v>35743</v>
      </c>
      <c r="N33" s="751">
        <v>61615</v>
      </c>
      <c r="O33" s="746"/>
      <c r="P33" s="748">
        <v>17288</v>
      </c>
      <c r="Q33" s="748">
        <v>21112</v>
      </c>
      <c r="R33" s="748">
        <v>20961</v>
      </c>
      <c r="S33" s="748">
        <v>25367</v>
      </c>
      <c r="T33" s="748">
        <v>84728</v>
      </c>
      <c r="U33" s="748"/>
      <c r="V33" s="748">
        <v>36065</v>
      </c>
      <c r="W33" s="748">
        <v>19959</v>
      </c>
      <c r="X33" s="748">
        <v>18675</v>
      </c>
      <c r="Y33" s="748">
        <v>-10710</v>
      </c>
      <c r="Z33" s="748">
        <v>63989</v>
      </c>
      <c r="AA33" s="748"/>
      <c r="AB33" s="748">
        <v>16906</v>
      </c>
      <c r="AC33" s="748">
        <v>19586</v>
      </c>
      <c r="AD33" s="748">
        <v>19162</v>
      </c>
      <c r="AE33" s="748">
        <v>37759</v>
      </c>
      <c r="AF33" s="748">
        <f>+SUM(AB33:AE33)</f>
        <v>93413</v>
      </c>
      <c r="AG33" s="748"/>
      <c r="AH33" s="748">
        <v>18699</v>
      </c>
      <c r="AI33" s="748">
        <v>21706</v>
      </c>
      <c r="AJ33" s="702"/>
      <c r="AK33" s="50"/>
      <c r="AL33" s="75"/>
      <c r="AM33" s="71"/>
      <c r="AN33" s="50"/>
      <c r="AO33" s="50"/>
      <c r="AP33" s="50"/>
      <c r="AQ33" s="50"/>
      <c r="AR33" s="75"/>
      <c r="AS33" s="71"/>
      <c r="AT33" s="75"/>
      <c r="AU33" s="72"/>
      <c r="AV33" s="75"/>
      <c r="AW33" s="72"/>
      <c r="AX33" s="75"/>
    </row>
    <row r="34" spans="1:51" s="54" customFormat="1" ht="14.25" customHeight="1">
      <c r="A34" s="73"/>
      <c r="B34" s="73" t="s">
        <v>314</v>
      </c>
      <c r="C34" s="21"/>
      <c r="D34" s="46">
        <f>+D33++D28</f>
        <v>12682</v>
      </c>
      <c r="E34" s="46">
        <f t="shared" ref="E34:AX34" si="20">+E33++E28</f>
        <v>9118</v>
      </c>
      <c r="F34" s="46">
        <f t="shared" si="20"/>
        <v>8364</v>
      </c>
      <c r="G34" s="46">
        <f t="shared" si="20"/>
        <v>5551</v>
      </c>
      <c r="H34" s="46">
        <f t="shared" si="20"/>
        <v>35715</v>
      </c>
      <c r="I34" s="46"/>
      <c r="J34" s="46">
        <f t="shared" si="20"/>
        <v>10938</v>
      </c>
      <c r="K34" s="46">
        <f t="shared" si="20"/>
        <v>3233</v>
      </c>
      <c r="L34" s="755">
        <f t="shared" si="20"/>
        <v>12168</v>
      </c>
      <c r="M34" s="755">
        <f t="shared" si="20"/>
        <v>35898</v>
      </c>
      <c r="N34" s="755">
        <f t="shared" si="20"/>
        <v>62237</v>
      </c>
      <c r="O34" s="755"/>
      <c r="P34" s="755">
        <f t="shared" si="20"/>
        <v>17461</v>
      </c>
      <c r="Q34" s="755">
        <f t="shared" si="20"/>
        <v>21306</v>
      </c>
      <c r="R34" s="755">
        <f t="shared" si="20"/>
        <v>21204</v>
      </c>
      <c r="S34" s="755">
        <f t="shared" si="20"/>
        <v>25672</v>
      </c>
      <c r="T34" s="755">
        <f t="shared" si="20"/>
        <v>85643</v>
      </c>
      <c r="U34" s="755"/>
      <c r="V34" s="755">
        <f t="shared" si="20"/>
        <v>36545</v>
      </c>
      <c r="W34" s="755">
        <f t="shared" si="20"/>
        <v>20521</v>
      </c>
      <c r="X34" s="755">
        <f t="shared" si="20"/>
        <v>19151</v>
      </c>
      <c r="Y34" s="755">
        <f t="shared" si="20"/>
        <v>-10251</v>
      </c>
      <c r="Z34" s="755">
        <f t="shared" si="20"/>
        <v>65966</v>
      </c>
      <c r="AA34" s="755"/>
      <c r="AB34" s="755">
        <f t="shared" si="20"/>
        <v>17961</v>
      </c>
      <c r="AC34" s="755">
        <f t="shared" si="20"/>
        <v>20705</v>
      </c>
      <c r="AD34" s="755">
        <f t="shared" si="20"/>
        <v>19162</v>
      </c>
      <c r="AE34" s="755">
        <f t="shared" si="20"/>
        <v>37759</v>
      </c>
      <c r="AF34" s="755">
        <f>+SUM(AB34:AE34)</f>
        <v>95587</v>
      </c>
      <c r="AG34" s="755"/>
      <c r="AH34" s="755">
        <f t="shared" si="20"/>
        <v>20320</v>
      </c>
      <c r="AI34" s="755">
        <f t="shared" si="20"/>
        <v>23524</v>
      </c>
      <c r="AJ34" s="46">
        <f t="shared" si="20"/>
        <v>0</v>
      </c>
      <c r="AK34" s="46">
        <f t="shared" si="20"/>
        <v>0</v>
      </c>
      <c r="AL34" s="46">
        <f t="shared" si="20"/>
        <v>0</v>
      </c>
      <c r="AM34" s="46"/>
      <c r="AN34" s="46">
        <f t="shared" si="20"/>
        <v>0</v>
      </c>
      <c r="AO34" s="46">
        <f t="shared" si="20"/>
        <v>0</v>
      </c>
      <c r="AP34" s="46">
        <f t="shared" si="20"/>
        <v>0</v>
      </c>
      <c r="AQ34" s="46">
        <f t="shared" si="20"/>
        <v>0</v>
      </c>
      <c r="AR34" s="46">
        <f t="shared" si="20"/>
        <v>0</v>
      </c>
      <c r="AS34" s="46"/>
      <c r="AT34" s="46">
        <f t="shared" si="20"/>
        <v>0</v>
      </c>
      <c r="AU34" s="46"/>
      <c r="AV34" s="46">
        <f t="shared" si="20"/>
        <v>0</v>
      </c>
      <c r="AW34" s="46"/>
      <c r="AX34" s="46">
        <f t="shared" si="20"/>
        <v>0</v>
      </c>
      <c r="AY34" s="46"/>
    </row>
    <row r="35" spans="1:51" s="54" customFormat="1" ht="14.25" customHeight="1">
      <c r="A35" s="44" t="s">
        <v>39</v>
      </c>
      <c r="B35" s="65" t="s">
        <v>602</v>
      </c>
      <c r="C35" s="23"/>
      <c r="D35" s="46"/>
      <c r="E35" s="46"/>
      <c r="F35" s="46"/>
      <c r="G35" s="46"/>
      <c r="H35" s="66"/>
      <c r="I35" s="48"/>
      <c r="J35" s="46"/>
      <c r="K35" s="46"/>
      <c r="L35" s="755"/>
      <c r="M35" s="755"/>
      <c r="O35" s="765"/>
      <c r="P35" s="755"/>
      <c r="Q35" s="755"/>
      <c r="R35" s="755"/>
      <c r="S35" s="755"/>
      <c r="T35" s="694"/>
      <c r="U35" s="746"/>
      <c r="V35" s="755"/>
      <c r="W35" s="755"/>
      <c r="X35" s="755"/>
      <c r="Y35" s="755"/>
      <c r="Z35" s="694"/>
      <c r="AA35" s="766"/>
      <c r="AB35" s="755"/>
      <c r="AC35" s="755"/>
      <c r="AD35" s="755"/>
      <c r="AE35" s="755"/>
      <c r="AF35" s="694"/>
      <c r="AG35" s="767"/>
      <c r="AH35" s="768"/>
      <c r="AI35" s="758"/>
      <c r="AJ35" s="702"/>
      <c r="AK35" s="50"/>
      <c r="AL35" s="68"/>
      <c r="AM35" s="71"/>
      <c r="AN35" s="50"/>
      <c r="AO35" s="50"/>
      <c r="AP35" s="50"/>
      <c r="AQ35" s="50"/>
      <c r="AR35" s="68"/>
      <c r="AS35" s="71"/>
      <c r="AT35" s="68"/>
      <c r="AU35" s="72"/>
      <c r="AV35" s="68"/>
      <c r="AW35" s="72"/>
      <c r="AX35" s="68"/>
    </row>
    <row r="36" spans="1:51" s="54" customFormat="1" ht="14.25" customHeight="1">
      <c r="A36" s="44"/>
      <c r="B36" s="70" t="s">
        <v>603</v>
      </c>
      <c r="C36" s="23"/>
      <c r="D36" s="46">
        <v>20364</v>
      </c>
      <c r="E36" s="46">
        <v>13575</v>
      </c>
      <c r="F36" s="46">
        <v>14419</v>
      </c>
      <c r="G36" s="46">
        <v>22627</v>
      </c>
      <c r="H36" s="66">
        <v>70985</v>
      </c>
      <c r="I36" s="48"/>
      <c r="J36" s="46">
        <v>25392</v>
      </c>
      <c r="K36" s="46">
        <v>24138</v>
      </c>
      <c r="L36" s="755">
        <v>28016</v>
      </c>
      <c r="M36" s="755">
        <v>36303</v>
      </c>
      <c r="N36" s="54">
        <v>113849</v>
      </c>
      <c r="O36" s="765"/>
      <c r="P36" s="755">
        <v>26752</v>
      </c>
      <c r="Q36" s="755">
        <v>32929</v>
      </c>
      <c r="R36" s="755">
        <v>24021</v>
      </c>
      <c r="S36" s="755">
        <v>31943</v>
      </c>
      <c r="T36" s="54">
        <f>+SUM(P36:S36)</f>
        <v>115645</v>
      </c>
      <c r="U36" s="765"/>
      <c r="V36" s="755">
        <v>35517</v>
      </c>
      <c r="W36" s="755">
        <v>32996</v>
      </c>
      <c r="X36" s="755">
        <v>26290</v>
      </c>
      <c r="Y36" s="755">
        <v>27880</v>
      </c>
      <c r="Z36" s="694">
        <v>122683</v>
      </c>
      <c r="AA36" s="766"/>
      <c r="AB36" s="755">
        <v>31922</v>
      </c>
      <c r="AC36" s="755">
        <v>36616</v>
      </c>
      <c r="AD36" s="755">
        <v>36346</v>
      </c>
      <c r="AE36" s="755">
        <v>38914</v>
      </c>
      <c r="AF36" s="694">
        <v>143798</v>
      </c>
      <c r="AG36" s="767"/>
      <c r="AH36" s="768">
        <v>41955</v>
      </c>
      <c r="AI36" s="758">
        <v>51975</v>
      </c>
      <c r="AJ36" s="702"/>
      <c r="AK36" s="50"/>
      <c r="AL36" s="68"/>
      <c r="AM36" s="71"/>
      <c r="AN36" s="50"/>
      <c r="AO36" s="50"/>
      <c r="AP36" s="50"/>
      <c r="AQ36" s="50"/>
      <c r="AR36" s="68"/>
      <c r="AS36" s="71"/>
      <c r="AT36" s="68"/>
      <c r="AU36" s="72"/>
      <c r="AV36" s="68"/>
      <c r="AW36" s="72"/>
      <c r="AX36" s="68"/>
    </row>
    <row r="37" spans="1:51" s="54" customFormat="1" ht="14.25" customHeight="1">
      <c r="A37" s="44"/>
      <c r="B37" s="70" t="s">
        <v>604</v>
      </c>
      <c r="C37" s="23"/>
      <c r="D37" s="46">
        <v>0</v>
      </c>
      <c r="E37" s="46">
        <v>0</v>
      </c>
      <c r="F37" s="46">
        <v>0</v>
      </c>
      <c r="G37" s="46">
        <v>0</v>
      </c>
      <c r="H37" s="66">
        <v>0</v>
      </c>
      <c r="I37" s="48"/>
      <c r="J37" s="46">
        <v>0</v>
      </c>
      <c r="K37" s="46">
        <v>0</v>
      </c>
      <c r="L37" s="755">
        <v>0</v>
      </c>
      <c r="M37" s="755">
        <v>0</v>
      </c>
      <c r="N37" s="54">
        <v>0</v>
      </c>
      <c r="O37" s="765"/>
      <c r="P37" s="755">
        <v>0</v>
      </c>
      <c r="Q37" s="755">
        <v>0</v>
      </c>
      <c r="R37" s="755">
        <v>0</v>
      </c>
      <c r="S37" s="755">
        <v>0</v>
      </c>
      <c r="U37" s="765"/>
      <c r="V37" s="755">
        <v>0</v>
      </c>
      <c r="W37" s="755">
        <v>0</v>
      </c>
      <c r="X37" s="755">
        <v>0</v>
      </c>
      <c r="Y37" s="755">
        <v>0</v>
      </c>
      <c r="Z37" s="694">
        <v>0</v>
      </c>
      <c r="AA37" s="766"/>
      <c r="AB37" s="755">
        <v>0</v>
      </c>
      <c r="AC37" s="755">
        <v>0</v>
      </c>
      <c r="AD37" s="755">
        <v>0</v>
      </c>
      <c r="AE37" s="755">
        <v>0</v>
      </c>
      <c r="AF37" s="54">
        <v>0</v>
      </c>
      <c r="AG37" s="767"/>
      <c r="AH37" s="768">
        <v>0</v>
      </c>
      <c r="AI37" s="758">
        <v>0</v>
      </c>
      <c r="AJ37" s="702"/>
      <c r="AK37" s="50"/>
      <c r="AL37" s="68"/>
      <c r="AM37" s="71"/>
      <c r="AN37" s="50"/>
      <c r="AO37" s="50"/>
      <c r="AP37" s="50"/>
      <c r="AQ37" s="50"/>
      <c r="AR37" s="68"/>
      <c r="AS37" s="71"/>
      <c r="AT37" s="68"/>
      <c r="AU37" s="72"/>
      <c r="AV37" s="68"/>
      <c r="AW37" s="72"/>
      <c r="AX37" s="68"/>
    </row>
    <row r="38" spans="1:51" s="54" customFormat="1" ht="14.25" customHeight="1">
      <c r="A38" s="55" t="s">
        <v>39</v>
      </c>
      <c r="B38" s="76" t="s">
        <v>605</v>
      </c>
      <c r="C38" s="23"/>
      <c r="D38" s="46">
        <v>20364</v>
      </c>
      <c r="E38" s="46">
        <v>13575</v>
      </c>
      <c r="F38" s="46">
        <v>14419</v>
      </c>
      <c r="G38" s="46">
        <v>22627</v>
      </c>
      <c r="H38" s="66">
        <v>70985</v>
      </c>
      <c r="I38" s="48"/>
      <c r="J38" s="46">
        <v>25392</v>
      </c>
      <c r="K38" s="46">
        <v>24138</v>
      </c>
      <c r="L38" s="755">
        <v>28016</v>
      </c>
      <c r="M38" s="755">
        <v>36303</v>
      </c>
      <c r="N38" s="54">
        <v>113849</v>
      </c>
      <c r="O38" s="765"/>
      <c r="P38" s="755">
        <v>26752</v>
      </c>
      <c r="Q38" s="755">
        <v>32929</v>
      </c>
      <c r="R38" s="755">
        <v>24021</v>
      </c>
      <c r="S38" s="755">
        <v>31943</v>
      </c>
      <c r="T38" s="54">
        <f>+SUM(P38:S38)</f>
        <v>115645</v>
      </c>
      <c r="U38" s="765"/>
      <c r="V38" s="755">
        <v>35517</v>
      </c>
      <c r="W38" s="755">
        <v>32996</v>
      </c>
      <c r="X38" s="755">
        <v>26290</v>
      </c>
      <c r="Y38" s="755">
        <v>27880</v>
      </c>
      <c r="Z38" s="694">
        <v>122683</v>
      </c>
      <c r="AA38" s="766"/>
      <c r="AB38" s="755">
        <v>31922</v>
      </c>
      <c r="AC38" s="755">
        <v>36616</v>
      </c>
      <c r="AD38" s="755">
        <v>36346</v>
      </c>
      <c r="AE38" s="755">
        <v>38914</v>
      </c>
      <c r="AF38" s="54">
        <v>143798</v>
      </c>
      <c r="AG38" s="769"/>
      <c r="AH38" s="758">
        <v>41955</v>
      </c>
      <c r="AI38" s="758">
        <v>51975</v>
      </c>
      <c r="AJ38" s="702"/>
      <c r="AK38" s="50"/>
      <c r="AL38" s="68"/>
      <c r="AM38" s="71"/>
      <c r="AN38" s="50"/>
      <c r="AO38" s="50"/>
      <c r="AP38" s="50"/>
      <c r="AQ38" s="50"/>
      <c r="AR38" s="68"/>
      <c r="AS38" s="71"/>
      <c r="AT38" s="68"/>
      <c r="AU38" s="72"/>
      <c r="AV38" s="68"/>
      <c r="AW38" s="72"/>
      <c r="AX38" s="68"/>
    </row>
    <row r="39" spans="1:51" s="54" customFormat="1" ht="14.25" customHeight="1">
      <c r="A39" s="73"/>
      <c r="B39" s="76" t="s">
        <v>606</v>
      </c>
      <c r="C39" s="21"/>
      <c r="D39" s="46">
        <v>0</v>
      </c>
      <c r="E39" s="46">
        <v>0</v>
      </c>
      <c r="F39" s="46">
        <v>0</v>
      </c>
      <c r="G39" s="46">
        <v>0</v>
      </c>
      <c r="H39" s="66">
        <v>0</v>
      </c>
      <c r="I39" s="48"/>
      <c r="J39" s="46">
        <v>0</v>
      </c>
      <c r="K39" s="46">
        <v>0</v>
      </c>
      <c r="L39" s="755">
        <v>0</v>
      </c>
      <c r="M39" s="755">
        <v>0</v>
      </c>
      <c r="N39" s="54">
        <v>0</v>
      </c>
      <c r="O39" s="765"/>
      <c r="P39" s="755">
        <v>0</v>
      </c>
      <c r="Q39" s="755">
        <v>0</v>
      </c>
      <c r="R39" s="755">
        <v>0</v>
      </c>
      <c r="S39" s="755">
        <v>0</v>
      </c>
      <c r="T39" s="54">
        <v>0</v>
      </c>
      <c r="U39" s="765"/>
      <c r="V39" s="755">
        <v>0</v>
      </c>
      <c r="W39" s="755">
        <v>0</v>
      </c>
      <c r="X39" s="755">
        <v>0</v>
      </c>
      <c r="Y39" s="755">
        <v>0</v>
      </c>
      <c r="Z39" s="694">
        <v>0</v>
      </c>
      <c r="AA39" s="770"/>
      <c r="AB39" s="755">
        <v>0</v>
      </c>
      <c r="AC39" s="755">
        <v>0</v>
      </c>
      <c r="AD39" s="755">
        <v>0</v>
      </c>
      <c r="AE39" s="755">
        <v>0</v>
      </c>
      <c r="AF39" s="54">
        <v>0</v>
      </c>
      <c r="AG39" s="771"/>
      <c r="AH39" s="758">
        <v>0</v>
      </c>
      <c r="AI39" s="758">
        <v>0</v>
      </c>
      <c r="AJ39" s="702"/>
      <c r="AK39" s="50"/>
      <c r="AL39" s="68"/>
      <c r="AM39" s="81"/>
      <c r="AN39" s="50"/>
      <c r="AO39" s="50"/>
      <c r="AP39" s="50"/>
      <c r="AQ39" s="50"/>
      <c r="AR39" s="68"/>
      <c r="AS39" s="81"/>
      <c r="AT39" s="68"/>
      <c r="AU39" s="83"/>
      <c r="AV39" s="68"/>
      <c r="AW39" s="83"/>
      <c r="AX39" s="68"/>
    </row>
    <row r="40" spans="1:51" s="54" customFormat="1" ht="14.25" customHeight="1">
      <c r="A40" s="55"/>
      <c r="B40" s="76" t="s">
        <v>607</v>
      </c>
      <c r="C40" s="23"/>
      <c r="D40" s="46">
        <v>-25514</v>
      </c>
      <c r="E40" s="46">
        <v>19256</v>
      </c>
      <c r="F40" s="46">
        <v>-15955</v>
      </c>
      <c r="G40" s="46">
        <v>6879</v>
      </c>
      <c r="H40" s="74">
        <v>-15334</v>
      </c>
      <c r="I40" s="48"/>
      <c r="J40" s="46">
        <v>-257</v>
      </c>
      <c r="K40" s="46">
        <v>1582</v>
      </c>
      <c r="L40" s="755">
        <v>-7562</v>
      </c>
      <c r="M40" s="755">
        <v>-3307</v>
      </c>
      <c r="N40" s="772">
        <v>-9544</v>
      </c>
      <c r="O40" s="765"/>
      <c r="P40" s="755">
        <v>-6725</v>
      </c>
      <c r="Q40" s="755">
        <v>-7992</v>
      </c>
      <c r="R40" s="755">
        <v>-10102</v>
      </c>
      <c r="S40" s="755">
        <v>5837</v>
      </c>
      <c r="T40" s="54">
        <f>+SUM(P40:S40)</f>
        <v>-18982</v>
      </c>
      <c r="U40" s="765"/>
      <c r="V40" s="755">
        <v>-7471</v>
      </c>
      <c r="W40" s="755">
        <v>-7029</v>
      </c>
      <c r="X40" s="755">
        <v>-6097</v>
      </c>
      <c r="Y40" s="755">
        <v>13227</v>
      </c>
      <c r="Z40" s="772">
        <v>-7370</v>
      </c>
      <c r="AA40" s="766"/>
      <c r="AB40" s="755">
        <v>-4041</v>
      </c>
      <c r="AC40" s="755">
        <v>-5683</v>
      </c>
      <c r="AD40" s="755">
        <v>-4016</v>
      </c>
      <c r="AE40" s="755">
        <v>713</v>
      </c>
      <c r="AF40" s="772">
        <v>-13027</v>
      </c>
      <c r="AG40" s="769"/>
      <c r="AH40" s="755">
        <v>1963</v>
      </c>
      <c r="AI40" s="755">
        <v>-2505</v>
      </c>
      <c r="AJ40" s="50"/>
      <c r="AK40" s="50"/>
      <c r="AL40" s="75"/>
      <c r="AM40" s="51"/>
      <c r="AN40" s="50"/>
      <c r="AO40" s="50"/>
      <c r="AP40" s="50"/>
      <c r="AQ40" s="50"/>
      <c r="AR40" s="75"/>
      <c r="AS40" s="51"/>
      <c r="AT40" s="75"/>
      <c r="AU40" s="53"/>
      <c r="AV40" s="75"/>
      <c r="AW40" s="53"/>
      <c r="AX40" s="75"/>
    </row>
    <row r="41" spans="1:51" s="54" customFormat="1" ht="14.25" customHeight="1">
      <c r="A41" s="73"/>
      <c r="B41" s="79" t="s">
        <v>608</v>
      </c>
      <c r="C41" s="21"/>
      <c r="D41" s="46">
        <v>-5150</v>
      </c>
      <c r="E41" s="46">
        <v>32831</v>
      </c>
      <c r="F41" s="46">
        <v>-1536</v>
      </c>
      <c r="G41" s="46">
        <v>29506</v>
      </c>
      <c r="H41" s="77">
        <v>55651</v>
      </c>
      <c r="I41" s="48"/>
      <c r="J41" s="46">
        <v>25135</v>
      </c>
      <c r="K41" s="46">
        <v>25720</v>
      </c>
      <c r="L41" s="755">
        <v>20454</v>
      </c>
      <c r="M41" s="755">
        <v>32996</v>
      </c>
      <c r="N41" s="773">
        <v>104305</v>
      </c>
      <c r="O41" s="765"/>
      <c r="P41" s="755">
        <v>20027</v>
      </c>
      <c r="Q41" s="755">
        <v>24937</v>
      </c>
      <c r="R41" s="755">
        <v>13919</v>
      </c>
      <c r="S41" s="755">
        <v>37780</v>
      </c>
      <c r="T41" s="773">
        <v>96663</v>
      </c>
      <c r="U41" s="765"/>
      <c r="V41" s="755">
        <v>28046</v>
      </c>
      <c r="W41" s="755">
        <v>25967</v>
      </c>
      <c r="X41" s="755">
        <v>20193</v>
      </c>
      <c r="Y41" s="755">
        <v>41107</v>
      </c>
      <c r="Z41" s="773">
        <v>115313</v>
      </c>
      <c r="AA41" s="774"/>
      <c r="AB41" s="755">
        <v>27881</v>
      </c>
      <c r="AC41" s="755">
        <v>30933</v>
      </c>
      <c r="AD41" s="755">
        <v>32330</v>
      </c>
      <c r="AE41" s="755">
        <v>39627</v>
      </c>
      <c r="AF41" s="773">
        <v>130771</v>
      </c>
      <c r="AG41" s="771"/>
      <c r="AH41" s="755">
        <v>43918</v>
      </c>
      <c r="AI41" s="755">
        <v>49470</v>
      </c>
      <c r="AJ41" s="50"/>
      <c r="AK41" s="50"/>
      <c r="AL41" s="78"/>
      <c r="AM41" s="81"/>
      <c r="AN41" s="50"/>
      <c r="AO41" s="50"/>
      <c r="AP41" s="50"/>
      <c r="AQ41" s="50"/>
      <c r="AR41" s="78"/>
      <c r="AS41" s="81"/>
      <c r="AT41" s="78"/>
      <c r="AU41" s="83"/>
      <c r="AV41" s="78"/>
      <c r="AW41" s="83"/>
      <c r="AX41" s="78"/>
    </row>
    <row r="42" spans="1:51" s="54" customFormat="1" ht="14.25" customHeight="1">
      <c r="A42" s="84"/>
      <c r="B42" s="89" t="s">
        <v>609</v>
      </c>
      <c r="C42" s="22"/>
      <c r="D42" s="46">
        <v>17714</v>
      </c>
      <c r="E42" s="46">
        <v>-24092</v>
      </c>
      <c r="F42" s="46">
        <v>9766</v>
      </c>
      <c r="G42" s="46">
        <v>-24090</v>
      </c>
      <c r="H42" s="77">
        <v>-20702</v>
      </c>
      <c r="I42" s="48"/>
      <c r="J42" s="46">
        <v>-14341</v>
      </c>
      <c r="K42" s="46">
        <v>-22644</v>
      </c>
      <c r="L42" s="755">
        <v>-8452</v>
      </c>
      <c r="M42" s="755">
        <v>2747</v>
      </c>
      <c r="N42" s="773">
        <v>-42690</v>
      </c>
      <c r="O42" s="765"/>
      <c r="P42" s="755">
        <v>-2739</v>
      </c>
      <c r="Q42" s="755">
        <v>-3825</v>
      </c>
      <c r="R42" s="755">
        <v>7042</v>
      </c>
      <c r="S42" s="755">
        <v>-12413</v>
      </c>
      <c r="T42" s="694">
        <v>-11935</v>
      </c>
      <c r="U42" s="755"/>
      <c r="V42" s="755">
        <v>8019</v>
      </c>
      <c r="W42" s="755">
        <v>-6008</v>
      </c>
      <c r="X42" s="755">
        <v>-1518</v>
      </c>
      <c r="Y42" s="755">
        <v>-51817</v>
      </c>
      <c r="Z42" s="694">
        <v>-51324</v>
      </c>
      <c r="AA42" s="755"/>
      <c r="AB42" s="755">
        <v>-10975</v>
      </c>
      <c r="AC42" s="755">
        <v>-11347</v>
      </c>
      <c r="AD42" s="755">
        <v>-13168</v>
      </c>
      <c r="AE42" s="755">
        <v>-1868</v>
      </c>
      <c r="AF42" s="694">
        <f>+SUM(AB42:AE42)</f>
        <v>-37358</v>
      </c>
      <c r="AG42" s="755"/>
      <c r="AH42" s="755">
        <v>-25219</v>
      </c>
      <c r="AI42" s="755">
        <v>-27764</v>
      </c>
      <c r="AJ42" s="50"/>
      <c r="AK42" s="50"/>
      <c r="AL42" s="78"/>
      <c r="AM42" s="51"/>
      <c r="AN42" s="50"/>
      <c r="AO42" s="50"/>
      <c r="AP42" s="50"/>
      <c r="AQ42" s="50"/>
      <c r="AR42" s="78"/>
      <c r="AS42" s="51"/>
      <c r="AT42" s="78"/>
      <c r="AU42" s="53"/>
      <c r="AV42" s="78"/>
      <c r="AW42" s="53"/>
      <c r="AX42" s="78"/>
    </row>
    <row r="43" spans="1:51" s="54" customFormat="1" ht="14.25" customHeight="1">
      <c r="A43" s="73"/>
      <c r="B43" s="76"/>
      <c r="C43" s="21"/>
      <c r="D43" s="46"/>
      <c r="E43" s="46"/>
      <c r="F43" s="46"/>
      <c r="G43" s="46"/>
      <c r="H43" s="66"/>
      <c r="I43" s="48"/>
      <c r="J43" s="46"/>
      <c r="K43" s="46"/>
      <c r="L43" s="755"/>
      <c r="M43" s="755"/>
      <c r="O43" s="765"/>
      <c r="P43" s="755"/>
      <c r="Q43" s="755"/>
      <c r="R43" s="755"/>
      <c r="S43" s="755"/>
      <c r="U43" s="765"/>
      <c r="V43" s="755"/>
      <c r="W43" s="755"/>
      <c r="X43" s="755"/>
      <c r="Y43" s="755"/>
      <c r="AA43" s="766"/>
      <c r="AB43" s="755"/>
      <c r="AC43" s="755"/>
      <c r="AD43" s="755"/>
      <c r="AE43" s="755"/>
      <c r="AG43" s="769"/>
      <c r="AH43" s="755"/>
      <c r="AI43" s="755"/>
      <c r="AJ43" s="50"/>
      <c r="AK43" s="50"/>
      <c r="AL43" s="68"/>
      <c r="AM43" s="51"/>
      <c r="AN43" s="50"/>
      <c r="AO43" s="50"/>
      <c r="AP43" s="50"/>
      <c r="AQ43" s="50"/>
      <c r="AR43" s="68"/>
      <c r="AS43" s="51"/>
      <c r="AT43" s="68"/>
      <c r="AU43" s="53"/>
      <c r="AV43" s="68"/>
      <c r="AW43" s="53"/>
      <c r="AX43" s="68"/>
    </row>
    <row r="44" spans="1:51" s="54" customFormat="1" ht="14.25" customHeight="1">
      <c r="A44" s="44" t="s">
        <v>39</v>
      </c>
      <c r="B44" s="65" t="s">
        <v>610</v>
      </c>
      <c r="C44" s="21"/>
      <c r="D44" s="46"/>
      <c r="E44" s="46"/>
      <c r="F44" s="46"/>
      <c r="G44" s="46"/>
      <c r="H44" s="66"/>
      <c r="I44" s="48"/>
      <c r="J44" s="46"/>
      <c r="K44" s="46"/>
      <c r="L44" s="755"/>
      <c r="M44" s="755"/>
      <c r="O44" s="765"/>
      <c r="P44" s="755"/>
      <c r="Q44" s="755"/>
      <c r="R44" s="755"/>
      <c r="S44" s="755"/>
      <c r="T44" s="755"/>
      <c r="U44" s="755"/>
      <c r="V44" s="755"/>
      <c r="W44" s="755"/>
      <c r="X44" s="755"/>
      <c r="Y44" s="755"/>
      <c r="Z44" s="755"/>
      <c r="AA44" s="755"/>
      <c r="AB44" s="755"/>
      <c r="AC44" s="755"/>
      <c r="AD44" s="755"/>
      <c r="AE44" s="755"/>
      <c r="AF44" s="755"/>
      <c r="AG44" s="755"/>
      <c r="AH44" s="755"/>
      <c r="AI44" s="755"/>
      <c r="AJ44" s="50"/>
      <c r="AK44" s="50"/>
      <c r="AL44" s="68"/>
      <c r="AM44" s="51"/>
      <c r="AN44" s="50"/>
      <c r="AO44" s="50"/>
      <c r="AP44" s="50"/>
      <c r="AQ44" s="50"/>
      <c r="AR44" s="68"/>
      <c r="AS44" s="51"/>
      <c r="AT44" s="68"/>
      <c r="AU44" s="53"/>
      <c r="AV44" s="68"/>
      <c r="AW44" s="53"/>
      <c r="AX44" s="68"/>
    </row>
    <row r="45" spans="1:51" s="54" customFormat="1" ht="14.25" customHeight="1">
      <c r="A45" s="84"/>
      <c r="B45" s="70" t="s">
        <v>611</v>
      </c>
      <c r="C45" s="22"/>
      <c r="D45" s="46">
        <v>240</v>
      </c>
      <c r="E45" s="46">
        <v>540</v>
      </c>
      <c r="F45" s="46">
        <v>604</v>
      </c>
      <c r="G45" s="46">
        <v>85</v>
      </c>
      <c r="H45" s="66">
        <f>+SUM(D45:G45)</f>
        <v>1469</v>
      </c>
      <c r="I45" s="48"/>
      <c r="J45" s="46">
        <v>247</v>
      </c>
      <c r="K45" s="46">
        <v>286</v>
      </c>
      <c r="L45" s="755">
        <v>458</v>
      </c>
      <c r="M45" s="755">
        <v>1167</v>
      </c>
      <c r="N45" s="54">
        <f>+SUM(J45:M45)</f>
        <v>2158</v>
      </c>
      <c r="O45" s="765"/>
      <c r="P45" s="750">
        <v>1272</v>
      </c>
      <c r="Q45" s="750">
        <v>1252</v>
      </c>
      <c r="R45" s="750">
        <v>1571</v>
      </c>
      <c r="S45" s="750">
        <v>1928</v>
      </c>
      <c r="T45" s="54">
        <f>+SUM(P45:S45)</f>
        <v>6023</v>
      </c>
      <c r="U45" s="765"/>
      <c r="V45" s="750">
        <v>2610</v>
      </c>
      <c r="W45" s="750">
        <v>2113</v>
      </c>
      <c r="X45" s="750">
        <v>2734</v>
      </c>
      <c r="Y45" s="750">
        <v>2222</v>
      </c>
      <c r="Z45" s="54">
        <f>+SUM(V45:Y45)</f>
        <v>9679</v>
      </c>
      <c r="AA45" s="767"/>
      <c r="AB45" s="750">
        <v>2333</v>
      </c>
      <c r="AC45" s="750">
        <v>2361</v>
      </c>
      <c r="AD45" s="750">
        <v>2040</v>
      </c>
      <c r="AE45" s="750">
        <v>2677</v>
      </c>
      <c r="AF45" s="54">
        <f>+SUM(AB45:AE45)</f>
        <v>9411</v>
      </c>
      <c r="AG45" s="769"/>
      <c r="AH45" s="750">
        <v>2331</v>
      </c>
      <c r="AI45" s="750">
        <v>2368</v>
      </c>
      <c r="AJ45" s="50"/>
      <c r="AK45" s="50"/>
      <c r="AL45" s="68"/>
      <c r="AM45" s="90"/>
      <c r="AN45" s="50"/>
      <c r="AO45" s="50"/>
      <c r="AP45" s="50"/>
      <c r="AQ45" s="50"/>
      <c r="AR45" s="68"/>
      <c r="AS45" s="71"/>
      <c r="AT45" s="68"/>
      <c r="AU45" s="72"/>
      <c r="AV45" s="68"/>
      <c r="AW45" s="72"/>
      <c r="AX45" s="68"/>
    </row>
    <row r="46" spans="1:51" s="54" customFormat="1" ht="14.25" customHeight="1">
      <c r="A46" s="84"/>
      <c r="B46" s="70" t="s">
        <v>612</v>
      </c>
      <c r="C46" s="22"/>
      <c r="D46" s="46">
        <v>0</v>
      </c>
      <c r="E46" s="46">
        <v>0</v>
      </c>
      <c r="F46" s="46">
        <v>0</v>
      </c>
      <c r="G46" s="46">
        <v>0</v>
      </c>
      <c r="H46" s="66">
        <v>0</v>
      </c>
      <c r="I46" s="48"/>
      <c r="J46" s="46">
        <v>0</v>
      </c>
      <c r="K46" s="46">
        <v>0</v>
      </c>
      <c r="L46" s="755">
        <v>0</v>
      </c>
      <c r="M46" s="755">
        <v>0</v>
      </c>
      <c r="N46" s="54">
        <v>0</v>
      </c>
      <c r="O46" s="765"/>
      <c r="P46" s="755">
        <v>0</v>
      </c>
      <c r="Q46" s="755">
        <v>0</v>
      </c>
      <c r="R46" s="755">
        <v>0</v>
      </c>
      <c r="S46" s="755">
        <v>0</v>
      </c>
      <c r="T46" s="755">
        <v>0</v>
      </c>
      <c r="U46" s="755"/>
      <c r="V46" s="755">
        <v>0</v>
      </c>
      <c r="W46" s="755">
        <v>0</v>
      </c>
      <c r="X46" s="755">
        <v>0</v>
      </c>
      <c r="Y46" s="755">
        <v>0</v>
      </c>
      <c r="Z46" s="755">
        <v>0</v>
      </c>
      <c r="AA46" s="755"/>
      <c r="AB46" s="755">
        <v>0</v>
      </c>
      <c r="AC46" s="755">
        <v>0</v>
      </c>
      <c r="AD46" s="755">
        <v>0</v>
      </c>
      <c r="AE46" s="755">
        <v>0</v>
      </c>
      <c r="AF46" s="755">
        <v>0</v>
      </c>
      <c r="AG46" s="755"/>
      <c r="AH46" s="755">
        <v>0</v>
      </c>
      <c r="AI46" s="755">
        <v>0</v>
      </c>
      <c r="AJ46" s="50"/>
      <c r="AK46" s="50"/>
      <c r="AL46" s="68"/>
      <c r="AM46" s="91"/>
      <c r="AN46" s="50"/>
      <c r="AO46" s="50"/>
      <c r="AP46" s="50"/>
      <c r="AQ46" s="50"/>
      <c r="AR46" s="68"/>
      <c r="AS46" s="51"/>
      <c r="AT46" s="68"/>
      <c r="AU46" s="53"/>
      <c r="AV46" s="68"/>
      <c r="AW46" s="53"/>
      <c r="AX46" s="68"/>
    </row>
    <row r="47" spans="1:51" s="54" customFormat="1" ht="14.25" customHeight="1">
      <c r="A47" s="73"/>
      <c r="B47" s="70" t="s">
        <v>613</v>
      </c>
      <c r="C47" s="21"/>
      <c r="D47" s="46">
        <v>18270</v>
      </c>
      <c r="E47" s="46">
        <v>-25036</v>
      </c>
      <c r="F47" s="46">
        <v>9077</v>
      </c>
      <c r="G47" s="46">
        <v>-54729.26</v>
      </c>
      <c r="H47" s="92">
        <v>-52418.26</v>
      </c>
      <c r="I47" s="48"/>
      <c r="J47" s="46">
        <v>-9722</v>
      </c>
      <c r="K47" s="46">
        <v>-18663</v>
      </c>
      <c r="L47" s="755">
        <v>-4410</v>
      </c>
      <c r="M47" s="755">
        <v>46268.26</v>
      </c>
      <c r="N47" s="775">
        <v>13473.26</v>
      </c>
      <c r="O47" s="765"/>
      <c r="P47" s="755">
        <v>-4007</v>
      </c>
      <c r="Q47" s="755">
        <v>-5081</v>
      </c>
      <c r="R47" s="755">
        <v>5471</v>
      </c>
      <c r="S47" s="755">
        <v>19072.560000000001</v>
      </c>
      <c r="T47" s="755">
        <v>15455.56</v>
      </c>
      <c r="U47" s="755"/>
      <c r="V47" s="755">
        <v>5409</v>
      </c>
      <c r="W47" s="755">
        <v>-8121</v>
      </c>
      <c r="X47" s="755">
        <v>-4252</v>
      </c>
      <c r="Y47" s="755">
        <v>17984.5</v>
      </c>
      <c r="Z47" s="755">
        <v>11020.5</v>
      </c>
      <c r="AA47" s="755"/>
      <c r="AB47" s="755">
        <v>-13308</v>
      </c>
      <c r="AC47" s="755">
        <v>-12833.58</v>
      </c>
      <c r="AD47" s="755">
        <v>-15208</v>
      </c>
      <c r="AE47" s="755">
        <v>51520.3</v>
      </c>
      <c r="AF47" s="755">
        <v>10679.72</v>
      </c>
      <c r="AG47" s="755"/>
      <c r="AH47" s="755">
        <v>-27550</v>
      </c>
      <c r="AI47" s="755">
        <v>-30132</v>
      </c>
      <c r="AJ47" s="50"/>
      <c r="AK47" s="50"/>
      <c r="AL47" s="93"/>
      <c r="AM47" s="91"/>
      <c r="AN47" s="50"/>
      <c r="AO47" s="50"/>
      <c r="AP47" s="50"/>
      <c r="AQ47" s="50"/>
      <c r="AR47" s="93"/>
      <c r="AS47" s="51"/>
      <c r="AT47" s="93"/>
      <c r="AU47" s="53"/>
      <c r="AV47" s="93"/>
      <c r="AW47" s="53"/>
      <c r="AX47" s="93"/>
    </row>
    <row r="48" spans="1:51" ht="14.25" customHeight="1">
      <c r="L48" s="776"/>
      <c r="M48" s="776"/>
      <c r="N48" s="776"/>
      <c r="O48" s="659"/>
      <c r="P48" s="776"/>
      <c r="Q48" s="776"/>
      <c r="R48" s="776"/>
      <c r="S48" s="776"/>
      <c r="T48" s="776"/>
      <c r="U48" s="776"/>
      <c r="V48" s="776"/>
      <c r="W48" s="776"/>
      <c r="X48" s="776"/>
      <c r="Y48" s="776"/>
      <c r="Z48" s="776"/>
      <c r="AA48" s="776"/>
      <c r="AB48" s="776"/>
      <c r="AC48" s="776"/>
      <c r="AD48" s="776"/>
      <c r="AE48" s="776"/>
      <c r="AF48" s="776"/>
      <c r="AG48" s="776"/>
      <c r="AH48" s="776"/>
      <c r="AI48" s="776"/>
    </row>
    <row r="49" spans="1:50" s="54" customFormat="1" ht="14.25" customHeight="1">
      <c r="A49" s="44" t="s">
        <v>39</v>
      </c>
      <c r="B49" s="65" t="s">
        <v>614</v>
      </c>
      <c r="C49" s="23"/>
      <c r="D49" s="46"/>
      <c r="E49" s="46"/>
      <c r="F49" s="46"/>
      <c r="G49" s="46"/>
      <c r="H49" s="66"/>
      <c r="I49" s="48"/>
      <c r="J49" s="46"/>
      <c r="K49" s="46"/>
      <c r="L49" s="755"/>
      <c r="M49" s="755"/>
      <c r="O49" s="765"/>
      <c r="P49" s="755"/>
      <c r="Q49" s="755"/>
      <c r="R49" s="755"/>
      <c r="S49" s="755"/>
      <c r="T49" s="755"/>
      <c r="U49" s="755"/>
      <c r="V49" s="755"/>
      <c r="W49" s="755"/>
      <c r="X49" s="755"/>
      <c r="Y49" s="755"/>
      <c r="Z49" s="755"/>
      <c r="AA49" s="755"/>
      <c r="AB49" s="755"/>
      <c r="AC49" s="755"/>
      <c r="AD49" s="755"/>
      <c r="AE49" s="755"/>
      <c r="AF49" s="755"/>
      <c r="AG49" s="755"/>
      <c r="AH49" s="755"/>
      <c r="AI49" s="755"/>
      <c r="AJ49" s="50"/>
      <c r="AK49" s="50"/>
      <c r="AL49" s="68"/>
      <c r="AM49" s="48"/>
      <c r="AN49" s="50"/>
      <c r="AO49" s="50"/>
      <c r="AP49" s="50"/>
      <c r="AQ49" s="50"/>
      <c r="AR49" s="68"/>
      <c r="AS49" s="48"/>
      <c r="AT49" s="68"/>
      <c r="AU49" s="95"/>
      <c r="AV49" s="68"/>
      <c r="AW49" s="95"/>
      <c r="AX49" s="68"/>
    </row>
    <row r="50" spans="1:50" s="54" customFormat="1" ht="14.25" customHeight="1">
      <c r="A50" s="73"/>
      <c r="B50" s="70" t="s">
        <v>615</v>
      </c>
      <c r="C50" s="21"/>
      <c r="D50" s="46">
        <v>0</v>
      </c>
      <c r="E50" s="46">
        <v>0</v>
      </c>
      <c r="F50" s="46">
        <v>0</v>
      </c>
      <c r="G50" s="46">
        <v>0</v>
      </c>
      <c r="H50" s="66">
        <v>0</v>
      </c>
      <c r="I50" s="48"/>
      <c r="J50" s="46">
        <v>0</v>
      </c>
      <c r="K50" s="46">
        <v>0</v>
      </c>
      <c r="L50" s="755">
        <v>0</v>
      </c>
      <c r="M50" s="755">
        <v>0</v>
      </c>
      <c r="N50" s="54">
        <v>0</v>
      </c>
      <c r="O50" s="765"/>
      <c r="P50" s="755">
        <v>0</v>
      </c>
      <c r="Q50" s="755">
        <v>0</v>
      </c>
      <c r="R50" s="755">
        <v>0</v>
      </c>
      <c r="S50" s="755">
        <v>0</v>
      </c>
      <c r="T50" s="54">
        <v>0</v>
      </c>
      <c r="U50" s="765"/>
      <c r="V50" s="755">
        <v>0</v>
      </c>
      <c r="W50" s="755">
        <v>0</v>
      </c>
      <c r="X50" s="755">
        <v>0</v>
      </c>
      <c r="Y50" s="755">
        <v>0</v>
      </c>
      <c r="Z50" s="54">
        <v>0</v>
      </c>
      <c r="AA50" s="770"/>
      <c r="AB50" s="755">
        <v>0</v>
      </c>
      <c r="AC50" s="755">
        <v>0</v>
      </c>
      <c r="AD50" s="755">
        <v>0</v>
      </c>
      <c r="AE50" s="755">
        <v>0</v>
      </c>
      <c r="AF50" s="54">
        <v>0</v>
      </c>
      <c r="AG50" s="771"/>
      <c r="AH50" s="755">
        <v>0</v>
      </c>
      <c r="AI50" s="755">
        <v>0</v>
      </c>
      <c r="AJ50" s="50"/>
      <c r="AK50" s="50"/>
      <c r="AL50" s="68"/>
      <c r="AM50" s="81"/>
      <c r="AN50" s="50"/>
      <c r="AO50" s="50"/>
      <c r="AP50" s="50"/>
      <c r="AQ50" s="50"/>
      <c r="AR50" s="68"/>
      <c r="AS50" s="81"/>
      <c r="AT50" s="68"/>
      <c r="AU50" s="83"/>
      <c r="AV50" s="68"/>
      <c r="AW50" s="83"/>
      <c r="AX50" s="68"/>
    </row>
    <row r="51" spans="1:50" s="54" customFormat="1" ht="14.25" customHeight="1">
      <c r="A51" s="55"/>
      <c r="B51" s="70" t="s">
        <v>616</v>
      </c>
      <c r="C51" s="23"/>
      <c r="D51" s="46">
        <v>344</v>
      </c>
      <c r="E51" s="46">
        <v>-4241</v>
      </c>
      <c r="F51" s="46">
        <v>4077</v>
      </c>
      <c r="G51" s="46">
        <v>-6781</v>
      </c>
      <c r="H51" s="74">
        <v>-6601</v>
      </c>
      <c r="I51" s="48"/>
      <c r="J51" s="46">
        <v>-416</v>
      </c>
      <c r="K51" s="46">
        <v>-471</v>
      </c>
      <c r="L51" s="755">
        <v>608</v>
      </c>
      <c r="M51" s="755">
        <v>24595</v>
      </c>
      <c r="N51" s="772">
        <v>24316</v>
      </c>
      <c r="O51" s="765"/>
      <c r="P51" s="755">
        <v>1509</v>
      </c>
      <c r="Q51" s="755">
        <v>2334</v>
      </c>
      <c r="R51" s="755">
        <v>1615</v>
      </c>
      <c r="S51" s="755">
        <v>51988</v>
      </c>
      <c r="T51" s="772">
        <v>57446</v>
      </c>
      <c r="U51" s="765"/>
      <c r="V51" s="755">
        <v>6913</v>
      </c>
      <c r="W51" s="755">
        <v>2652</v>
      </c>
      <c r="X51" s="755">
        <v>2847</v>
      </c>
      <c r="Y51" s="755">
        <v>122987</v>
      </c>
      <c r="Z51" s="772">
        <v>135399</v>
      </c>
      <c r="AA51" s="765"/>
      <c r="AB51" s="755">
        <v>2968</v>
      </c>
      <c r="AC51" s="755">
        <v>4084</v>
      </c>
      <c r="AD51" s="755">
        <v>3407</v>
      </c>
      <c r="AE51" s="755">
        <v>77420</v>
      </c>
      <c r="AF51" s="772">
        <v>87879</v>
      </c>
      <c r="AG51" s="777"/>
      <c r="AH51" s="755">
        <v>880</v>
      </c>
      <c r="AI51" s="755">
        <v>2926</v>
      </c>
      <c r="AJ51" s="50"/>
      <c r="AK51" s="50"/>
      <c r="AL51" s="75"/>
      <c r="AM51" s="48"/>
      <c r="AN51" s="50"/>
      <c r="AO51" s="50"/>
      <c r="AP51" s="50"/>
      <c r="AQ51" s="50"/>
      <c r="AR51" s="75"/>
      <c r="AS51" s="48"/>
      <c r="AT51" s="75"/>
      <c r="AU51" s="95"/>
      <c r="AV51" s="75"/>
      <c r="AW51" s="95"/>
      <c r="AX51" s="75"/>
    </row>
    <row r="52" spans="1:50" s="54" customFormat="1" ht="14.25" customHeight="1" thickBot="1">
      <c r="A52" s="73"/>
      <c r="B52" s="76" t="s">
        <v>617</v>
      </c>
      <c r="C52" s="21"/>
      <c r="D52" s="46">
        <v>17926</v>
      </c>
      <c r="E52" s="46">
        <v>-20795</v>
      </c>
      <c r="F52" s="46">
        <v>5000</v>
      </c>
      <c r="G52" s="46">
        <v>-60838</v>
      </c>
      <c r="H52" s="92">
        <v>-58707</v>
      </c>
      <c r="I52" s="48"/>
      <c r="J52" s="46">
        <v>-9306</v>
      </c>
      <c r="K52" s="46">
        <v>-18192</v>
      </c>
      <c r="L52" s="755">
        <v>-5018</v>
      </c>
      <c r="M52" s="755">
        <v>-64360</v>
      </c>
      <c r="N52" s="775">
        <v>-96876</v>
      </c>
      <c r="O52" s="765"/>
      <c r="P52" s="778">
        <v>-5516</v>
      </c>
      <c r="Q52" s="778">
        <v>-7415</v>
      </c>
      <c r="R52" s="778">
        <v>3856</v>
      </c>
      <c r="S52" s="778">
        <v>-87021</v>
      </c>
      <c r="T52" s="775">
        <v>-96096</v>
      </c>
      <c r="U52" s="765"/>
      <c r="V52" s="778">
        <v>-1504</v>
      </c>
      <c r="W52" s="778">
        <v>-10773</v>
      </c>
      <c r="X52" s="778">
        <v>-7099</v>
      </c>
      <c r="Y52" s="778">
        <v>-236982</v>
      </c>
      <c r="Z52" s="775">
        <v>-256358</v>
      </c>
      <c r="AA52" s="765"/>
      <c r="AB52" s="778">
        <v>-16276</v>
      </c>
      <c r="AC52" s="778">
        <v>-15613</v>
      </c>
      <c r="AD52" s="778">
        <v>-18615</v>
      </c>
      <c r="AE52" s="778">
        <v>-91518</v>
      </c>
      <c r="AF52" s="775">
        <v>-141513</v>
      </c>
      <c r="AG52" s="777"/>
      <c r="AH52" s="755">
        <v>-28430</v>
      </c>
      <c r="AI52" s="755">
        <v>-33058</v>
      </c>
      <c r="AJ52" s="50"/>
      <c r="AK52" s="50"/>
      <c r="AL52" s="93"/>
      <c r="AM52" s="48"/>
      <c r="AN52" s="50"/>
      <c r="AO52" s="50"/>
      <c r="AP52" s="50"/>
      <c r="AQ52" s="50"/>
      <c r="AR52" s="93"/>
      <c r="AS52" s="48"/>
      <c r="AT52" s="93"/>
      <c r="AU52" s="95"/>
      <c r="AV52" s="93"/>
      <c r="AW52" s="95"/>
      <c r="AX52" s="93"/>
    </row>
    <row r="53" spans="1:50" s="54" customFormat="1" ht="14.25" customHeight="1" thickTop="1">
      <c r="A53" s="55"/>
      <c r="B53" s="96"/>
      <c r="C53" s="23"/>
      <c r="D53" s="46"/>
      <c r="E53" s="46"/>
      <c r="F53" s="46"/>
      <c r="G53" s="46"/>
      <c r="H53" s="66"/>
      <c r="I53" s="48"/>
      <c r="J53" s="46"/>
      <c r="K53" s="46"/>
      <c r="L53" s="755"/>
      <c r="M53" s="755"/>
      <c r="O53" s="765"/>
      <c r="P53" s="755"/>
      <c r="Q53" s="755"/>
      <c r="R53" s="755"/>
      <c r="S53" s="755"/>
      <c r="T53" s="755"/>
      <c r="U53" s="755"/>
      <c r="V53" s="755"/>
      <c r="W53" s="755"/>
      <c r="X53" s="755"/>
      <c r="Y53" s="755"/>
      <c r="Z53" s="755"/>
      <c r="AA53" s="755"/>
      <c r="AB53" s="755"/>
      <c r="AC53" s="755"/>
      <c r="AD53" s="755"/>
      <c r="AE53" s="755"/>
      <c r="AF53" s="755"/>
      <c r="AG53" s="755"/>
      <c r="AH53" s="755"/>
      <c r="AI53" s="755"/>
      <c r="AJ53" s="50"/>
      <c r="AK53" s="50"/>
      <c r="AL53" s="68"/>
      <c r="AM53" s="48"/>
      <c r="AN53" s="50"/>
      <c r="AO53" s="50"/>
      <c r="AP53" s="50"/>
      <c r="AQ53" s="50"/>
      <c r="AR53" s="68"/>
      <c r="AS53" s="48"/>
      <c r="AT53" s="68"/>
      <c r="AU53" s="95"/>
      <c r="AV53" s="68"/>
      <c r="AW53" s="95"/>
      <c r="AX53" s="68"/>
    </row>
    <row r="54" spans="1:50" s="54" customFormat="1" ht="14.25" customHeight="1">
      <c r="A54" s="44" t="s">
        <v>39</v>
      </c>
      <c r="B54" s="65" t="s">
        <v>618</v>
      </c>
      <c r="C54" s="21"/>
      <c r="D54" s="46"/>
      <c r="E54" s="46"/>
      <c r="F54" s="46"/>
      <c r="G54" s="46"/>
      <c r="H54" s="66"/>
      <c r="I54" s="48"/>
      <c r="J54" s="46"/>
      <c r="K54" s="46"/>
      <c r="L54" s="755"/>
      <c r="M54" s="755"/>
      <c r="O54" s="765"/>
      <c r="P54" s="755"/>
      <c r="Q54" s="755"/>
      <c r="R54" s="755"/>
      <c r="S54" s="755"/>
      <c r="T54" s="755"/>
      <c r="U54" s="755"/>
      <c r="V54" s="755"/>
      <c r="W54" s="755"/>
      <c r="X54" s="755"/>
      <c r="Y54" s="755"/>
      <c r="Z54" s="755"/>
      <c r="AA54" s="755"/>
      <c r="AB54" s="755"/>
      <c r="AC54" s="755"/>
      <c r="AD54" s="755"/>
      <c r="AE54" s="755"/>
      <c r="AF54" s="755"/>
      <c r="AG54" s="755"/>
      <c r="AH54" s="755"/>
      <c r="AI54" s="755"/>
      <c r="AJ54" s="50"/>
      <c r="AK54" s="50"/>
      <c r="AL54" s="68"/>
      <c r="AM54" s="48"/>
      <c r="AN54" s="50"/>
      <c r="AO54" s="50"/>
      <c r="AP54" s="50"/>
      <c r="AQ54" s="50"/>
      <c r="AR54" s="68"/>
      <c r="AS54" s="48"/>
      <c r="AT54" s="68"/>
      <c r="AU54" s="95"/>
      <c r="AV54" s="68"/>
      <c r="AW54" s="95"/>
      <c r="AX54" s="68"/>
    </row>
    <row r="55" spans="1:50" s="54" customFormat="1" ht="14.25" customHeight="1">
      <c r="A55" s="55"/>
      <c r="B55" s="76" t="s">
        <v>619</v>
      </c>
      <c r="C55" s="23"/>
      <c r="D55" s="97">
        <v>9.1899999999999996E-2</v>
      </c>
      <c r="E55" s="97">
        <v>-0.1067</v>
      </c>
      <c r="F55" s="97">
        <v>2.5600000000000001E-2</v>
      </c>
      <c r="G55" s="97">
        <v>-0.73780000000000001</v>
      </c>
      <c r="H55" s="98">
        <v>-0.70499999999999996</v>
      </c>
      <c r="I55" s="99"/>
      <c r="J55" s="97">
        <v>-9.0200000000000002E-2</v>
      </c>
      <c r="K55" s="97">
        <v>-0.17630000000000001</v>
      </c>
      <c r="L55" s="755">
        <v>-4.8599999999999997E-2</v>
      </c>
      <c r="M55" s="755">
        <v>0.21</v>
      </c>
      <c r="N55" s="779">
        <v>-0.1051</v>
      </c>
      <c r="O55" s="765"/>
      <c r="P55" s="755">
        <v>-5.3499999999999999E-2</v>
      </c>
      <c r="Q55" s="755">
        <v>-7.1900000000000006E-2</v>
      </c>
      <c r="R55" s="755">
        <v>3.7400000000000003E-2</v>
      </c>
      <c r="S55" s="755">
        <v>-0.31900000000000001</v>
      </c>
      <c r="T55" s="779">
        <v>-0.40689999999999998</v>
      </c>
      <c r="U55" s="765"/>
      <c r="V55" s="755">
        <v>-1.46E-2</v>
      </c>
      <c r="W55" s="755">
        <v>-0.10440000000000001</v>
      </c>
      <c r="X55" s="755">
        <v>-6.88E-2</v>
      </c>
      <c r="Y55" s="755">
        <v>-1.0176000000000001</v>
      </c>
      <c r="Z55" s="779">
        <v>-1.2053</v>
      </c>
      <c r="AA55" s="765"/>
      <c r="AB55" s="755">
        <v>-0.15770000000000001</v>
      </c>
      <c r="AC55" s="755">
        <v>-0.16389999999999999</v>
      </c>
      <c r="AD55" s="755">
        <v>-0.1804</v>
      </c>
      <c r="AE55" s="755">
        <v>-0.251</v>
      </c>
      <c r="AF55" s="779">
        <v>-0.74809999999999999</v>
      </c>
      <c r="AG55" s="777"/>
      <c r="AH55" s="755">
        <v>-0.27550000000000002</v>
      </c>
      <c r="AI55" s="755">
        <v>-0.32040000000000002</v>
      </c>
      <c r="AJ55" s="100"/>
      <c r="AK55" s="100"/>
      <c r="AL55" s="101"/>
      <c r="AM55" s="99"/>
      <c r="AN55" s="100"/>
      <c r="AO55" s="100"/>
      <c r="AP55" s="100"/>
      <c r="AQ55" s="100"/>
      <c r="AR55" s="101"/>
      <c r="AS55" s="99"/>
      <c r="AT55" s="101"/>
      <c r="AU55" s="102"/>
      <c r="AV55" s="101"/>
      <c r="AW55" s="102"/>
      <c r="AX55" s="101"/>
    </row>
    <row r="56" spans="1:50" s="54" customFormat="1" ht="14.25" customHeight="1">
      <c r="A56" s="73"/>
      <c r="B56" s="76" t="s">
        <v>620</v>
      </c>
      <c r="C56" s="21"/>
      <c r="D56" s="97">
        <v>9.1899999999999996E-2</v>
      </c>
      <c r="E56" s="97">
        <v>-0.1067</v>
      </c>
      <c r="F56" s="97">
        <v>2.5600000000000001E-2</v>
      </c>
      <c r="G56" s="97">
        <v>-0.73780000000000001</v>
      </c>
      <c r="H56" s="98">
        <v>-0.70499999999999996</v>
      </c>
      <c r="I56" s="99"/>
      <c r="J56" s="97">
        <v>-9.0200000000000002E-2</v>
      </c>
      <c r="K56" s="97">
        <v>-0.17630000000000001</v>
      </c>
      <c r="L56" s="755">
        <v>-4.8599999999999997E-2</v>
      </c>
      <c r="M56" s="755">
        <v>0.21</v>
      </c>
      <c r="N56" s="779">
        <v>-0.1051</v>
      </c>
      <c r="O56" s="765"/>
      <c r="P56" s="755">
        <v>-5.3499999999999999E-2</v>
      </c>
      <c r="Q56" s="755">
        <v>-7.1900000000000006E-2</v>
      </c>
      <c r="R56" s="755">
        <v>3.7400000000000003E-2</v>
      </c>
      <c r="S56" s="755">
        <v>-0.31900000000000001</v>
      </c>
      <c r="T56" s="779">
        <v>-0.40689999999999998</v>
      </c>
      <c r="U56" s="765"/>
      <c r="V56" s="755">
        <v>-1.46E-2</v>
      </c>
      <c r="W56" s="755">
        <v>-0.10440000000000001</v>
      </c>
      <c r="X56" s="755">
        <v>-6.88E-2</v>
      </c>
      <c r="Y56" s="755">
        <v>-1.0176000000000001</v>
      </c>
      <c r="Z56" s="779">
        <v>-1.2053</v>
      </c>
      <c r="AA56" s="765"/>
      <c r="AB56" s="755">
        <v>-0.15770000000000001</v>
      </c>
      <c r="AC56" s="755">
        <v>-0.16389999999999999</v>
      </c>
      <c r="AD56" s="755">
        <v>-0.1804</v>
      </c>
      <c r="AE56" s="755">
        <v>-0.251</v>
      </c>
      <c r="AF56" s="779">
        <v>-0.74809999999999999</v>
      </c>
      <c r="AG56" s="777"/>
      <c r="AH56" s="755">
        <v>-0.27550000000000002</v>
      </c>
      <c r="AI56" s="755">
        <v>-0.32040000000000002</v>
      </c>
      <c r="AJ56" s="100"/>
      <c r="AK56" s="100"/>
      <c r="AL56" s="101"/>
      <c r="AM56" s="99"/>
      <c r="AN56" s="100"/>
      <c r="AO56" s="100"/>
      <c r="AP56" s="100"/>
      <c r="AQ56" s="100"/>
      <c r="AR56" s="101"/>
      <c r="AS56" s="99"/>
      <c r="AT56" s="101"/>
      <c r="AU56" s="102"/>
      <c r="AV56" s="101"/>
      <c r="AW56" s="102"/>
      <c r="AX56" s="101"/>
    </row>
    <row r="57" spans="1:50" s="54" customFormat="1" ht="14.25" customHeight="1">
      <c r="A57" s="55"/>
      <c r="B57" s="96"/>
      <c r="C57" s="23"/>
      <c r="D57" s="46"/>
      <c r="E57" s="46"/>
      <c r="F57" s="46"/>
      <c r="G57" s="46"/>
      <c r="H57" s="66"/>
      <c r="I57" s="48"/>
      <c r="J57" s="46"/>
      <c r="K57" s="46"/>
      <c r="L57" s="755"/>
      <c r="M57" s="755"/>
      <c r="O57" s="765"/>
      <c r="P57" s="755"/>
      <c r="Q57" s="755"/>
      <c r="R57" s="755"/>
      <c r="S57" s="755"/>
      <c r="U57" s="765"/>
      <c r="V57" s="755"/>
      <c r="W57" s="755"/>
      <c r="X57" s="755"/>
      <c r="Y57" s="755"/>
      <c r="AA57" s="765"/>
      <c r="AB57" s="755"/>
      <c r="AC57" s="755"/>
      <c r="AD57" s="755"/>
      <c r="AE57" s="755"/>
      <c r="AG57" s="777"/>
      <c r="AH57" s="755"/>
      <c r="AI57" s="755"/>
      <c r="AJ57" s="50"/>
      <c r="AK57" s="50"/>
      <c r="AL57" s="68"/>
      <c r="AM57" s="48"/>
      <c r="AN57" s="50"/>
      <c r="AO57" s="50"/>
      <c r="AP57" s="50"/>
      <c r="AQ57" s="50"/>
      <c r="AR57" s="68"/>
      <c r="AS57" s="48"/>
      <c r="AT57" s="68"/>
      <c r="AU57" s="95"/>
      <c r="AV57" s="68"/>
      <c r="AW57" s="95"/>
      <c r="AX57" s="68"/>
    </row>
    <row r="58" spans="1:50" s="54" customFormat="1" ht="14.25" customHeight="1">
      <c r="A58" s="44" t="s">
        <v>39</v>
      </c>
      <c r="B58" s="65" t="s">
        <v>621</v>
      </c>
      <c r="C58" s="21"/>
      <c r="D58" s="46"/>
      <c r="E58" s="46"/>
      <c r="F58" s="46"/>
      <c r="G58" s="46"/>
      <c r="H58" s="66"/>
      <c r="I58" s="48"/>
      <c r="J58" s="46"/>
      <c r="K58" s="46"/>
      <c r="L58" s="755"/>
      <c r="M58" s="755"/>
      <c r="O58" s="765"/>
      <c r="P58" s="755"/>
      <c r="Q58" s="755"/>
      <c r="R58" s="755"/>
      <c r="S58" s="755"/>
      <c r="U58" s="765"/>
      <c r="V58" s="755"/>
      <c r="W58" s="755"/>
      <c r="X58" s="755"/>
      <c r="Y58" s="755"/>
      <c r="AA58" s="765"/>
      <c r="AB58" s="755"/>
      <c r="AC58" s="755"/>
      <c r="AD58" s="755"/>
      <c r="AE58" s="755"/>
      <c r="AG58" s="777"/>
      <c r="AH58" s="755"/>
      <c r="AI58" s="755"/>
      <c r="AJ58" s="50"/>
      <c r="AK58" s="50"/>
      <c r="AL58" s="68"/>
      <c r="AM58" s="48"/>
      <c r="AN58" s="50"/>
      <c r="AO58" s="50"/>
      <c r="AP58" s="50"/>
      <c r="AQ58" s="50"/>
      <c r="AR58" s="68"/>
      <c r="AS58" s="48"/>
      <c r="AT58" s="68"/>
      <c r="AU58" s="95"/>
      <c r="AV58" s="68"/>
      <c r="AW58" s="95"/>
      <c r="AX58" s="68"/>
    </row>
    <row r="59" spans="1:50" s="54" customFormat="1" ht="14.25" customHeight="1">
      <c r="A59" s="96"/>
      <c r="B59" s="70" t="s">
        <v>622</v>
      </c>
      <c r="C59" s="23"/>
      <c r="D59" s="318">
        <v>194966.943</v>
      </c>
      <c r="E59" s="318">
        <v>194966.943</v>
      </c>
      <c r="F59" s="318">
        <v>194966.943</v>
      </c>
      <c r="G59" s="318">
        <v>64988.981</v>
      </c>
      <c r="H59" s="327">
        <v>64988.981</v>
      </c>
      <c r="I59" s="328"/>
      <c r="J59" s="318">
        <v>103188.981</v>
      </c>
      <c r="K59" s="318">
        <v>103188.981</v>
      </c>
      <c r="L59" s="755">
        <v>103188.981</v>
      </c>
      <c r="M59" s="755">
        <v>103188.981</v>
      </c>
      <c r="N59" s="54">
        <v>103188.981</v>
      </c>
      <c r="O59" s="765"/>
      <c r="P59" s="755">
        <v>103188.981</v>
      </c>
      <c r="Q59" s="755">
        <v>103188.981</v>
      </c>
      <c r="R59" s="755">
        <v>103188.981</v>
      </c>
      <c r="S59" s="755">
        <v>103188.981</v>
      </c>
      <c r="T59" s="54">
        <v>103188.981</v>
      </c>
      <c r="U59" s="765"/>
      <c r="V59" s="755">
        <v>103188.981</v>
      </c>
      <c r="W59" s="755">
        <v>103188.981</v>
      </c>
      <c r="X59" s="755">
        <v>103188.981</v>
      </c>
      <c r="Y59" s="755">
        <v>103188.981</v>
      </c>
      <c r="Z59" s="54">
        <v>103188.981</v>
      </c>
      <c r="AA59" s="765"/>
      <c r="AB59" s="755">
        <v>103188.981</v>
      </c>
      <c r="AC59" s="755">
        <v>103188.981</v>
      </c>
      <c r="AD59" s="755">
        <v>103188.981</v>
      </c>
      <c r="AE59" s="755">
        <v>103188.981</v>
      </c>
      <c r="AF59" s="54">
        <v>103188.981</v>
      </c>
      <c r="AG59" s="777"/>
      <c r="AH59" s="755">
        <v>103188.981</v>
      </c>
      <c r="AI59" s="755">
        <v>103188.981</v>
      </c>
      <c r="AJ59" s="329"/>
      <c r="AK59" s="329"/>
      <c r="AL59" s="356"/>
      <c r="AM59" s="328"/>
      <c r="AN59" s="329"/>
      <c r="AO59" s="329"/>
      <c r="AP59" s="329"/>
      <c r="AQ59" s="329"/>
      <c r="AR59" s="356"/>
      <c r="AS59" s="48"/>
      <c r="AT59" s="356"/>
      <c r="AU59" s="95"/>
      <c r="AV59" s="356"/>
      <c r="AW59" s="95"/>
      <c r="AX59" s="356"/>
    </row>
    <row r="60" spans="1:50" s="54" customFormat="1" ht="14.25" customHeight="1">
      <c r="A60" s="96"/>
      <c r="B60" s="70" t="s">
        <v>623</v>
      </c>
      <c r="C60" s="23"/>
      <c r="D60" s="318">
        <v>194966.943</v>
      </c>
      <c r="E60" s="318">
        <v>194966.943</v>
      </c>
      <c r="F60" s="318">
        <v>194966.943</v>
      </c>
      <c r="G60" s="318">
        <v>64988.981</v>
      </c>
      <c r="H60" s="327">
        <v>64988.981</v>
      </c>
      <c r="I60" s="328"/>
      <c r="J60" s="318">
        <v>103188.981</v>
      </c>
      <c r="K60" s="318">
        <v>103188.981</v>
      </c>
      <c r="L60" s="755">
        <v>103188.981</v>
      </c>
      <c r="M60" s="755">
        <v>103188.981</v>
      </c>
      <c r="N60" s="54">
        <v>103188.981</v>
      </c>
      <c r="O60" s="765"/>
      <c r="P60" s="755">
        <v>103188.981</v>
      </c>
      <c r="Q60" s="755">
        <v>103188.981</v>
      </c>
      <c r="R60" s="755">
        <v>103188.981</v>
      </c>
      <c r="S60" s="755">
        <v>103188.981</v>
      </c>
      <c r="T60" s="54">
        <v>103188.981</v>
      </c>
      <c r="U60" s="765"/>
      <c r="V60" s="755">
        <v>103188.981</v>
      </c>
      <c r="W60" s="755">
        <v>103188.981</v>
      </c>
      <c r="X60" s="755">
        <v>103188.981</v>
      </c>
      <c r="Y60" s="755">
        <v>103188.981</v>
      </c>
      <c r="Z60" s="54">
        <v>103188.981</v>
      </c>
      <c r="AA60" s="765"/>
      <c r="AB60" s="755">
        <v>103188.981</v>
      </c>
      <c r="AC60" s="755">
        <v>103188.981</v>
      </c>
      <c r="AD60" s="755">
        <v>103188.981</v>
      </c>
      <c r="AE60" s="755">
        <v>103188.981</v>
      </c>
      <c r="AF60" s="54">
        <v>103188.981</v>
      </c>
      <c r="AG60" s="777"/>
      <c r="AH60" s="755">
        <v>103188.981</v>
      </c>
      <c r="AI60" s="755">
        <v>103188.981</v>
      </c>
      <c r="AJ60" s="329"/>
      <c r="AK60" s="329"/>
      <c r="AL60" s="356"/>
      <c r="AM60" s="328"/>
      <c r="AN60" s="329"/>
      <c r="AO60" s="329"/>
      <c r="AP60" s="329"/>
      <c r="AQ60" s="329"/>
      <c r="AR60" s="356"/>
      <c r="AS60" s="48"/>
      <c r="AT60" s="356"/>
      <c r="AU60" s="95"/>
      <c r="AV60" s="356"/>
      <c r="AW60" s="95"/>
      <c r="AX60" s="356"/>
    </row>
    <row r="61" spans="1:50" ht="14.25" customHeight="1">
      <c r="AG61" s="203"/>
    </row>
    <row r="62" spans="1:50" ht="14.25" customHeight="1">
      <c r="B62" s="64" t="s">
        <v>624</v>
      </c>
      <c r="C62" s="113"/>
      <c r="D62" s="111"/>
      <c r="E62" s="111"/>
      <c r="F62" s="111"/>
      <c r="G62" s="111"/>
      <c r="H62" s="111"/>
      <c r="I62" s="113"/>
      <c r="J62" s="111"/>
      <c r="K62" s="111"/>
      <c r="L62" s="111"/>
      <c r="M62" s="111"/>
      <c r="N62" s="111"/>
      <c r="O62" s="113"/>
      <c r="P62" s="111"/>
      <c r="Q62" s="111"/>
      <c r="R62" s="111"/>
      <c r="S62" s="111"/>
      <c r="T62" s="111"/>
      <c r="U62" s="113"/>
      <c r="V62" s="111"/>
      <c r="W62" s="111"/>
      <c r="X62" s="111"/>
      <c r="Y62" s="111"/>
      <c r="Z62" s="111"/>
      <c r="AA62" s="113"/>
      <c r="AB62" s="111"/>
      <c r="AC62" s="111"/>
      <c r="AD62" s="111"/>
      <c r="AE62" s="111"/>
      <c r="AF62" s="111"/>
      <c r="AG62" s="358"/>
      <c r="AH62" s="111"/>
      <c r="AI62" s="111"/>
      <c r="AJ62" s="111"/>
      <c r="AK62" s="111"/>
      <c r="AL62" s="111"/>
      <c r="AM62" s="113"/>
      <c r="AN62" s="111"/>
      <c r="AO62" s="111"/>
      <c r="AP62" s="111"/>
      <c r="AQ62" s="111"/>
    </row>
    <row r="63" spans="1:50" ht="14.25" customHeight="1">
      <c r="B63" s="64"/>
      <c r="C63" s="113"/>
      <c r="D63" s="111"/>
      <c r="E63" s="111"/>
      <c r="F63" s="111"/>
      <c r="G63" s="111"/>
      <c r="H63" s="111"/>
      <c r="I63" s="113"/>
      <c r="J63" s="111"/>
      <c r="K63" s="111"/>
      <c r="L63" s="111"/>
      <c r="M63" s="111"/>
      <c r="N63" s="111"/>
      <c r="O63" s="113"/>
      <c r="P63" s="111"/>
      <c r="Q63" s="111"/>
      <c r="R63" s="111"/>
      <c r="S63" s="111"/>
      <c r="T63" s="111"/>
      <c r="U63" s="113"/>
      <c r="V63" s="111"/>
      <c r="W63" s="111"/>
      <c r="X63" s="111"/>
      <c r="Y63" s="111"/>
      <c r="Z63" s="111"/>
      <c r="AA63" s="113"/>
      <c r="AB63" s="111"/>
      <c r="AC63" s="111"/>
      <c r="AD63" s="111"/>
      <c r="AE63" s="111"/>
      <c r="AF63" s="111"/>
      <c r="AG63" s="358"/>
      <c r="AH63" s="111"/>
      <c r="AI63" s="111"/>
      <c r="AJ63" s="111"/>
      <c r="AK63" s="111"/>
      <c r="AL63" s="111"/>
      <c r="AM63" s="113"/>
      <c r="AN63" s="111"/>
      <c r="AO63" s="111"/>
      <c r="AP63" s="111"/>
      <c r="AQ63" s="111"/>
    </row>
    <row r="64" spans="1:50" ht="14.25" customHeight="1">
      <c r="B64" s="112" t="s">
        <v>625</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48"/>
      <c r="AH64" s="60"/>
      <c r="AI64" s="60"/>
      <c r="AJ64" s="46"/>
      <c r="AK64" s="46"/>
      <c r="AL64" s="66"/>
      <c r="AM64" s="20"/>
      <c r="AN64" s="46"/>
      <c r="AO64" s="46"/>
      <c r="AP64" s="46"/>
      <c r="AQ64" s="46"/>
    </row>
    <row r="65" spans="2:8" ht="14.25" customHeight="1">
      <c r="B65" s="112" t="s">
        <v>626</v>
      </c>
    </row>
    <row r="71" spans="2:8" ht="14.25" customHeight="1">
      <c r="H71" s="292"/>
    </row>
    <row r="72" spans="2:8" ht="14.25" customHeight="1">
      <c r="H72" s="292"/>
    </row>
    <row r="73" spans="2:8" ht="14.25" customHeight="1">
      <c r="H73" s="292"/>
    </row>
    <row r="74" spans="2:8" ht="14.25" customHeight="1">
      <c r="H74" s="292"/>
    </row>
    <row r="75" spans="2:8" ht="14.25" customHeight="1">
      <c r="H75" s="292"/>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N24" zoomScaleNormal="100" workbookViewId="0">
      <selection activeCell="AI37" sqref="AI37"/>
    </sheetView>
  </sheetViews>
  <sheetFormatPr defaultColWidth="9" defaultRowHeight="15" customHeight="1" outlineLevelCol="1"/>
  <cols>
    <col min="1" max="1" width="2.125" style="41" customWidth="1"/>
    <col min="2" max="2" width="27.25" style="41" bestFit="1" customWidth="1"/>
    <col min="3" max="3" width="3.375" style="17" customWidth="1"/>
    <col min="4" max="7" width="10.375" style="41" hidden="1" customWidth="1" outlineLevel="1"/>
    <col min="8" max="8" width="10.375" style="41" bestFit="1" customWidth="1" collapsed="1"/>
    <col min="9" max="9" width="1.625" style="17" customWidth="1"/>
    <col min="10" max="13" width="10.375" style="41" hidden="1" customWidth="1" outlineLevel="1"/>
    <col min="14" max="14" width="10.375" style="41" bestFit="1" customWidth="1" collapsed="1"/>
    <col min="15" max="15" width="1.625" style="17" customWidth="1"/>
    <col min="16" max="19" width="10.375" style="41" hidden="1" customWidth="1" outlineLevel="1"/>
    <col min="20" max="20" width="10.375" style="41" bestFit="1" customWidth="1" collapsed="1"/>
    <col min="21" max="21" width="1.625" style="17" customWidth="1"/>
    <col min="22" max="25" width="10.375" style="41" customWidth="1" outlineLevel="1"/>
    <col min="26" max="26" width="10.375" style="41" bestFit="1" customWidth="1"/>
    <col min="27" max="27" width="1.625" style="17" customWidth="1"/>
    <col min="28" max="31" width="10.375" style="41" customWidth="1" outlineLevel="1"/>
    <col min="32" max="32" width="10.375" style="41" bestFit="1" customWidth="1"/>
    <col min="33" max="33" width="1.625" style="17" customWidth="1"/>
    <col min="34" max="35" width="10.375" style="41" bestFit="1" customWidth="1" outlineLevel="1"/>
    <col min="36"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16384" width="9" style="41"/>
  </cols>
  <sheetData>
    <row r="1" spans="1:50" s="574" customFormat="1" ht="15" customHeight="1">
      <c r="AH1" s="574">
        <v>0</v>
      </c>
    </row>
    <row r="2" spans="1:50" s="574" customFormat="1" ht="15" customHeight="1"/>
    <row r="3" spans="1:50" s="574" customFormat="1" ht="15" customHeight="1"/>
    <row r="4" spans="1:50" s="574" customFormat="1" ht="15" customHeight="1"/>
    <row r="5" spans="1:50" s="570" customFormat="1" ht="3.95" customHeight="1">
      <c r="C5" s="571"/>
      <c r="I5" s="571"/>
      <c r="O5" s="571"/>
      <c r="U5" s="571"/>
      <c r="AA5" s="571"/>
      <c r="AG5" s="571"/>
      <c r="AM5" s="571"/>
      <c r="AS5" s="571"/>
      <c r="AU5" s="571"/>
      <c r="AV5" s="572"/>
    </row>
    <row r="7" spans="1:50" ht="15" customHeight="1">
      <c r="B7" s="159" t="s">
        <v>467</v>
      </c>
      <c r="C7" s="18"/>
      <c r="D7" s="200">
        <v>2020</v>
      </c>
      <c r="E7" s="200">
        <v>2020</v>
      </c>
      <c r="F7" s="166">
        <v>2020</v>
      </c>
      <c r="G7" s="200">
        <v>2020</v>
      </c>
      <c r="H7" s="200">
        <v>2020</v>
      </c>
      <c r="I7" s="18"/>
      <c r="J7" s="200">
        <v>2021</v>
      </c>
      <c r="K7" s="200">
        <v>2021</v>
      </c>
      <c r="L7" s="200">
        <v>2021</v>
      </c>
      <c r="M7" s="200">
        <v>2021</v>
      </c>
      <c r="N7" s="200">
        <v>2021</v>
      </c>
      <c r="O7" s="167"/>
      <c r="P7" s="200">
        <v>2022</v>
      </c>
      <c r="Q7" s="200">
        <v>2022</v>
      </c>
      <c r="R7" s="200">
        <v>2022</v>
      </c>
      <c r="S7" s="200">
        <v>2022</v>
      </c>
      <c r="T7" s="200">
        <v>2022</v>
      </c>
      <c r="U7" s="167"/>
      <c r="V7" s="200">
        <v>2023</v>
      </c>
      <c r="W7" s="200">
        <v>2023</v>
      </c>
      <c r="X7" s="200">
        <v>2023</v>
      </c>
      <c r="Y7" s="200">
        <v>2023</v>
      </c>
      <c r="Z7" s="200">
        <v>2023</v>
      </c>
      <c r="AA7" s="168"/>
      <c r="AB7" s="200">
        <v>2024</v>
      </c>
      <c r="AC7" s="200">
        <v>2024</v>
      </c>
      <c r="AD7" s="200">
        <v>2024</v>
      </c>
      <c r="AE7" s="200">
        <v>2024</v>
      </c>
      <c r="AF7" s="200">
        <v>2024</v>
      </c>
      <c r="AG7" s="168"/>
      <c r="AH7" s="200">
        <v>2025</v>
      </c>
      <c r="AI7" s="200">
        <v>2025</v>
      </c>
      <c r="AJ7" s="201">
        <v>2025</v>
      </c>
      <c r="AK7" s="200">
        <v>2025</v>
      </c>
      <c r="AL7" s="200">
        <v>2025</v>
      </c>
      <c r="AM7" s="169"/>
      <c r="AN7" s="200">
        <v>2025</v>
      </c>
      <c r="AO7" s="200">
        <v>2025</v>
      </c>
      <c r="AP7" s="201">
        <v>2025</v>
      </c>
      <c r="AQ7" s="200">
        <v>2025</v>
      </c>
      <c r="AR7" s="200">
        <v>2025</v>
      </c>
      <c r="AS7" s="18"/>
      <c r="AT7" s="160"/>
      <c r="AU7" s="18"/>
      <c r="AV7" s="161"/>
      <c r="AW7" s="18"/>
      <c r="AX7" s="161"/>
    </row>
    <row r="8" spans="1:50" ht="15" customHeight="1">
      <c r="B8" s="162"/>
      <c r="C8" s="18"/>
      <c r="D8" s="950">
        <v>2020</v>
      </c>
      <c r="E8" s="950"/>
      <c r="F8" s="950"/>
      <c r="G8" s="950"/>
      <c r="H8" s="950"/>
      <c r="I8" s="167"/>
      <c r="J8" s="950">
        <v>2021</v>
      </c>
      <c r="K8" s="950"/>
      <c r="L8" s="950"/>
      <c r="M8" s="950"/>
      <c r="N8" s="950"/>
      <c r="O8" s="167"/>
      <c r="P8" s="950">
        <v>2022</v>
      </c>
      <c r="Q8" s="950"/>
      <c r="R8" s="950"/>
      <c r="S8" s="950"/>
      <c r="T8" s="950"/>
      <c r="U8" s="167"/>
      <c r="V8" s="950">
        <v>2023</v>
      </c>
      <c r="W8" s="950"/>
      <c r="X8" s="950"/>
      <c r="Y8" s="950"/>
      <c r="Z8" s="950"/>
      <c r="AA8" s="167"/>
      <c r="AB8" s="950">
        <v>2024</v>
      </c>
      <c r="AC8" s="950"/>
      <c r="AD8" s="950"/>
      <c r="AE8" s="950"/>
      <c r="AF8" s="950"/>
      <c r="AG8" s="167"/>
      <c r="AH8" s="949">
        <v>2025</v>
      </c>
      <c r="AI8" s="949"/>
      <c r="AJ8" s="949"/>
      <c r="AK8" s="949"/>
      <c r="AL8" s="949"/>
      <c r="AM8" s="167"/>
      <c r="AN8" s="949">
        <v>2026</v>
      </c>
      <c r="AO8" s="949"/>
      <c r="AP8" s="949"/>
      <c r="AQ8" s="949"/>
      <c r="AR8" s="949"/>
      <c r="AS8" s="169"/>
      <c r="AT8" s="164">
        <v>2027</v>
      </c>
      <c r="AU8" s="165"/>
      <c r="AV8" s="164">
        <v>2028</v>
      </c>
      <c r="AW8" s="165"/>
      <c r="AX8" s="164">
        <v>2029</v>
      </c>
    </row>
    <row r="9" spans="1:50" ht="15" customHeight="1">
      <c r="B9" s="162"/>
      <c r="C9" s="18"/>
      <c r="D9" s="166" t="s">
        <v>197</v>
      </c>
      <c r="E9" s="166" t="s">
        <v>198</v>
      </c>
      <c r="F9" s="166" t="s">
        <v>199</v>
      </c>
      <c r="G9" s="166" t="s">
        <v>200</v>
      </c>
      <c r="H9" s="166" t="s">
        <v>201</v>
      </c>
      <c r="I9" s="18"/>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197</v>
      </c>
      <c r="AI9" s="166" t="s">
        <v>198</v>
      </c>
      <c r="AJ9" s="166" t="s">
        <v>199</v>
      </c>
      <c r="AK9" s="166" t="s">
        <v>200</v>
      </c>
      <c r="AL9" s="166" t="s">
        <v>201</v>
      </c>
      <c r="AM9" s="163"/>
      <c r="AN9" s="166" t="s">
        <v>197</v>
      </c>
      <c r="AO9" s="166" t="s">
        <v>198</v>
      </c>
      <c r="AP9" s="166" t="s">
        <v>199</v>
      </c>
      <c r="AQ9" s="166" t="s">
        <v>200</v>
      </c>
      <c r="AR9" s="166" t="s">
        <v>201</v>
      </c>
      <c r="AS9" s="163"/>
      <c r="AT9" s="166" t="s">
        <v>201</v>
      </c>
      <c r="AU9" s="163"/>
      <c r="AV9" s="166" t="s">
        <v>201</v>
      </c>
      <c r="AW9" s="163"/>
      <c r="AX9" s="166" t="s">
        <v>201</v>
      </c>
    </row>
    <row r="10" spans="1:50" ht="3.95" customHeight="1">
      <c r="A10" s="43"/>
      <c r="B10" s="174"/>
      <c r="C10" s="35"/>
      <c r="D10" s="175"/>
      <c r="E10" s="175"/>
      <c r="F10" s="175"/>
      <c r="G10" s="175"/>
      <c r="H10" s="175"/>
      <c r="I10" s="35"/>
      <c r="J10" s="175"/>
      <c r="K10" s="175"/>
      <c r="L10" s="175"/>
      <c r="M10" s="175"/>
      <c r="N10" s="175"/>
      <c r="O10" s="176"/>
      <c r="P10" s="175"/>
      <c r="Q10" s="175"/>
      <c r="R10" s="175"/>
      <c r="S10" s="175"/>
      <c r="T10" s="175"/>
      <c r="U10" s="176"/>
      <c r="V10" s="175"/>
      <c r="W10" s="175"/>
      <c r="X10" s="175"/>
      <c r="Y10" s="175"/>
      <c r="Z10" s="175"/>
      <c r="AA10" s="176"/>
      <c r="AB10" s="175"/>
      <c r="AC10" s="175"/>
      <c r="AD10" s="175"/>
      <c r="AE10" s="175"/>
      <c r="AF10" s="175"/>
      <c r="AG10" s="176"/>
      <c r="AH10" s="175"/>
      <c r="AI10" s="175"/>
      <c r="AJ10" s="175"/>
      <c r="AK10" s="175"/>
      <c r="AL10" s="177"/>
      <c r="AM10" s="178"/>
      <c r="AN10" s="177"/>
      <c r="AO10" s="177"/>
      <c r="AP10" s="177"/>
      <c r="AQ10" s="177"/>
      <c r="AR10" s="177"/>
      <c r="AS10" s="178"/>
      <c r="AT10" s="177"/>
      <c r="AU10" s="178"/>
      <c r="AV10" s="177"/>
      <c r="AW10" s="178"/>
      <c r="AX10" s="177"/>
    </row>
    <row r="11" spans="1:50" ht="3.95" customHeight="1">
      <c r="A11" s="43"/>
      <c r="B11" s="170"/>
      <c r="C11" s="19"/>
      <c r="D11" s="171"/>
      <c r="E11" s="171"/>
      <c r="F11" s="171"/>
      <c r="G11" s="171"/>
      <c r="H11" s="171"/>
      <c r="I11" s="19"/>
      <c r="J11" s="171"/>
      <c r="K11" s="171"/>
      <c r="L11" s="171"/>
      <c r="M11" s="171"/>
      <c r="N11" s="171"/>
      <c r="O11" s="172"/>
      <c r="P11" s="171"/>
      <c r="Q11" s="171"/>
      <c r="R11" s="171"/>
      <c r="S11" s="171"/>
      <c r="T11" s="171"/>
      <c r="U11" s="172"/>
      <c r="V11" s="171"/>
      <c r="W11" s="171"/>
      <c r="X11" s="171"/>
      <c r="Y11" s="171"/>
      <c r="Z11" s="171"/>
      <c r="AA11" s="172"/>
      <c r="AB11" s="171"/>
      <c r="AC11" s="171"/>
      <c r="AD11" s="171"/>
      <c r="AE11" s="171"/>
      <c r="AF11" s="171"/>
      <c r="AG11" s="202"/>
      <c r="AH11" s="171"/>
      <c r="AI11" s="171"/>
      <c r="AJ11" s="171"/>
      <c r="AK11" s="171"/>
      <c r="AL11" s="173"/>
      <c r="AM11" s="34"/>
      <c r="AN11" s="173"/>
      <c r="AO11" s="173"/>
      <c r="AP11" s="173"/>
      <c r="AQ11" s="173"/>
      <c r="AR11" s="173"/>
      <c r="AS11" s="34"/>
      <c r="AT11" s="173"/>
      <c r="AU11" s="34"/>
      <c r="AV11" s="173"/>
      <c r="AW11" s="34"/>
      <c r="AX11" s="173"/>
    </row>
    <row r="12" spans="1:50" ht="15" customHeight="1">
      <c r="A12" s="44"/>
      <c r="B12" s="104" t="s">
        <v>627</v>
      </c>
      <c r="D12" s="46"/>
      <c r="E12" s="46"/>
      <c r="F12" s="46"/>
      <c r="G12" s="46"/>
      <c r="H12" s="57"/>
      <c r="I12" s="20"/>
      <c r="J12" s="105"/>
      <c r="K12" s="105"/>
      <c r="L12" s="105"/>
      <c r="M12" s="105"/>
      <c r="N12" s="106"/>
      <c r="O12" s="106"/>
      <c r="P12" s="105"/>
      <c r="Q12" s="105"/>
      <c r="R12" s="105"/>
      <c r="S12" s="105"/>
      <c r="T12" s="106"/>
      <c r="U12" s="106"/>
      <c r="V12" s="105"/>
      <c r="W12" s="105"/>
      <c r="X12" s="105"/>
      <c r="Y12" s="105"/>
      <c r="Z12" s="106"/>
      <c r="AA12" s="106"/>
      <c r="AB12" s="107"/>
      <c r="AC12" s="107"/>
      <c r="AD12" s="107"/>
      <c r="AE12" s="107"/>
      <c r="AF12" s="106"/>
      <c r="AG12" s="108"/>
      <c r="AH12" s="109"/>
      <c r="AI12" s="109"/>
      <c r="AJ12" s="109"/>
      <c r="AK12" s="109"/>
      <c r="AL12" s="106"/>
      <c r="AM12" s="110"/>
      <c r="AN12" s="109"/>
      <c r="AO12" s="109"/>
      <c r="AP12" s="109"/>
      <c r="AQ12" s="109"/>
      <c r="AR12" s="106"/>
      <c r="AS12" s="110"/>
      <c r="AT12" s="106"/>
      <c r="AU12" s="110"/>
      <c r="AV12" s="106"/>
    </row>
    <row r="13" spans="1:50" s="111" customFormat="1" ht="15" customHeight="1">
      <c r="B13" s="112"/>
      <c r="C13" s="113"/>
      <c r="D13" s="46"/>
      <c r="E13" s="46"/>
      <c r="F13" s="46"/>
      <c r="G13" s="46"/>
      <c r="H13" s="57"/>
      <c r="I13" s="114"/>
      <c r="J13" s="105"/>
      <c r="K13" s="105"/>
      <c r="L13" s="105"/>
      <c r="M13" s="105"/>
      <c r="N13" s="106"/>
      <c r="O13" s="114"/>
      <c r="P13" s="105"/>
      <c r="Q13" s="105"/>
      <c r="R13" s="105"/>
      <c r="S13" s="105"/>
      <c r="T13" s="106"/>
      <c r="U13" s="114"/>
      <c r="V13" s="105"/>
      <c r="W13" s="105"/>
      <c r="X13" s="105"/>
      <c r="Y13" s="105"/>
      <c r="Z13" s="106"/>
      <c r="AA13" s="115"/>
      <c r="AB13" s="107"/>
      <c r="AC13" s="107"/>
      <c r="AD13" s="107"/>
      <c r="AE13" s="107"/>
      <c r="AF13" s="106"/>
      <c r="AG13" s="116"/>
      <c r="AH13" s="117"/>
      <c r="AI13" s="117"/>
      <c r="AJ13" s="117"/>
      <c r="AK13" s="117"/>
      <c r="AL13" s="106"/>
      <c r="AM13" s="118"/>
      <c r="AN13" s="117"/>
      <c r="AO13" s="117"/>
      <c r="AP13" s="117"/>
      <c r="AQ13" s="117"/>
      <c r="AR13" s="106"/>
      <c r="AS13" s="118"/>
      <c r="AT13" s="106"/>
      <c r="AU13" s="118"/>
      <c r="AV13" s="106"/>
    </row>
    <row r="14" spans="1:50" ht="15" customHeight="1">
      <c r="A14" s="44" t="s">
        <v>39</v>
      </c>
      <c r="B14" s="112" t="s">
        <v>628</v>
      </c>
      <c r="D14" s="46"/>
      <c r="E14" s="46"/>
      <c r="F14" s="46"/>
      <c r="G14" s="46"/>
      <c r="H14" s="66"/>
      <c r="I14" s="20"/>
      <c r="J14" s="119"/>
      <c r="K14" s="119"/>
      <c r="L14" s="119"/>
      <c r="M14" s="119"/>
      <c r="N14" s="106"/>
      <c r="O14" s="20"/>
      <c r="P14" s="119"/>
      <c r="Q14" s="119"/>
      <c r="R14" s="119"/>
      <c r="S14" s="119"/>
      <c r="T14" s="106"/>
      <c r="U14" s="20"/>
      <c r="V14" s="119"/>
      <c r="W14" s="119"/>
      <c r="X14" s="119"/>
      <c r="Y14" s="119"/>
      <c r="Z14" s="106"/>
      <c r="AA14" s="120"/>
      <c r="AB14" s="121"/>
      <c r="AC14" s="121"/>
      <c r="AD14" s="121"/>
      <c r="AE14" s="121"/>
      <c r="AF14" s="106"/>
      <c r="AG14" s="122"/>
      <c r="AH14" s="123"/>
      <c r="AI14" s="123"/>
      <c r="AJ14" s="123"/>
      <c r="AK14" s="123"/>
      <c r="AL14" s="106"/>
      <c r="AM14" s="124"/>
      <c r="AN14" s="123"/>
      <c r="AO14" s="123"/>
      <c r="AP14" s="123"/>
      <c r="AQ14" s="123"/>
      <c r="AR14" s="106"/>
      <c r="AS14" s="124"/>
      <c r="AT14" s="106"/>
      <c r="AU14" s="124"/>
      <c r="AV14" s="106"/>
    </row>
    <row r="15" spans="1:50" ht="15" customHeight="1">
      <c r="A15" s="44"/>
      <c r="B15" s="125" t="s">
        <v>629</v>
      </c>
      <c r="D15" s="60">
        <v>41671</v>
      </c>
      <c r="E15" s="60">
        <v>70713</v>
      </c>
      <c r="F15" s="60">
        <v>31172</v>
      </c>
      <c r="G15" s="60">
        <v>99051</v>
      </c>
      <c r="H15" s="57">
        <v>99051</v>
      </c>
      <c r="I15" s="114"/>
      <c r="J15" s="60">
        <v>38707</v>
      </c>
      <c r="K15" s="60">
        <v>26006</v>
      </c>
      <c r="L15" s="60">
        <v>38223</v>
      </c>
      <c r="M15" s="60">
        <v>50645</v>
      </c>
      <c r="N15" s="57">
        <v>50645</v>
      </c>
      <c r="O15" s="114"/>
      <c r="P15" s="60">
        <v>43854</v>
      </c>
      <c r="Q15" s="60">
        <v>46264</v>
      </c>
      <c r="R15" s="60">
        <v>40483</v>
      </c>
      <c r="S15" s="60">
        <v>43307</v>
      </c>
      <c r="T15" s="57">
        <v>43307</v>
      </c>
      <c r="U15" s="114"/>
      <c r="V15" s="60">
        <v>42873</v>
      </c>
      <c r="W15" s="60">
        <v>46430</v>
      </c>
      <c r="X15" s="60">
        <v>43264</v>
      </c>
      <c r="Y15" s="60">
        <v>20876</v>
      </c>
      <c r="Z15" s="57">
        <v>20876</v>
      </c>
      <c r="AA15" s="115"/>
      <c r="AB15" s="60">
        <v>25651</v>
      </c>
      <c r="AC15" s="60">
        <v>22969</v>
      </c>
      <c r="AD15" s="60">
        <v>24232</v>
      </c>
      <c r="AE15" s="60">
        <v>27239</v>
      </c>
      <c r="AF15" s="57">
        <v>27239</v>
      </c>
      <c r="AG15" s="116"/>
      <c r="AH15" s="60">
        <v>13518</v>
      </c>
      <c r="AI15" s="60">
        <v>23556</v>
      </c>
      <c r="AJ15" s="60"/>
      <c r="AK15" s="123"/>
      <c r="AL15" s="106"/>
      <c r="AM15" s="124"/>
      <c r="AN15" s="123"/>
      <c r="AO15" s="123"/>
      <c r="AP15" s="123"/>
      <c r="AQ15" s="123"/>
      <c r="AR15" s="106"/>
      <c r="AS15" s="124"/>
      <c r="AT15" s="106"/>
      <c r="AU15" s="124"/>
      <c r="AV15" s="106"/>
    </row>
    <row r="16" spans="1:50" ht="15" customHeight="1">
      <c r="A16" s="44"/>
      <c r="B16" s="136" t="s">
        <v>630</v>
      </c>
      <c r="D16" s="60">
        <v>0</v>
      </c>
      <c r="E16" s="60">
        <v>0</v>
      </c>
      <c r="F16" s="60">
        <v>0</v>
      </c>
      <c r="G16" s="60">
        <v>0</v>
      </c>
      <c r="H16" s="57">
        <v>0</v>
      </c>
      <c r="I16" s="20"/>
      <c r="J16" s="60">
        <v>0</v>
      </c>
      <c r="K16" s="60">
        <v>0</v>
      </c>
      <c r="L16" s="60">
        <v>0</v>
      </c>
      <c r="M16" s="60">
        <v>0</v>
      </c>
      <c r="N16" s="57">
        <v>0</v>
      </c>
      <c r="O16" s="20"/>
      <c r="P16" s="60">
        <v>0</v>
      </c>
      <c r="Q16" s="60">
        <v>0</v>
      </c>
      <c r="R16" s="60">
        <v>0</v>
      </c>
      <c r="S16" s="60">
        <v>0</v>
      </c>
      <c r="T16" s="57">
        <v>0</v>
      </c>
      <c r="U16" s="20"/>
      <c r="V16" s="60">
        <v>0</v>
      </c>
      <c r="W16" s="60">
        <v>0</v>
      </c>
      <c r="X16" s="60">
        <v>0</v>
      </c>
      <c r="Y16" s="60">
        <v>0</v>
      </c>
      <c r="Z16" s="57">
        <v>0</v>
      </c>
      <c r="AA16" s="120"/>
      <c r="AB16" s="60">
        <v>0</v>
      </c>
      <c r="AC16" s="60">
        <v>0</v>
      </c>
      <c r="AD16" s="60">
        <v>0</v>
      </c>
      <c r="AE16" s="60">
        <v>0</v>
      </c>
      <c r="AF16" s="57">
        <v>0</v>
      </c>
      <c r="AG16" s="122"/>
      <c r="AH16" s="60">
        <v>0</v>
      </c>
      <c r="AI16" s="60">
        <v>0</v>
      </c>
      <c r="AJ16" s="60"/>
      <c r="AK16" s="123"/>
      <c r="AL16" s="106"/>
      <c r="AM16" s="124"/>
      <c r="AN16" s="123"/>
      <c r="AO16" s="123"/>
      <c r="AP16" s="123"/>
      <c r="AQ16" s="123"/>
      <c r="AR16" s="106"/>
      <c r="AS16" s="124"/>
      <c r="AT16" s="106"/>
      <c r="AU16" s="124"/>
      <c r="AV16" s="106"/>
    </row>
    <row r="17" spans="1:48" s="111" customFormat="1" ht="15" customHeight="1">
      <c r="B17" s="136" t="s">
        <v>631</v>
      </c>
      <c r="C17" s="113"/>
      <c r="D17" s="60">
        <v>41671</v>
      </c>
      <c r="E17" s="60">
        <v>70713</v>
      </c>
      <c r="F17" s="60">
        <v>31172</v>
      </c>
      <c r="G17" s="60">
        <v>99051</v>
      </c>
      <c r="H17" s="57">
        <v>99051</v>
      </c>
      <c r="I17" s="20"/>
      <c r="J17" s="60">
        <v>38707</v>
      </c>
      <c r="K17" s="60">
        <v>26006</v>
      </c>
      <c r="L17" s="60">
        <v>38223</v>
      </c>
      <c r="M17" s="60">
        <v>50645</v>
      </c>
      <c r="N17" s="57">
        <v>50645</v>
      </c>
      <c r="O17" s="20"/>
      <c r="P17" s="60">
        <v>43854</v>
      </c>
      <c r="Q17" s="60">
        <v>46264</v>
      </c>
      <c r="R17" s="60">
        <v>40483</v>
      </c>
      <c r="S17" s="60">
        <v>43307</v>
      </c>
      <c r="T17" s="57">
        <v>43307</v>
      </c>
      <c r="U17" s="20"/>
      <c r="V17" s="60">
        <v>42873</v>
      </c>
      <c r="W17" s="60">
        <v>46430</v>
      </c>
      <c r="X17" s="60">
        <v>43264</v>
      </c>
      <c r="Y17" s="60">
        <v>20876</v>
      </c>
      <c r="Z17" s="57">
        <v>20876</v>
      </c>
      <c r="AA17" s="120"/>
      <c r="AB17" s="60">
        <v>25651</v>
      </c>
      <c r="AC17" s="60">
        <v>22969</v>
      </c>
      <c r="AD17" s="60">
        <v>24232</v>
      </c>
      <c r="AE17" s="60">
        <v>27239</v>
      </c>
      <c r="AF17" s="57">
        <v>27239</v>
      </c>
      <c r="AG17" s="122"/>
      <c r="AH17" s="60">
        <v>13518</v>
      </c>
      <c r="AI17" s="60">
        <v>23556</v>
      </c>
      <c r="AJ17" s="60"/>
      <c r="AK17" s="123"/>
      <c r="AL17" s="57"/>
      <c r="AM17" s="126"/>
      <c r="AN17" s="46"/>
      <c r="AO17" s="46"/>
      <c r="AP17" s="46"/>
      <c r="AQ17" s="46"/>
      <c r="AR17" s="57"/>
      <c r="AS17" s="126"/>
      <c r="AT17" s="57"/>
      <c r="AU17" s="126"/>
      <c r="AV17" s="57"/>
    </row>
    <row r="18" spans="1:48" s="111" customFormat="1" ht="15" customHeight="1">
      <c r="B18" s="125" t="s">
        <v>632</v>
      </c>
      <c r="C18" s="113"/>
      <c r="D18" s="60">
        <v>14152</v>
      </c>
      <c r="E18" s="60">
        <v>17972</v>
      </c>
      <c r="F18" s="60">
        <v>21234</v>
      </c>
      <c r="G18" s="60">
        <v>18812</v>
      </c>
      <c r="H18" s="57">
        <v>18812</v>
      </c>
      <c r="I18" s="114"/>
      <c r="J18" s="60">
        <v>18180</v>
      </c>
      <c r="K18" s="60">
        <v>18258</v>
      </c>
      <c r="L18" s="60">
        <v>15835</v>
      </c>
      <c r="M18" s="60">
        <v>28398</v>
      </c>
      <c r="N18" s="57">
        <v>28398</v>
      </c>
      <c r="O18" s="114"/>
      <c r="P18" s="60">
        <v>28924</v>
      </c>
      <c r="Q18" s="60">
        <v>28321</v>
      </c>
      <c r="R18" s="60">
        <v>29152</v>
      </c>
      <c r="S18" s="60">
        <v>27790</v>
      </c>
      <c r="T18" s="57">
        <v>27790</v>
      </c>
      <c r="U18" s="114"/>
      <c r="V18" s="60">
        <v>54790</v>
      </c>
      <c r="W18" s="60">
        <v>27629</v>
      </c>
      <c r="X18" s="60">
        <v>26445</v>
      </c>
      <c r="Y18" s="60">
        <v>64174</v>
      </c>
      <c r="Z18" s="57">
        <v>64174</v>
      </c>
      <c r="AA18" s="115"/>
      <c r="AB18" s="60">
        <v>57350</v>
      </c>
      <c r="AC18" s="60">
        <v>53573</v>
      </c>
      <c r="AD18" s="60">
        <v>47112</v>
      </c>
      <c r="AE18" s="60">
        <v>57612</v>
      </c>
      <c r="AF18" s="57">
        <v>57612</v>
      </c>
      <c r="AG18" s="116"/>
      <c r="AH18" s="60">
        <v>51788</v>
      </c>
      <c r="AI18" s="60">
        <v>54156</v>
      </c>
      <c r="AJ18" s="60"/>
      <c r="AK18" s="50"/>
      <c r="AL18" s="58"/>
      <c r="AM18" s="126"/>
      <c r="AN18" s="50"/>
      <c r="AO18" s="50"/>
      <c r="AP18" s="50"/>
      <c r="AQ18" s="50"/>
      <c r="AR18" s="58"/>
      <c r="AS18" s="126"/>
      <c r="AT18" s="58"/>
      <c r="AU18" s="126"/>
      <c r="AV18" s="58"/>
    </row>
    <row r="19" spans="1:48" ht="15" customHeight="1">
      <c r="A19" s="43"/>
      <c r="B19" s="125" t="s">
        <v>498</v>
      </c>
      <c r="D19" s="60">
        <v>0</v>
      </c>
      <c r="E19" s="60">
        <v>0</v>
      </c>
      <c r="F19" s="60">
        <v>0</v>
      </c>
      <c r="G19" s="60">
        <v>0</v>
      </c>
      <c r="H19" s="57">
        <v>0</v>
      </c>
      <c r="I19" s="20"/>
      <c r="J19" s="60">
        <v>0</v>
      </c>
      <c r="K19" s="60">
        <v>0</v>
      </c>
      <c r="L19" s="60">
        <v>0</v>
      </c>
      <c r="M19" s="60">
        <v>0</v>
      </c>
      <c r="N19" s="57">
        <v>0</v>
      </c>
      <c r="O19" s="20"/>
      <c r="P19" s="60">
        <v>0</v>
      </c>
      <c r="Q19" s="60">
        <v>0</v>
      </c>
      <c r="R19" s="60">
        <v>0</v>
      </c>
      <c r="S19" s="60">
        <v>0</v>
      </c>
      <c r="T19" s="57">
        <v>0</v>
      </c>
      <c r="U19" s="20"/>
      <c r="V19" s="60">
        <v>0</v>
      </c>
      <c r="W19" s="60">
        <v>0</v>
      </c>
      <c r="X19" s="60">
        <v>0</v>
      </c>
      <c r="Y19" s="60">
        <v>0</v>
      </c>
      <c r="Z19" s="57">
        <v>0</v>
      </c>
      <c r="AA19" s="120"/>
      <c r="AB19" s="60">
        <v>0</v>
      </c>
      <c r="AC19" s="60">
        <v>0</v>
      </c>
      <c r="AD19" s="60">
        <v>0</v>
      </c>
      <c r="AE19" s="60">
        <v>0</v>
      </c>
      <c r="AF19" s="57">
        <v>0</v>
      </c>
      <c r="AG19" s="122"/>
      <c r="AH19" s="60">
        <v>0</v>
      </c>
      <c r="AI19" s="60">
        <v>0</v>
      </c>
      <c r="AJ19" s="60"/>
      <c r="AK19" s="50"/>
      <c r="AL19" s="58"/>
      <c r="AM19" s="124"/>
      <c r="AN19" s="50"/>
      <c r="AO19" s="50"/>
      <c r="AP19" s="50"/>
      <c r="AQ19" s="50"/>
      <c r="AR19" s="58"/>
      <c r="AS19" s="124"/>
      <c r="AT19" s="58"/>
      <c r="AU19" s="124"/>
      <c r="AV19" s="58"/>
    </row>
    <row r="20" spans="1:48" s="111" customFormat="1" ht="15" customHeight="1">
      <c r="B20" s="125" t="s">
        <v>633</v>
      </c>
      <c r="C20" s="113"/>
      <c r="D20" s="46">
        <v>89937</v>
      </c>
      <c r="E20" s="46">
        <v>88512</v>
      </c>
      <c r="F20" s="46">
        <v>44623</v>
      </c>
      <c r="G20" s="46">
        <v>36928</v>
      </c>
      <c r="H20" s="74">
        <v>36928</v>
      </c>
      <c r="I20" s="114"/>
      <c r="J20" s="46">
        <v>635241</v>
      </c>
      <c r="K20" s="46">
        <v>588303</v>
      </c>
      <c r="L20" s="46">
        <v>534797</v>
      </c>
      <c r="M20" s="46">
        <v>488090</v>
      </c>
      <c r="N20" s="74">
        <v>488090</v>
      </c>
      <c r="O20" s="114"/>
      <c r="P20" s="46">
        <v>448360</v>
      </c>
      <c r="Q20" s="46">
        <v>411216</v>
      </c>
      <c r="R20" s="46">
        <v>361385</v>
      </c>
      <c r="S20" s="46">
        <v>305858</v>
      </c>
      <c r="T20" s="74">
        <v>305858</v>
      </c>
      <c r="U20" s="114"/>
      <c r="V20" s="46">
        <v>282502</v>
      </c>
      <c r="W20" s="46">
        <v>261893</v>
      </c>
      <c r="X20" s="46">
        <v>198018</v>
      </c>
      <c r="Y20" s="46">
        <v>384295</v>
      </c>
      <c r="Z20" s="74">
        <v>384295</v>
      </c>
      <c r="AA20" s="127"/>
      <c r="AB20" s="46">
        <v>453695</v>
      </c>
      <c r="AC20" s="46">
        <v>461016</v>
      </c>
      <c r="AD20" s="46">
        <v>409302</v>
      </c>
      <c r="AE20" s="46">
        <v>398261</v>
      </c>
      <c r="AF20" s="74">
        <v>398261</v>
      </c>
      <c r="AG20" s="128"/>
      <c r="AH20" s="46">
        <v>437103</v>
      </c>
      <c r="AI20" s="46">
        <v>485644</v>
      </c>
      <c r="AJ20" s="46"/>
      <c r="AK20" s="50"/>
      <c r="AL20" s="75"/>
      <c r="AM20" s="127"/>
      <c r="AN20" s="50"/>
      <c r="AO20" s="50"/>
      <c r="AP20" s="50"/>
      <c r="AQ20" s="50"/>
      <c r="AR20" s="75"/>
      <c r="AS20" s="127"/>
      <c r="AT20" s="75"/>
      <c r="AU20" s="127"/>
      <c r="AV20" s="75"/>
    </row>
    <row r="21" spans="1:48" s="133" customFormat="1" ht="15" customHeight="1">
      <c r="A21" s="84"/>
      <c r="B21" s="59" t="s">
        <v>634</v>
      </c>
      <c r="C21" s="26"/>
      <c r="D21" s="60">
        <v>145760</v>
      </c>
      <c r="E21" s="60">
        <v>177197</v>
      </c>
      <c r="F21" s="60">
        <v>97029</v>
      </c>
      <c r="G21" s="60">
        <v>154791</v>
      </c>
      <c r="H21" s="77">
        <v>154791</v>
      </c>
      <c r="I21" s="129"/>
      <c r="J21" s="60">
        <v>692128</v>
      </c>
      <c r="K21" s="60">
        <v>632567</v>
      </c>
      <c r="L21" s="60">
        <v>588855</v>
      </c>
      <c r="M21" s="60">
        <v>567133</v>
      </c>
      <c r="N21" s="77">
        <v>567133</v>
      </c>
      <c r="O21" s="129"/>
      <c r="P21" s="60">
        <v>521138</v>
      </c>
      <c r="Q21" s="60">
        <v>485801</v>
      </c>
      <c r="R21" s="60">
        <v>431020</v>
      </c>
      <c r="S21" s="60">
        <v>376955</v>
      </c>
      <c r="T21" s="77">
        <v>376955</v>
      </c>
      <c r="U21" s="129"/>
      <c r="V21" s="60">
        <v>380165</v>
      </c>
      <c r="W21" s="60">
        <v>335952</v>
      </c>
      <c r="X21" s="60">
        <v>267727</v>
      </c>
      <c r="Y21" s="60">
        <v>469345</v>
      </c>
      <c r="Z21" s="77">
        <v>469345</v>
      </c>
      <c r="AA21" s="130"/>
      <c r="AB21" s="60">
        <v>536696</v>
      </c>
      <c r="AC21" s="60">
        <v>537558</v>
      </c>
      <c r="AD21" s="60">
        <v>480646</v>
      </c>
      <c r="AE21" s="60">
        <v>483112</v>
      </c>
      <c r="AF21" s="77">
        <v>483112</v>
      </c>
      <c r="AG21" s="131"/>
      <c r="AH21" s="60">
        <v>502409</v>
      </c>
      <c r="AI21" s="60">
        <v>563356</v>
      </c>
      <c r="AJ21" s="60"/>
      <c r="AK21" s="50"/>
      <c r="AL21" s="78"/>
      <c r="AM21" s="132"/>
      <c r="AN21" s="50"/>
      <c r="AO21" s="50"/>
      <c r="AP21" s="50"/>
      <c r="AQ21" s="50"/>
      <c r="AR21" s="78"/>
      <c r="AS21" s="132"/>
      <c r="AT21" s="78"/>
      <c r="AU21" s="132"/>
      <c r="AV21" s="78"/>
    </row>
    <row r="22" spans="1:48" ht="15" customHeight="1">
      <c r="A22" s="43"/>
      <c r="B22" s="134"/>
      <c r="D22" s="46"/>
      <c r="E22" s="46"/>
      <c r="F22" s="46"/>
      <c r="G22" s="46"/>
      <c r="H22" s="66"/>
      <c r="I22" s="20"/>
      <c r="J22" s="46"/>
      <c r="K22" s="46"/>
      <c r="L22" s="46"/>
      <c r="M22" s="46"/>
      <c r="N22" s="66"/>
      <c r="O22" s="20"/>
      <c r="P22" s="46"/>
      <c r="Q22" s="46"/>
      <c r="R22" s="46"/>
      <c r="S22" s="46"/>
      <c r="T22" s="66"/>
      <c r="U22" s="20"/>
      <c r="V22" s="46"/>
      <c r="W22" s="46"/>
      <c r="X22" s="46"/>
      <c r="Y22" s="46"/>
      <c r="Z22" s="66"/>
      <c r="AA22" s="120"/>
      <c r="AB22" s="46"/>
      <c r="AC22" s="46"/>
      <c r="AD22" s="46"/>
      <c r="AE22" s="46"/>
      <c r="AF22" s="66"/>
      <c r="AG22" s="122"/>
      <c r="AH22" s="46"/>
      <c r="AI22" s="46"/>
      <c r="AJ22" s="46"/>
      <c r="AK22" s="50"/>
      <c r="AL22" s="68"/>
      <c r="AM22" s="124"/>
      <c r="AN22" s="50"/>
      <c r="AO22" s="50"/>
      <c r="AP22" s="50"/>
      <c r="AQ22" s="50"/>
      <c r="AR22" s="68"/>
      <c r="AS22" s="124"/>
      <c r="AT22" s="68"/>
      <c r="AU22" s="124"/>
      <c r="AV22" s="68"/>
    </row>
    <row r="23" spans="1:48" s="111" customFormat="1" ht="15" customHeight="1">
      <c r="A23" s="44" t="s">
        <v>39</v>
      </c>
      <c r="B23" s="45" t="s">
        <v>635</v>
      </c>
      <c r="C23" s="113"/>
      <c r="D23" s="46"/>
      <c r="E23" s="46"/>
      <c r="F23" s="46"/>
      <c r="G23" s="46"/>
      <c r="H23" s="66"/>
      <c r="I23" s="114"/>
      <c r="J23" s="46"/>
      <c r="K23" s="46"/>
      <c r="L23" s="46"/>
      <c r="M23" s="46"/>
      <c r="N23" s="66"/>
      <c r="O23" s="114"/>
      <c r="P23" s="46"/>
      <c r="Q23" s="46"/>
      <c r="R23" s="46"/>
      <c r="S23" s="46"/>
      <c r="T23" s="66"/>
      <c r="U23" s="114"/>
      <c r="V23" s="46"/>
      <c r="W23" s="46"/>
      <c r="X23" s="46"/>
      <c r="Y23" s="46"/>
      <c r="Z23" s="66"/>
      <c r="AA23" s="127"/>
      <c r="AB23" s="46"/>
      <c r="AC23" s="46"/>
      <c r="AD23" s="46"/>
      <c r="AE23" s="46"/>
      <c r="AF23" s="66"/>
      <c r="AG23" s="128"/>
      <c r="AH23" s="46"/>
      <c r="AI23" s="46"/>
      <c r="AJ23" s="46"/>
      <c r="AK23" s="50"/>
      <c r="AL23" s="68"/>
      <c r="AM23" s="127"/>
      <c r="AN23" s="50"/>
      <c r="AO23" s="50"/>
      <c r="AP23" s="50"/>
      <c r="AQ23" s="50"/>
      <c r="AR23" s="68"/>
      <c r="AS23" s="127"/>
      <c r="AT23" s="68"/>
      <c r="AU23" s="127"/>
      <c r="AV23" s="68"/>
    </row>
    <row r="24" spans="1:48" ht="15" customHeight="1">
      <c r="A24" s="43"/>
      <c r="B24" s="125" t="s">
        <v>501</v>
      </c>
      <c r="D24" s="60">
        <v>1825821</v>
      </c>
      <c r="E24" s="60">
        <v>1845073</v>
      </c>
      <c r="F24" s="60">
        <v>1846874</v>
      </c>
      <c r="G24" s="60">
        <v>1985311</v>
      </c>
      <c r="H24" s="57">
        <v>1985311</v>
      </c>
      <c r="I24" s="20"/>
      <c r="J24" s="60">
        <v>2075933</v>
      </c>
      <c r="K24" s="60">
        <v>2138031</v>
      </c>
      <c r="L24" s="60">
        <v>2209517</v>
      </c>
      <c r="M24" s="60">
        <v>2732448</v>
      </c>
      <c r="N24" s="57">
        <v>2732448</v>
      </c>
      <c r="O24" s="20"/>
      <c r="P24" s="60">
        <v>2796175</v>
      </c>
      <c r="Q24" s="60">
        <v>2852444</v>
      </c>
      <c r="R24" s="60">
        <v>3123185</v>
      </c>
      <c r="S24" s="60">
        <v>3435286</v>
      </c>
      <c r="T24" s="57">
        <v>3435286</v>
      </c>
      <c r="U24" s="20"/>
      <c r="V24" s="60">
        <v>3453936</v>
      </c>
      <c r="W24" s="60">
        <v>3496179</v>
      </c>
      <c r="X24" s="60">
        <v>3559898</v>
      </c>
      <c r="Y24" s="60">
        <v>3792753</v>
      </c>
      <c r="Z24" s="57">
        <v>3792753</v>
      </c>
      <c r="AA24" s="120"/>
      <c r="AB24" s="60">
        <v>3814842</v>
      </c>
      <c r="AC24" s="60">
        <v>3814365</v>
      </c>
      <c r="AD24" s="60">
        <v>3865233</v>
      </c>
      <c r="AE24" s="60">
        <v>4043940</v>
      </c>
      <c r="AF24" s="57">
        <v>4043940</v>
      </c>
      <c r="AG24" s="122"/>
      <c r="AH24" s="60">
        <v>4072450</v>
      </c>
      <c r="AI24" s="60">
        <v>4089253</v>
      </c>
      <c r="AJ24" s="60"/>
      <c r="AK24" s="50"/>
      <c r="AL24" s="58"/>
      <c r="AM24" s="124"/>
      <c r="AN24" s="50"/>
      <c r="AO24" s="50"/>
      <c r="AP24" s="50"/>
      <c r="AQ24" s="50"/>
      <c r="AR24" s="58"/>
      <c r="AS24" s="124"/>
      <c r="AT24" s="58"/>
      <c r="AU24" s="124"/>
      <c r="AV24" s="58"/>
    </row>
    <row r="25" spans="1:48" s="111" customFormat="1" ht="15" customHeight="1">
      <c r="B25" s="136" t="s">
        <v>636</v>
      </c>
      <c r="C25" s="113"/>
      <c r="D25" s="60">
        <v>0</v>
      </c>
      <c r="E25" s="60">
        <v>0</v>
      </c>
      <c r="F25" s="60">
        <v>0</v>
      </c>
      <c r="G25" s="60">
        <v>0</v>
      </c>
      <c r="H25" s="57">
        <v>0</v>
      </c>
      <c r="I25" s="114"/>
      <c r="J25" s="60">
        <v>0</v>
      </c>
      <c r="K25" s="60">
        <v>0</v>
      </c>
      <c r="L25" s="60">
        <v>0</v>
      </c>
      <c r="M25" s="60">
        <v>0</v>
      </c>
      <c r="N25" s="57">
        <v>0</v>
      </c>
      <c r="O25" s="114"/>
      <c r="P25" s="60">
        <v>0</v>
      </c>
      <c r="Q25" s="60">
        <v>0</v>
      </c>
      <c r="R25" s="60">
        <v>0</v>
      </c>
      <c r="S25" s="60">
        <v>0</v>
      </c>
      <c r="T25" s="57">
        <v>0</v>
      </c>
      <c r="U25" s="114"/>
      <c r="V25" s="60">
        <v>0</v>
      </c>
      <c r="W25" s="60">
        <v>0</v>
      </c>
      <c r="X25" s="60">
        <v>0</v>
      </c>
      <c r="Y25" s="60">
        <v>0</v>
      </c>
      <c r="Z25" s="57">
        <v>0</v>
      </c>
      <c r="AA25" s="127"/>
      <c r="AB25" s="60">
        <v>0</v>
      </c>
      <c r="AC25" s="60">
        <v>0</v>
      </c>
      <c r="AD25" s="60">
        <v>0</v>
      </c>
      <c r="AE25" s="60">
        <v>0</v>
      </c>
      <c r="AF25" s="57">
        <v>0</v>
      </c>
      <c r="AG25" s="128"/>
      <c r="AH25" s="60">
        <v>0</v>
      </c>
      <c r="AI25" s="60">
        <v>0</v>
      </c>
      <c r="AJ25" s="60"/>
      <c r="AK25" s="50"/>
      <c r="AL25" s="58"/>
      <c r="AM25" s="127"/>
      <c r="AN25" s="50"/>
      <c r="AO25" s="50"/>
      <c r="AP25" s="50"/>
      <c r="AQ25" s="50"/>
      <c r="AR25" s="58"/>
      <c r="AS25" s="127"/>
      <c r="AT25" s="58"/>
      <c r="AU25" s="127"/>
      <c r="AV25" s="58"/>
    </row>
    <row r="26" spans="1:48" ht="15" customHeight="1">
      <c r="A26" s="43"/>
      <c r="B26" s="136" t="s">
        <v>637</v>
      </c>
      <c r="D26" s="60">
        <v>0</v>
      </c>
      <c r="E26" s="60">
        <v>0</v>
      </c>
      <c r="F26" s="60">
        <v>0</v>
      </c>
      <c r="G26" s="60">
        <v>0</v>
      </c>
      <c r="H26" s="57">
        <v>0</v>
      </c>
      <c r="I26" s="20"/>
      <c r="J26" s="60">
        <v>0</v>
      </c>
      <c r="K26" s="60">
        <v>0</v>
      </c>
      <c r="L26" s="60">
        <v>0</v>
      </c>
      <c r="M26" s="60">
        <v>0</v>
      </c>
      <c r="N26" s="57">
        <v>0</v>
      </c>
      <c r="O26" s="20"/>
      <c r="P26" s="60">
        <v>0</v>
      </c>
      <c r="Q26" s="60">
        <v>0</v>
      </c>
      <c r="R26" s="60">
        <v>0</v>
      </c>
      <c r="S26" s="60">
        <v>0</v>
      </c>
      <c r="T26" s="57">
        <v>0</v>
      </c>
      <c r="U26" s="20"/>
      <c r="V26" s="60">
        <v>0</v>
      </c>
      <c r="W26" s="60">
        <v>0</v>
      </c>
      <c r="X26" s="60">
        <v>0</v>
      </c>
      <c r="Y26" s="60">
        <v>0</v>
      </c>
      <c r="Z26" s="57">
        <v>0</v>
      </c>
      <c r="AA26" s="120"/>
      <c r="AB26" s="60">
        <v>0</v>
      </c>
      <c r="AC26" s="60">
        <v>0</v>
      </c>
      <c r="AD26" s="60">
        <v>0</v>
      </c>
      <c r="AE26" s="60">
        <v>0</v>
      </c>
      <c r="AF26" s="57">
        <v>0</v>
      </c>
      <c r="AG26" s="122"/>
      <c r="AH26" s="60">
        <v>0</v>
      </c>
      <c r="AI26" s="60">
        <v>0</v>
      </c>
      <c r="AJ26" s="60"/>
      <c r="AK26" s="50"/>
      <c r="AL26" s="58"/>
      <c r="AM26" s="124"/>
      <c r="AN26" s="50"/>
      <c r="AO26" s="50"/>
      <c r="AP26" s="50"/>
      <c r="AQ26" s="50"/>
      <c r="AR26" s="58"/>
      <c r="AS26" s="124"/>
      <c r="AT26" s="58"/>
      <c r="AU26" s="124"/>
      <c r="AV26" s="58"/>
    </row>
    <row r="27" spans="1:48" ht="15" customHeight="1">
      <c r="A27" s="43"/>
      <c r="B27" s="125" t="s">
        <v>503</v>
      </c>
      <c r="D27" s="60">
        <v>345</v>
      </c>
      <c r="E27" s="60">
        <v>352</v>
      </c>
      <c r="F27" s="60">
        <v>4220</v>
      </c>
      <c r="G27" s="60">
        <v>3619</v>
      </c>
      <c r="H27" s="57">
        <v>3619</v>
      </c>
      <c r="I27" s="20"/>
      <c r="J27" s="60">
        <v>4469</v>
      </c>
      <c r="K27" s="60">
        <v>4590</v>
      </c>
      <c r="L27" s="60">
        <v>4996</v>
      </c>
      <c r="M27" s="60">
        <v>5349</v>
      </c>
      <c r="N27" s="57">
        <v>5349</v>
      </c>
      <c r="O27" s="20"/>
      <c r="P27" s="60">
        <v>5511</v>
      </c>
      <c r="Q27" s="60">
        <v>5528</v>
      </c>
      <c r="R27" s="60">
        <v>8596</v>
      </c>
      <c r="S27" s="60">
        <v>12278</v>
      </c>
      <c r="T27" s="57">
        <v>12278</v>
      </c>
      <c r="U27" s="20"/>
      <c r="V27" s="60">
        <v>10432</v>
      </c>
      <c r="W27" s="60">
        <v>10194</v>
      </c>
      <c r="X27" s="60">
        <v>9742</v>
      </c>
      <c r="Y27" s="60">
        <v>9312</v>
      </c>
      <c r="Z27" s="57">
        <v>9312</v>
      </c>
      <c r="AA27" s="120"/>
      <c r="AB27" s="60">
        <v>32587</v>
      </c>
      <c r="AC27" s="60">
        <v>33636</v>
      </c>
      <c r="AD27" s="60">
        <v>38650</v>
      </c>
      <c r="AE27" s="60">
        <v>41264</v>
      </c>
      <c r="AF27" s="57">
        <v>41264</v>
      </c>
      <c r="AG27" s="122"/>
      <c r="AH27" s="60">
        <v>41735</v>
      </c>
      <c r="AI27" s="60">
        <v>44086</v>
      </c>
      <c r="AJ27" s="60"/>
      <c r="AK27" s="50"/>
      <c r="AL27" s="58"/>
      <c r="AM27" s="124"/>
      <c r="AN27" s="50"/>
      <c r="AO27" s="50"/>
      <c r="AP27" s="50"/>
      <c r="AQ27" s="50"/>
      <c r="AR27" s="58"/>
      <c r="AS27" s="124"/>
      <c r="AT27" s="58"/>
      <c r="AU27" s="124"/>
      <c r="AV27" s="58"/>
    </row>
    <row r="28" spans="1:48" ht="15" customHeight="1">
      <c r="A28" s="43"/>
      <c r="B28" s="125" t="s">
        <v>638</v>
      </c>
      <c r="D28" s="60">
        <v>0</v>
      </c>
      <c r="E28" s="60">
        <v>0</v>
      </c>
      <c r="F28" s="60">
        <v>0</v>
      </c>
      <c r="G28" s="60">
        <v>0</v>
      </c>
      <c r="H28" s="57">
        <v>0</v>
      </c>
      <c r="I28" s="20"/>
      <c r="J28" s="60">
        <v>0</v>
      </c>
      <c r="K28" s="60">
        <v>0</v>
      </c>
      <c r="L28" s="60">
        <v>0</v>
      </c>
      <c r="M28" s="60">
        <v>0</v>
      </c>
      <c r="N28" s="57">
        <v>0</v>
      </c>
      <c r="O28" s="20"/>
      <c r="P28" s="60">
        <v>0</v>
      </c>
      <c r="Q28" s="60">
        <v>0</v>
      </c>
      <c r="R28" s="60">
        <v>0</v>
      </c>
      <c r="S28" s="60">
        <v>0</v>
      </c>
      <c r="T28" s="57">
        <v>0</v>
      </c>
      <c r="U28" s="20"/>
      <c r="V28" s="60">
        <v>0</v>
      </c>
      <c r="W28" s="60">
        <v>0</v>
      </c>
      <c r="X28" s="60">
        <v>0</v>
      </c>
      <c r="Y28" s="60">
        <v>0</v>
      </c>
      <c r="Z28" s="57">
        <v>0</v>
      </c>
      <c r="AA28" s="120"/>
      <c r="AB28" s="60">
        <v>0</v>
      </c>
      <c r="AC28" s="60">
        <v>0</v>
      </c>
      <c r="AD28" s="60">
        <v>0</v>
      </c>
      <c r="AE28" s="60">
        <v>0</v>
      </c>
      <c r="AF28" s="57">
        <v>0</v>
      </c>
      <c r="AG28" s="122"/>
      <c r="AH28" s="60">
        <v>0</v>
      </c>
      <c r="AI28" s="60">
        <v>0</v>
      </c>
      <c r="AJ28" s="60"/>
      <c r="AK28" s="50"/>
      <c r="AL28" s="58"/>
      <c r="AM28" s="135"/>
      <c r="AN28" s="50"/>
      <c r="AO28" s="50"/>
      <c r="AP28" s="50"/>
      <c r="AQ28" s="50"/>
      <c r="AR28" s="58"/>
      <c r="AS28" s="135"/>
      <c r="AT28" s="58"/>
      <c r="AU28" s="135"/>
      <c r="AV28" s="58"/>
    </row>
    <row r="29" spans="1:48" ht="15" customHeight="1">
      <c r="A29" s="43"/>
      <c r="B29" s="125" t="s">
        <v>639</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0"/>
      <c r="AB29" s="60">
        <v>0</v>
      </c>
      <c r="AC29" s="60">
        <v>0</v>
      </c>
      <c r="AD29" s="60">
        <v>0</v>
      </c>
      <c r="AE29" s="60">
        <v>0</v>
      </c>
      <c r="AF29" s="57">
        <v>0</v>
      </c>
      <c r="AG29" s="122"/>
      <c r="AH29" s="60">
        <v>0</v>
      </c>
      <c r="AI29" s="60">
        <v>0</v>
      </c>
      <c r="AJ29" s="60"/>
      <c r="AK29" s="50"/>
      <c r="AL29" s="58"/>
      <c r="AM29" s="124"/>
      <c r="AN29" s="50"/>
      <c r="AO29" s="50"/>
      <c r="AP29" s="50"/>
      <c r="AQ29" s="50"/>
      <c r="AR29" s="58"/>
      <c r="AS29" s="124"/>
      <c r="AT29" s="58"/>
      <c r="AU29" s="124"/>
      <c r="AV29" s="58"/>
    </row>
    <row r="30" spans="1:48" s="111" customFormat="1" ht="15" customHeight="1">
      <c r="B30" s="125" t="s">
        <v>640</v>
      </c>
      <c r="C30" s="113"/>
      <c r="D30" s="60">
        <v>-1826166</v>
      </c>
      <c r="E30" s="60">
        <v>-1845425</v>
      </c>
      <c r="F30" s="60">
        <v>-1851094</v>
      </c>
      <c r="G30" s="60">
        <v>-1988930</v>
      </c>
      <c r="H30" s="74">
        <v>-1988930</v>
      </c>
      <c r="I30" s="114"/>
      <c r="J30" s="60">
        <v>-2080402</v>
      </c>
      <c r="K30" s="60">
        <v>-2142621</v>
      </c>
      <c r="L30" s="60">
        <v>-2214513</v>
      </c>
      <c r="M30" s="60">
        <v>-2737797</v>
      </c>
      <c r="N30" s="74">
        <v>-2737797</v>
      </c>
      <c r="O30" s="114"/>
      <c r="P30" s="60">
        <v>-2801686</v>
      </c>
      <c r="Q30" s="60">
        <v>-2857972</v>
      </c>
      <c r="R30" s="60">
        <v>-3131781</v>
      </c>
      <c r="S30" s="60">
        <v>-3447564</v>
      </c>
      <c r="T30" s="74">
        <v>-3447564</v>
      </c>
      <c r="U30" s="114"/>
      <c r="V30" s="60">
        <v>-3464368</v>
      </c>
      <c r="W30" s="60">
        <v>-3506373</v>
      </c>
      <c r="X30" s="60">
        <v>-3569640</v>
      </c>
      <c r="Y30" s="60">
        <v>-3802065</v>
      </c>
      <c r="Z30" s="74">
        <v>-3802065</v>
      </c>
      <c r="AA30" s="127"/>
      <c r="AB30" s="60">
        <v>-3847429</v>
      </c>
      <c r="AC30" s="60">
        <v>-3848001</v>
      </c>
      <c r="AD30" s="60">
        <v>-3903883</v>
      </c>
      <c r="AE30" s="60">
        <v>-4085204</v>
      </c>
      <c r="AF30" s="74">
        <v>-4085204</v>
      </c>
      <c r="AG30" s="128"/>
      <c r="AH30" s="60">
        <v>-4114185</v>
      </c>
      <c r="AI30" s="60">
        <v>-4133339</v>
      </c>
      <c r="AJ30" s="60"/>
      <c r="AK30" s="50"/>
      <c r="AL30" s="75"/>
      <c r="AM30" s="127"/>
      <c r="AN30" s="50"/>
      <c r="AO30" s="50"/>
      <c r="AP30" s="50"/>
      <c r="AQ30" s="50"/>
      <c r="AR30" s="75"/>
      <c r="AS30" s="127"/>
      <c r="AT30" s="75"/>
      <c r="AU30" s="127"/>
      <c r="AV30" s="75"/>
    </row>
    <row r="31" spans="1:48" ht="15" customHeight="1">
      <c r="A31" s="43"/>
      <c r="B31" s="136" t="s">
        <v>641</v>
      </c>
      <c r="D31" s="60">
        <v>0</v>
      </c>
      <c r="E31" s="60">
        <v>0</v>
      </c>
      <c r="F31" s="60">
        <v>0</v>
      </c>
      <c r="G31" s="60">
        <v>0</v>
      </c>
      <c r="H31" s="74">
        <v>0</v>
      </c>
      <c r="I31" s="20"/>
      <c r="J31" s="60">
        <v>0</v>
      </c>
      <c r="K31" s="60">
        <v>0</v>
      </c>
      <c r="L31" s="60">
        <v>0</v>
      </c>
      <c r="M31" s="60">
        <v>0</v>
      </c>
      <c r="N31" s="74">
        <v>0</v>
      </c>
      <c r="O31" s="20"/>
      <c r="P31" s="60">
        <v>0</v>
      </c>
      <c r="Q31" s="60">
        <v>0</v>
      </c>
      <c r="R31" s="60">
        <v>0</v>
      </c>
      <c r="S31" s="60">
        <v>0</v>
      </c>
      <c r="T31" s="74">
        <v>0</v>
      </c>
      <c r="U31" s="20"/>
      <c r="V31" s="60">
        <v>0</v>
      </c>
      <c r="W31" s="60">
        <v>0</v>
      </c>
      <c r="X31" s="60">
        <v>0</v>
      </c>
      <c r="Y31" s="60">
        <v>0</v>
      </c>
      <c r="Z31" s="74">
        <v>0</v>
      </c>
      <c r="AA31" s="120"/>
      <c r="AB31" s="60">
        <v>0</v>
      </c>
      <c r="AC31" s="60">
        <v>0</v>
      </c>
      <c r="AD31" s="60">
        <v>0</v>
      </c>
      <c r="AE31" s="60">
        <v>0</v>
      </c>
      <c r="AF31" s="74">
        <v>0</v>
      </c>
      <c r="AG31" s="122"/>
      <c r="AH31" s="60">
        <v>0</v>
      </c>
      <c r="AI31" s="60">
        <v>0</v>
      </c>
      <c r="AJ31" s="60"/>
      <c r="AK31" s="50"/>
      <c r="AL31" s="75"/>
      <c r="AM31" s="137"/>
      <c r="AN31" s="50"/>
      <c r="AO31" s="50"/>
      <c r="AP31" s="50"/>
      <c r="AQ31" s="50"/>
      <c r="AR31" s="75"/>
      <c r="AS31" s="137"/>
      <c r="AT31" s="75"/>
      <c r="AU31" s="137"/>
      <c r="AV31" s="75"/>
    </row>
    <row r="32" spans="1:48" s="111" customFormat="1" ht="15" customHeight="1" thickBot="1">
      <c r="B32" s="138" t="s">
        <v>642</v>
      </c>
      <c r="C32" s="113"/>
      <c r="D32" s="60">
        <v>2389873</v>
      </c>
      <c r="E32" s="60">
        <v>2432811</v>
      </c>
      <c r="F32" s="60">
        <v>2397051</v>
      </c>
      <c r="G32" s="60">
        <v>2613689</v>
      </c>
      <c r="H32" s="92">
        <v>2613689</v>
      </c>
      <c r="I32" s="114"/>
      <c r="J32" s="60">
        <v>3350102</v>
      </c>
      <c r="K32" s="60">
        <v>3379668</v>
      </c>
      <c r="L32" s="60">
        <v>3420892</v>
      </c>
      <c r="M32" s="60">
        <v>3768362</v>
      </c>
      <c r="N32" s="92">
        <v>3768362</v>
      </c>
      <c r="O32" s="114"/>
      <c r="P32" s="60">
        <v>3785695</v>
      </c>
      <c r="Q32" s="60">
        <v>3803913</v>
      </c>
      <c r="R32" s="60">
        <v>4027977</v>
      </c>
      <c r="S32" s="60">
        <v>4281969</v>
      </c>
      <c r="T32" s="92">
        <v>4281969</v>
      </c>
      <c r="U32" s="114"/>
      <c r="V32" s="60">
        <v>4310432</v>
      </c>
      <c r="W32" s="60">
        <v>4306721</v>
      </c>
      <c r="X32" s="60">
        <v>4308741</v>
      </c>
      <c r="Y32" s="60">
        <v>4689030</v>
      </c>
      <c r="Z32" s="92">
        <v>4689030</v>
      </c>
      <c r="AA32" s="139"/>
      <c r="AB32" s="60">
        <v>4816140</v>
      </c>
      <c r="AC32" s="60">
        <v>4825492</v>
      </c>
      <c r="AD32" s="60">
        <v>4832493</v>
      </c>
      <c r="AE32" s="60">
        <v>5090774</v>
      </c>
      <c r="AF32" s="92">
        <v>5090774</v>
      </c>
      <c r="AG32" s="128"/>
      <c r="AH32" s="60">
        <v>5127447</v>
      </c>
      <c r="AI32" s="60">
        <v>5204727</v>
      </c>
      <c r="AJ32" s="60"/>
      <c r="AK32" s="50"/>
      <c r="AL32" s="93"/>
      <c r="AM32" s="127"/>
      <c r="AN32" s="50"/>
      <c r="AO32" s="50"/>
      <c r="AP32" s="50"/>
      <c r="AQ32" s="50"/>
      <c r="AR32" s="93"/>
      <c r="AS32" s="127"/>
      <c r="AT32" s="93"/>
      <c r="AU32" s="127"/>
      <c r="AV32" s="93"/>
    </row>
    <row r="33" spans="1:48" ht="15" customHeight="1" thickTop="1"/>
    <row r="34" spans="1:48" s="111" customFormat="1" ht="15" customHeight="1">
      <c r="A34" s="44"/>
      <c r="B34" s="64" t="s">
        <v>643</v>
      </c>
      <c r="C34" s="113"/>
      <c r="D34" s="46"/>
      <c r="E34" s="46"/>
      <c r="F34" s="46"/>
      <c r="G34" s="46"/>
      <c r="H34" s="66"/>
      <c r="I34" s="114"/>
      <c r="J34" s="46"/>
      <c r="K34" s="46"/>
      <c r="L34" s="46"/>
      <c r="M34" s="46"/>
      <c r="N34" s="66"/>
      <c r="O34" s="114"/>
      <c r="P34" s="46"/>
      <c r="Q34" s="46"/>
      <c r="R34" s="46"/>
      <c r="S34" s="46"/>
      <c r="T34" s="66"/>
      <c r="U34" s="114"/>
      <c r="V34" s="46"/>
      <c r="W34" s="46"/>
      <c r="X34" s="46"/>
      <c r="Y34" s="46"/>
      <c r="Z34" s="66"/>
      <c r="AA34" s="115"/>
      <c r="AB34" s="46"/>
      <c r="AC34" s="46"/>
      <c r="AD34" s="46"/>
      <c r="AE34" s="46"/>
      <c r="AF34" s="66"/>
      <c r="AG34" s="116"/>
      <c r="AH34" s="46"/>
      <c r="AI34" s="46"/>
      <c r="AJ34" s="46"/>
      <c r="AK34" s="50"/>
      <c r="AL34" s="68"/>
      <c r="AM34" s="115"/>
      <c r="AN34" s="50"/>
      <c r="AO34" s="50"/>
      <c r="AP34" s="50"/>
      <c r="AQ34" s="50"/>
      <c r="AR34" s="68"/>
      <c r="AS34" s="115"/>
      <c r="AT34" s="68"/>
      <c r="AU34" s="115"/>
      <c r="AV34" s="68"/>
    </row>
    <row r="35" spans="1:48" s="145" customFormat="1" ht="15" customHeight="1">
      <c r="A35" s="140"/>
      <c r="B35" s="141"/>
      <c r="C35" s="27"/>
      <c r="D35" s="46"/>
      <c r="E35" s="46"/>
      <c r="F35" s="46"/>
      <c r="G35" s="46"/>
      <c r="H35" s="66"/>
      <c r="I35" s="142"/>
      <c r="J35" s="46"/>
      <c r="K35" s="46"/>
      <c r="L35" s="46"/>
      <c r="M35" s="46"/>
      <c r="N35" s="66"/>
      <c r="O35" s="142"/>
      <c r="P35" s="46"/>
      <c r="Q35" s="46"/>
      <c r="R35" s="46"/>
      <c r="S35" s="46"/>
      <c r="T35" s="66"/>
      <c r="U35" s="142"/>
      <c r="V35" s="46"/>
      <c r="W35" s="46"/>
      <c r="X35" s="46"/>
      <c r="Y35" s="46"/>
      <c r="Z35" s="66"/>
      <c r="AA35" s="143"/>
      <c r="AB35" s="46"/>
      <c r="AC35" s="46"/>
      <c r="AD35" s="46"/>
      <c r="AE35" s="46"/>
      <c r="AF35" s="66"/>
      <c r="AG35" s="144"/>
      <c r="AH35" s="46"/>
      <c r="AI35" s="46"/>
      <c r="AJ35" s="46"/>
      <c r="AK35" s="50"/>
      <c r="AL35" s="68"/>
      <c r="AM35" s="146"/>
      <c r="AN35" s="50"/>
      <c r="AO35" s="50"/>
      <c r="AP35" s="50"/>
      <c r="AQ35" s="50"/>
      <c r="AR35" s="68"/>
      <c r="AS35" s="137"/>
      <c r="AT35" s="68"/>
      <c r="AU35" s="137"/>
      <c r="AV35" s="68"/>
    </row>
    <row r="36" spans="1:48" s="111" customFormat="1" ht="15" customHeight="1">
      <c r="A36" s="44" t="s">
        <v>39</v>
      </c>
      <c r="B36" s="112" t="s">
        <v>644</v>
      </c>
      <c r="C36" s="113"/>
      <c r="D36" s="46"/>
      <c r="E36" s="46"/>
      <c r="F36" s="46"/>
      <c r="G36" s="46"/>
      <c r="H36" s="66"/>
      <c r="I36" s="114"/>
      <c r="J36" s="46"/>
      <c r="K36" s="46"/>
      <c r="L36" s="46"/>
      <c r="M36" s="46"/>
      <c r="N36" s="66"/>
      <c r="O36" s="114"/>
      <c r="P36" s="46"/>
      <c r="Q36" s="46"/>
      <c r="R36" s="46"/>
      <c r="S36" s="46"/>
      <c r="T36" s="66"/>
      <c r="U36" s="114"/>
      <c r="V36" s="46"/>
      <c r="W36" s="46"/>
      <c r="X36" s="46"/>
      <c r="Y36" s="46"/>
      <c r="Z36" s="66"/>
      <c r="AA36" s="115"/>
      <c r="AB36" s="46"/>
      <c r="AC36" s="46"/>
      <c r="AD36" s="46"/>
      <c r="AE36" s="46"/>
      <c r="AF36" s="66"/>
      <c r="AG36" s="116"/>
      <c r="AH36" s="46"/>
      <c r="AI36" s="46"/>
      <c r="AJ36" s="46"/>
      <c r="AK36" s="50"/>
      <c r="AL36" s="68"/>
      <c r="AM36" s="147"/>
      <c r="AN36" s="50"/>
      <c r="AO36" s="50"/>
      <c r="AP36" s="50"/>
      <c r="AQ36" s="50"/>
      <c r="AR36" s="68"/>
      <c r="AS36" s="115"/>
      <c r="AT36" s="68"/>
      <c r="AU36" s="115"/>
      <c r="AV36" s="68"/>
    </row>
    <row r="37" spans="1:48" ht="15" customHeight="1">
      <c r="A37" s="43"/>
      <c r="B37" s="125" t="s">
        <v>645</v>
      </c>
      <c r="D37" s="60">
        <v>23541</v>
      </c>
      <c r="E37" s="60">
        <v>21514</v>
      </c>
      <c r="F37" s="60">
        <v>67050</v>
      </c>
      <c r="G37" s="60">
        <v>117968</v>
      </c>
      <c r="H37" s="57">
        <v>117968</v>
      </c>
      <c r="I37" s="20"/>
      <c r="J37" s="60">
        <v>94253</v>
      </c>
      <c r="K37" s="60">
        <v>46331</v>
      </c>
      <c r="L37" s="60">
        <v>50028</v>
      </c>
      <c r="M37" s="60">
        <v>44764</v>
      </c>
      <c r="N37" s="57">
        <v>44764</v>
      </c>
      <c r="O37" s="20"/>
      <c r="P37" s="60">
        <v>50169</v>
      </c>
      <c r="Q37" s="60">
        <v>43638</v>
      </c>
      <c r="R37" s="60">
        <v>82724</v>
      </c>
      <c r="S37" s="60">
        <v>115496</v>
      </c>
      <c r="T37" s="57">
        <v>115496</v>
      </c>
      <c r="U37" s="20"/>
      <c r="V37" s="60">
        <v>109796</v>
      </c>
      <c r="W37" s="60">
        <v>84330</v>
      </c>
      <c r="X37" s="60">
        <v>86595</v>
      </c>
      <c r="Y37" s="60">
        <v>102367</v>
      </c>
      <c r="Z37" s="57">
        <v>102367</v>
      </c>
      <c r="AA37" s="20"/>
      <c r="AB37" s="60">
        <v>99570</v>
      </c>
      <c r="AC37" s="60">
        <v>111863</v>
      </c>
      <c r="AD37" s="60">
        <v>134204</v>
      </c>
      <c r="AE37" s="60">
        <v>109922</v>
      </c>
      <c r="AF37" s="57">
        <v>109922</v>
      </c>
      <c r="AG37" s="148"/>
      <c r="AH37" s="60">
        <v>120197</v>
      </c>
      <c r="AI37" s="60">
        <v>76519</v>
      </c>
      <c r="AJ37" s="60"/>
      <c r="AK37" s="50"/>
      <c r="AL37" s="58"/>
      <c r="AM37" s="20"/>
      <c r="AN37" s="50"/>
      <c r="AO37" s="50"/>
      <c r="AP37" s="50"/>
      <c r="AQ37" s="50"/>
      <c r="AR37" s="58"/>
      <c r="AS37" s="20"/>
      <c r="AT37" s="58"/>
      <c r="AU37" s="20"/>
      <c r="AV37" s="58"/>
    </row>
    <row r="38" spans="1:48" ht="15" customHeight="1">
      <c r="A38" s="43"/>
      <c r="B38" s="125" t="s">
        <v>646</v>
      </c>
      <c r="D38" s="60">
        <v>10718</v>
      </c>
      <c r="E38" s="60">
        <v>14207</v>
      </c>
      <c r="F38" s="60">
        <v>32748</v>
      </c>
      <c r="G38" s="60">
        <v>74377</v>
      </c>
      <c r="H38" s="60">
        <f>+G38</f>
        <v>74377</v>
      </c>
      <c r="I38" s="60"/>
      <c r="J38" s="60">
        <v>140033</v>
      </c>
      <c r="K38" s="60">
        <v>148085</v>
      </c>
      <c r="L38" s="60">
        <v>130658</v>
      </c>
      <c r="M38" s="60">
        <v>90509</v>
      </c>
      <c r="N38" s="60">
        <f>+M38</f>
        <v>90509</v>
      </c>
      <c r="O38" s="60"/>
      <c r="P38" s="60">
        <v>85598</v>
      </c>
      <c r="Q38" s="60">
        <v>84568</v>
      </c>
      <c r="R38" s="60">
        <v>101454</v>
      </c>
      <c r="S38" s="60">
        <v>98245</v>
      </c>
      <c r="T38" s="60">
        <f>+S38</f>
        <v>98245</v>
      </c>
      <c r="U38" s="60"/>
      <c r="V38" s="60">
        <v>104881</v>
      </c>
      <c r="W38" s="60">
        <v>119268</v>
      </c>
      <c r="X38" s="60">
        <v>89879</v>
      </c>
      <c r="Y38" s="60">
        <v>93022</v>
      </c>
      <c r="Z38" s="60">
        <f>+Y38</f>
        <v>93022</v>
      </c>
      <c r="AA38" s="60"/>
      <c r="AB38" s="60">
        <v>68718</v>
      </c>
      <c r="AC38" s="60">
        <v>59985</v>
      </c>
      <c r="AD38" s="60">
        <v>57346</v>
      </c>
      <c r="AE38" s="60">
        <v>41726</v>
      </c>
      <c r="AF38" s="60">
        <f>+AE38</f>
        <v>41726</v>
      </c>
      <c r="AG38" s="60"/>
      <c r="AH38" s="60">
        <v>52837</v>
      </c>
      <c r="AI38" s="60">
        <v>64006</v>
      </c>
      <c r="AJ38" s="60"/>
      <c r="AK38" s="50"/>
      <c r="AL38" s="58"/>
      <c r="AM38" s="149"/>
      <c r="AN38" s="50"/>
      <c r="AO38" s="50"/>
      <c r="AP38" s="50"/>
      <c r="AQ38" s="50"/>
      <c r="AR38" s="58"/>
      <c r="AS38" s="149"/>
      <c r="AT38" s="58"/>
      <c r="AU38" s="149"/>
      <c r="AV38" s="58"/>
    </row>
    <row r="39" spans="1:48" s="111" customFormat="1" ht="15" customHeight="1">
      <c r="B39" s="125" t="s">
        <v>647</v>
      </c>
      <c r="C39" s="113"/>
      <c r="D39" s="60">
        <v>0</v>
      </c>
      <c r="E39" s="60">
        <v>0</v>
      </c>
      <c r="F39" s="60">
        <v>0</v>
      </c>
      <c r="G39" s="60">
        <v>0</v>
      </c>
      <c r="H39" s="57">
        <v>0</v>
      </c>
      <c r="I39" s="114"/>
      <c r="J39" s="60">
        <v>0</v>
      </c>
      <c r="K39" s="60">
        <v>0</v>
      </c>
      <c r="L39" s="60">
        <v>0</v>
      </c>
      <c r="M39" s="60">
        <v>0</v>
      </c>
      <c r="N39" s="57">
        <v>0</v>
      </c>
      <c r="O39" s="114"/>
      <c r="P39" s="60">
        <v>0</v>
      </c>
      <c r="Q39" s="60">
        <v>0</v>
      </c>
      <c r="R39" s="60">
        <v>0</v>
      </c>
      <c r="S39" s="60">
        <v>0</v>
      </c>
      <c r="T39" s="57">
        <v>0</v>
      </c>
      <c r="U39" s="114"/>
      <c r="V39" s="60">
        <v>0</v>
      </c>
      <c r="W39" s="60">
        <v>0</v>
      </c>
      <c r="X39" s="60">
        <v>0</v>
      </c>
      <c r="Y39" s="60">
        <v>0</v>
      </c>
      <c r="Z39" s="57">
        <v>0</v>
      </c>
      <c r="AA39" s="127"/>
      <c r="AB39" s="60">
        <v>0</v>
      </c>
      <c r="AC39" s="60">
        <v>0</v>
      </c>
      <c r="AD39" s="60">
        <v>0</v>
      </c>
      <c r="AE39" s="60">
        <v>0</v>
      </c>
      <c r="AF39" s="57">
        <v>0</v>
      </c>
      <c r="AG39" s="128"/>
      <c r="AH39" s="60">
        <v>0</v>
      </c>
      <c r="AI39" s="60">
        <v>0</v>
      </c>
      <c r="AJ39" s="60"/>
      <c r="AK39" s="50"/>
      <c r="AL39" s="58"/>
      <c r="AM39" s="127"/>
      <c r="AN39" s="50"/>
      <c r="AO39" s="50"/>
      <c r="AP39" s="50"/>
      <c r="AQ39" s="50"/>
      <c r="AR39" s="58"/>
      <c r="AS39" s="127"/>
      <c r="AT39" s="58"/>
      <c r="AU39" s="127"/>
      <c r="AV39" s="58"/>
    </row>
    <row r="40" spans="1:48" ht="15" customHeight="1">
      <c r="A40" s="43"/>
      <c r="B40" s="125" t="s">
        <v>648</v>
      </c>
      <c r="D40" s="60">
        <v>59550</v>
      </c>
      <c r="E40" s="60">
        <v>55586</v>
      </c>
      <c r="F40" s="60">
        <v>52118</v>
      </c>
      <c r="G40" s="60">
        <v>61838</v>
      </c>
      <c r="H40" s="57">
        <v>61838</v>
      </c>
      <c r="I40" s="20"/>
      <c r="J40" s="60">
        <v>73401</v>
      </c>
      <c r="K40" s="60">
        <v>86301</v>
      </c>
      <c r="L40" s="60">
        <v>96527</v>
      </c>
      <c r="M40" s="60">
        <v>102482</v>
      </c>
      <c r="N40" s="57">
        <v>102482</v>
      </c>
      <c r="O40" s="20"/>
      <c r="P40" s="60">
        <v>97861</v>
      </c>
      <c r="Q40" s="60">
        <v>96529</v>
      </c>
      <c r="R40" s="60">
        <v>84641</v>
      </c>
      <c r="S40" s="60">
        <v>101678</v>
      </c>
      <c r="T40" s="57">
        <v>101678</v>
      </c>
      <c r="U40" s="20"/>
      <c r="V40" s="60">
        <v>100152</v>
      </c>
      <c r="W40" s="60">
        <v>84748</v>
      </c>
      <c r="X40" s="60">
        <v>87059</v>
      </c>
      <c r="Y40" s="60">
        <v>89242</v>
      </c>
      <c r="Z40" s="57">
        <v>89242</v>
      </c>
      <c r="AA40" s="20"/>
      <c r="AB40" s="60">
        <v>122178</v>
      </c>
      <c r="AC40" s="60">
        <v>113466</v>
      </c>
      <c r="AD40" s="60">
        <v>127183</v>
      </c>
      <c r="AE40" s="60">
        <v>143540</v>
      </c>
      <c r="AF40" s="57">
        <v>143540</v>
      </c>
      <c r="AG40" s="148"/>
      <c r="AH40" s="60">
        <v>146764</v>
      </c>
      <c r="AI40" s="60">
        <v>160436</v>
      </c>
      <c r="AJ40" s="60"/>
      <c r="AK40" s="50"/>
      <c r="AL40" s="58"/>
      <c r="AM40" s="20"/>
      <c r="AN40" s="50"/>
      <c r="AO40" s="50"/>
      <c r="AP40" s="50"/>
      <c r="AQ40" s="50"/>
      <c r="AR40" s="58"/>
      <c r="AS40" s="20"/>
      <c r="AT40" s="58"/>
      <c r="AU40" s="20"/>
      <c r="AV40" s="58"/>
    </row>
    <row r="41" spans="1:48" s="111" customFormat="1" ht="15" customHeight="1">
      <c r="B41" s="136" t="s">
        <v>649</v>
      </c>
      <c r="C41" s="113"/>
      <c r="D41" s="60">
        <v>93809</v>
      </c>
      <c r="E41" s="60">
        <v>91307</v>
      </c>
      <c r="F41" s="60">
        <v>151916</v>
      </c>
      <c r="G41" s="60">
        <v>254183</v>
      </c>
      <c r="H41" s="77">
        <v>254183</v>
      </c>
      <c r="I41" s="114"/>
      <c r="J41" s="60">
        <v>307687</v>
      </c>
      <c r="K41" s="60">
        <v>280717</v>
      </c>
      <c r="L41" s="60">
        <v>277213</v>
      </c>
      <c r="M41" s="60">
        <v>237755</v>
      </c>
      <c r="N41" s="77">
        <v>237755</v>
      </c>
      <c r="O41" s="114"/>
      <c r="P41" s="60">
        <v>233628</v>
      </c>
      <c r="Q41" s="60">
        <v>224735</v>
      </c>
      <c r="R41" s="60">
        <v>268819</v>
      </c>
      <c r="S41" s="60">
        <v>315419</v>
      </c>
      <c r="T41" s="77">
        <v>315419</v>
      </c>
      <c r="U41" s="114"/>
      <c r="V41" s="60">
        <v>314829</v>
      </c>
      <c r="W41" s="60">
        <v>288346</v>
      </c>
      <c r="X41" s="60">
        <v>263533</v>
      </c>
      <c r="Y41" s="60">
        <v>284631</v>
      </c>
      <c r="Z41" s="77">
        <v>284631</v>
      </c>
      <c r="AA41" s="127"/>
      <c r="AB41" s="60">
        <v>290466</v>
      </c>
      <c r="AC41" s="60">
        <v>285314</v>
      </c>
      <c r="AD41" s="60">
        <v>318733</v>
      </c>
      <c r="AE41" s="60">
        <v>295188</v>
      </c>
      <c r="AF41" s="77">
        <v>295188</v>
      </c>
      <c r="AG41" s="128"/>
      <c r="AH41" s="60">
        <v>319798</v>
      </c>
      <c r="AI41" s="60">
        <v>300961</v>
      </c>
      <c r="AJ41" s="60"/>
      <c r="AK41" s="46"/>
      <c r="AL41" s="77"/>
      <c r="AM41" s="127"/>
      <c r="AN41" s="46"/>
      <c r="AO41" s="46"/>
      <c r="AP41" s="46"/>
      <c r="AQ41" s="46"/>
      <c r="AR41" s="77"/>
      <c r="AS41" s="127"/>
      <c r="AT41" s="77"/>
      <c r="AU41" s="127"/>
      <c r="AV41" s="77"/>
    </row>
    <row r="42" spans="1:48" ht="15" customHeight="1">
      <c r="A42" s="43"/>
      <c r="B42" s="150"/>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48"/>
      <c r="AH42" s="46"/>
      <c r="AI42" s="46"/>
      <c r="AJ42" s="46"/>
      <c r="AK42" s="46"/>
      <c r="AL42" s="66"/>
      <c r="AM42" s="20"/>
      <c r="AN42" s="46"/>
      <c r="AO42" s="46"/>
      <c r="AP42" s="46"/>
      <c r="AQ42" s="46"/>
      <c r="AR42" s="66"/>
      <c r="AS42" s="20"/>
      <c r="AT42" s="66"/>
      <c r="AU42" s="20"/>
      <c r="AV42" s="66"/>
    </row>
    <row r="43" spans="1:48" s="111" customFormat="1" ht="15" customHeight="1">
      <c r="A43" s="44" t="s">
        <v>39</v>
      </c>
      <c r="B43" s="112" t="s">
        <v>650</v>
      </c>
      <c r="C43" s="113"/>
      <c r="D43" s="46"/>
      <c r="E43" s="46"/>
      <c r="F43" s="46"/>
      <c r="G43" s="46"/>
      <c r="H43" s="66"/>
      <c r="I43" s="114"/>
      <c r="J43" s="46"/>
      <c r="K43" s="46"/>
      <c r="L43" s="46"/>
      <c r="M43" s="46"/>
      <c r="N43" s="66"/>
      <c r="O43" s="114"/>
      <c r="P43" s="46"/>
      <c r="Q43" s="46"/>
      <c r="R43" s="46"/>
      <c r="S43" s="46"/>
      <c r="T43" s="66"/>
      <c r="U43" s="114"/>
      <c r="V43" s="46"/>
      <c r="W43" s="46"/>
      <c r="X43" s="46"/>
      <c r="Y43" s="46"/>
      <c r="Z43" s="66"/>
      <c r="AA43" s="114"/>
      <c r="AB43" s="46"/>
      <c r="AC43" s="46"/>
      <c r="AD43" s="46"/>
      <c r="AE43" s="46"/>
      <c r="AF43" s="66"/>
      <c r="AG43" s="151"/>
      <c r="AH43" s="46"/>
      <c r="AI43" s="46"/>
      <c r="AJ43" s="46"/>
      <c r="AK43" s="46"/>
      <c r="AL43" s="66"/>
      <c r="AM43" s="114"/>
      <c r="AN43" s="46"/>
      <c r="AO43" s="46"/>
      <c r="AP43" s="46"/>
      <c r="AQ43" s="46"/>
      <c r="AR43" s="66"/>
      <c r="AS43" s="114"/>
      <c r="AT43" s="66"/>
      <c r="AU43" s="114"/>
      <c r="AV43" s="66"/>
    </row>
    <row r="44" spans="1:48" ht="15" customHeight="1">
      <c r="A44" s="43"/>
      <c r="B44" s="125" t="s">
        <v>651</v>
      </c>
      <c r="D44" s="60">
        <v>727086</v>
      </c>
      <c r="E44" s="60">
        <v>782459</v>
      </c>
      <c r="F44" s="60">
        <v>782554</v>
      </c>
      <c r="G44" s="60">
        <v>884348</v>
      </c>
      <c r="H44" s="60">
        <f>+G44</f>
        <v>884348</v>
      </c>
      <c r="I44" s="60"/>
      <c r="J44" s="60">
        <v>908974</v>
      </c>
      <c r="K44" s="60">
        <v>979577</v>
      </c>
      <c r="L44" s="60">
        <v>1010307</v>
      </c>
      <c r="M44" s="60">
        <v>1067774</v>
      </c>
      <c r="N44" s="60">
        <f>+M44</f>
        <v>1067774</v>
      </c>
      <c r="O44" s="60"/>
      <c r="P44" s="60">
        <v>1081127</v>
      </c>
      <c r="Q44" s="60">
        <v>1090680</v>
      </c>
      <c r="R44" s="60">
        <v>1094554</v>
      </c>
      <c r="S44" s="60">
        <v>1169849</v>
      </c>
      <c r="T44" s="60">
        <f>+S44</f>
        <v>1169849</v>
      </c>
      <c r="U44" s="60"/>
      <c r="V44" s="60">
        <v>1170939</v>
      </c>
      <c r="W44" s="60">
        <v>1167804</v>
      </c>
      <c r="X44" s="60">
        <v>1166618</v>
      </c>
      <c r="Y44" s="60">
        <v>1246193</v>
      </c>
      <c r="Z44" s="60">
        <f>+Y44</f>
        <v>1246193</v>
      </c>
      <c r="AA44" s="60"/>
      <c r="AB44" s="60">
        <v>1389375</v>
      </c>
      <c r="AC44" s="60">
        <v>1447492</v>
      </c>
      <c r="AD44" s="60">
        <v>1451399</v>
      </c>
      <c r="AE44" s="60">
        <v>1526458</v>
      </c>
      <c r="AF44" s="60">
        <f>+AE44</f>
        <v>1526458</v>
      </c>
      <c r="AG44" s="60"/>
      <c r="AH44" s="60">
        <v>1570323</v>
      </c>
      <c r="AI44" s="60">
        <v>1645381</v>
      </c>
      <c r="AJ44" s="60"/>
      <c r="AK44" s="46"/>
      <c r="AL44" s="66"/>
      <c r="AM44" s="20"/>
      <c r="AN44" s="46"/>
      <c r="AO44" s="46"/>
      <c r="AP44" s="46"/>
      <c r="AQ44" s="46"/>
      <c r="AR44" s="66"/>
      <c r="AS44" s="20"/>
      <c r="AT44" s="66"/>
      <c r="AU44" s="20"/>
      <c r="AV44" s="66"/>
    </row>
    <row r="45" spans="1:48" s="111" customFormat="1" ht="15" customHeight="1">
      <c r="B45" s="125" t="s">
        <v>652</v>
      </c>
      <c r="C45" s="113"/>
      <c r="D45" s="60">
        <v>0</v>
      </c>
      <c r="E45" s="60">
        <v>0</v>
      </c>
      <c r="F45" s="60">
        <v>0</v>
      </c>
      <c r="G45" s="60">
        <v>0</v>
      </c>
      <c r="H45" s="66">
        <v>0</v>
      </c>
      <c r="I45" s="114"/>
      <c r="J45" s="60">
        <v>0</v>
      </c>
      <c r="K45" s="60">
        <v>0</v>
      </c>
      <c r="L45" s="60">
        <v>0</v>
      </c>
      <c r="M45" s="60">
        <v>0</v>
      </c>
      <c r="N45" s="66">
        <v>0</v>
      </c>
      <c r="O45" s="114"/>
      <c r="P45" s="60">
        <v>0</v>
      </c>
      <c r="Q45" s="60">
        <v>0</v>
      </c>
      <c r="R45" s="60">
        <v>0</v>
      </c>
      <c r="S45" s="60">
        <v>0</v>
      </c>
      <c r="T45" s="66">
        <v>0</v>
      </c>
      <c r="U45" s="114"/>
      <c r="V45" s="60">
        <v>0</v>
      </c>
      <c r="W45" s="60">
        <v>0</v>
      </c>
      <c r="X45" s="60">
        <v>0</v>
      </c>
      <c r="Y45" s="60">
        <v>0</v>
      </c>
      <c r="Z45" s="66">
        <v>0</v>
      </c>
      <c r="AA45" s="114"/>
      <c r="AB45" s="60">
        <v>0</v>
      </c>
      <c r="AC45" s="60">
        <v>0</v>
      </c>
      <c r="AD45" s="60">
        <v>0</v>
      </c>
      <c r="AE45" s="60">
        <v>0</v>
      </c>
      <c r="AF45" s="66">
        <v>0</v>
      </c>
      <c r="AG45" s="151"/>
      <c r="AH45" s="60">
        <v>0</v>
      </c>
      <c r="AI45" s="60">
        <v>0</v>
      </c>
      <c r="AJ45" s="60"/>
      <c r="AK45" s="46"/>
      <c r="AL45" s="66"/>
      <c r="AM45" s="114"/>
      <c r="AN45" s="46"/>
      <c r="AO45" s="46"/>
      <c r="AP45" s="46"/>
      <c r="AQ45" s="46"/>
      <c r="AR45" s="66"/>
      <c r="AS45" s="114"/>
      <c r="AT45" s="66"/>
      <c r="AU45" s="114"/>
      <c r="AV45" s="66"/>
    </row>
    <row r="46" spans="1:48" ht="15" customHeight="1">
      <c r="A46" s="43"/>
      <c r="B46" s="125" t="s">
        <v>653</v>
      </c>
      <c r="D46" s="60">
        <v>-727086</v>
      </c>
      <c r="E46" s="60">
        <v>-782459</v>
      </c>
      <c r="F46" s="60">
        <v>-782554</v>
      </c>
      <c r="G46" s="60">
        <v>-884348</v>
      </c>
      <c r="H46" s="66">
        <v>-884348</v>
      </c>
      <c r="I46" s="20"/>
      <c r="J46" s="60">
        <v>-908974</v>
      </c>
      <c r="K46" s="60">
        <v>-979577</v>
      </c>
      <c r="L46" s="60">
        <v>-1010307</v>
      </c>
      <c r="M46" s="60">
        <v>-1067774</v>
      </c>
      <c r="N46" s="66">
        <v>-1067774</v>
      </c>
      <c r="O46" s="20"/>
      <c r="P46" s="60">
        <v>-1081127</v>
      </c>
      <c r="Q46" s="60">
        <v>-1090680</v>
      </c>
      <c r="R46" s="60">
        <v>-1094554</v>
      </c>
      <c r="S46" s="60">
        <v>-1169849</v>
      </c>
      <c r="T46" s="66">
        <v>-1169849</v>
      </c>
      <c r="U46" s="20"/>
      <c r="V46" s="60">
        <v>-1170939</v>
      </c>
      <c r="W46" s="60">
        <v>-1167804</v>
      </c>
      <c r="X46" s="60">
        <v>-1166618</v>
      </c>
      <c r="Y46" s="60">
        <v>-1246193</v>
      </c>
      <c r="Z46" s="66">
        <v>-1246193</v>
      </c>
      <c r="AA46" s="20"/>
      <c r="AB46" s="60">
        <v>-1389375</v>
      </c>
      <c r="AC46" s="60">
        <v>-1447492</v>
      </c>
      <c r="AD46" s="60">
        <v>-1451399</v>
      </c>
      <c r="AE46" s="60">
        <v>-1526458</v>
      </c>
      <c r="AF46" s="66">
        <v>-1526458</v>
      </c>
      <c r="AG46" s="148"/>
      <c r="AH46" s="60">
        <v>-1570323</v>
      </c>
      <c r="AI46" s="60">
        <v>-1645381</v>
      </c>
      <c r="AJ46" s="60"/>
      <c r="AK46" s="46"/>
      <c r="AL46" s="66"/>
      <c r="AM46" s="20"/>
      <c r="AN46" s="46"/>
      <c r="AO46" s="46"/>
      <c r="AP46" s="46"/>
      <c r="AQ46" s="46"/>
      <c r="AR46" s="66"/>
      <c r="AS46" s="20"/>
      <c r="AT46" s="66"/>
      <c r="AU46" s="20"/>
      <c r="AV46" s="66"/>
    </row>
    <row r="47" spans="1:48" s="111" customFormat="1" ht="15" customHeight="1">
      <c r="B47" s="136" t="s">
        <v>654</v>
      </c>
      <c r="C47" s="113"/>
      <c r="D47" s="60">
        <v>0</v>
      </c>
      <c r="E47" s="60">
        <v>0</v>
      </c>
      <c r="F47" s="60">
        <v>0</v>
      </c>
      <c r="G47" s="60">
        <v>0</v>
      </c>
      <c r="H47" s="66">
        <v>0</v>
      </c>
      <c r="I47" s="114"/>
      <c r="J47" s="60">
        <v>0</v>
      </c>
      <c r="K47" s="60">
        <v>0</v>
      </c>
      <c r="L47" s="60">
        <v>0</v>
      </c>
      <c r="M47" s="60">
        <v>0</v>
      </c>
      <c r="N47" s="66">
        <v>0</v>
      </c>
      <c r="O47" s="114"/>
      <c r="P47" s="60">
        <v>0</v>
      </c>
      <c r="Q47" s="60">
        <v>0</v>
      </c>
      <c r="R47" s="60">
        <v>0</v>
      </c>
      <c r="S47" s="60">
        <v>0</v>
      </c>
      <c r="T47" s="66">
        <v>0</v>
      </c>
      <c r="U47" s="114"/>
      <c r="V47" s="60">
        <v>0</v>
      </c>
      <c r="W47" s="60">
        <v>0</v>
      </c>
      <c r="X47" s="60">
        <v>0</v>
      </c>
      <c r="Y47" s="60">
        <v>0</v>
      </c>
      <c r="Z47" s="66">
        <v>0</v>
      </c>
      <c r="AA47" s="114"/>
      <c r="AB47" s="60">
        <v>0</v>
      </c>
      <c r="AC47" s="60">
        <v>0</v>
      </c>
      <c r="AD47" s="60">
        <v>0</v>
      </c>
      <c r="AE47" s="60">
        <v>0</v>
      </c>
      <c r="AF47" s="66">
        <v>0</v>
      </c>
      <c r="AG47" s="151"/>
      <c r="AH47" s="60">
        <v>0</v>
      </c>
      <c r="AI47" s="60">
        <v>0</v>
      </c>
      <c r="AJ47" s="60"/>
      <c r="AK47" s="46"/>
      <c r="AL47" s="66"/>
      <c r="AM47" s="114"/>
      <c r="AN47" s="46"/>
      <c r="AO47" s="46"/>
      <c r="AP47" s="46"/>
      <c r="AQ47" s="46"/>
      <c r="AR47" s="66"/>
      <c r="AS47" s="114"/>
      <c r="AT47" s="66"/>
      <c r="AU47" s="114"/>
      <c r="AV47" s="66"/>
    </row>
    <row r="48" spans="1:48" ht="15" customHeight="1">
      <c r="A48" s="43"/>
      <c r="B48" s="138" t="s">
        <v>655</v>
      </c>
      <c r="D48" s="60">
        <v>968317</v>
      </c>
      <c r="E48" s="60">
        <v>1025299</v>
      </c>
      <c r="F48" s="60">
        <v>995044</v>
      </c>
      <c r="G48" s="60">
        <v>1250134</v>
      </c>
      <c r="H48" s="77">
        <v>1250134</v>
      </c>
      <c r="I48" s="20"/>
      <c r="J48" s="60">
        <v>1311087</v>
      </c>
      <c r="K48" s="60">
        <v>1332640</v>
      </c>
      <c r="L48" s="60">
        <v>1362372</v>
      </c>
      <c r="M48" s="60">
        <v>1416865</v>
      </c>
      <c r="N48" s="77">
        <v>1416865</v>
      </c>
      <c r="O48" s="20"/>
      <c r="P48" s="60">
        <v>1430237</v>
      </c>
      <c r="Q48" s="60">
        <v>1434270</v>
      </c>
      <c r="R48" s="60">
        <v>1640707</v>
      </c>
      <c r="S48" s="60">
        <v>1808505</v>
      </c>
      <c r="T48" s="77">
        <v>1808505</v>
      </c>
      <c r="U48" s="20"/>
      <c r="V48" s="60">
        <v>1819303</v>
      </c>
      <c r="W48" s="60">
        <v>1816862</v>
      </c>
      <c r="X48" s="60">
        <v>1802605</v>
      </c>
      <c r="Y48" s="60">
        <v>1957532</v>
      </c>
      <c r="Z48" s="77">
        <v>1957532</v>
      </c>
      <c r="AA48" s="20"/>
      <c r="AB48" s="60">
        <v>2068157</v>
      </c>
      <c r="AC48" s="60">
        <v>2088557</v>
      </c>
      <c r="AD48" s="60">
        <v>2093960</v>
      </c>
      <c r="AE48" s="60">
        <v>2141191</v>
      </c>
      <c r="AF48" s="77">
        <v>2141191</v>
      </c>
      <c r="AG48" s="148"/>
      <c r="AH48" s="60">
        <v>2195108</v>
      </c>
      <c r="AI48" s="60">
        <v>2285757</v>
      </c>
      <c r="AJ48" s="60"/>
      <c r="AK48" s="46"/>
      <c r="AL48" s="77"/>
      <c r="AM48" s="20"/>
      <c r="AN48" s="46"/>
      <c r="AO48" s="46"/>
      <c r="AP48" s="46"/>
      <c r="AQ48" s="46"/>
      <c r="AR48" s="77"/>
      <c r="AS48" s="20"/>
      <c r="AT48" s="77"/>
      <c r="AU48" s="20"/>
      <c r="AV48" s="77"/>
    </row>
    <row r="50" spans="1:48" ht="15" customHeight="1">
      <c r="A50" s="44" t="s">
        <v>39</v>
      </c>
      <c r="B50" s="112" t="s">
        <v>656</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48"/>
      <c r="AH50" s="46"/>
      <c r="AI50" s="46"/>
      <c r="AJ50" s="46"/>
      <c r="AK50" s="46"/>
      <c r="AL50" s="66"/>
      <c r="AM50" s="20"/>
      <c r="AN50" s="46"/>
      <c r="AO50" s="46"/>
      <c r="AP50" s="46"/>
      <c r="AQ50" s="46"/>
      <c r="AR50" s="66"/>
      <c r="AT50" s="66"/>
      <c r="AV50" s="66"/>
    </row>
    <row r="51" spans="1:48" ht="15" customHeight="1">
      <c r="A51" s="43"/>
      <c r="B51" s="125" t="s">
        <v>657</v>
      </c>
      <c r="D51" s="60">
        <v>1130021</v>
      </c>
      <c r="E51" s="60">
        <v>1109226</v>
      </c>
      <c r="F51" s="60">
        <v>1114226</v>
      </c>
      <c r="G51" s="60">
        <v>1101941</v>
      </c>
      <c r="H51" s="66">
        <v>1101941</v>
      </c>
      <c r="I51" s="20"/>
      <c r="J51" s="60">
        <v>1775527</v>
      </c>
      <c r="K51" s="60">
        <v>1772948</v>
      </c>
      <c r="L51" s="60">
        <v>1767559</v>
      </c>
      <c r="M51" s="60">
        <v>1893431</v>
      </c>
      <c r="N51" s="66">
        <v>1893431</v>
      </c>
      <c r="O51" s="20"/>
      <c r="P51" s="60">
        <v>1888279</v>
      </c>
      <c r="Q51" s="60">
        <v>1881228</v>
      </c>
      <c r="R51" s="60">
        <v>1885333</v>
      </c>
      <c r="S51" s="60">
        <v>1928590</v>
      </c>
      <c r="T51" s="66">
        <v>1928590</v>
      </c>
      <c r="U51" s="20"/>
      <c r="V51" s="60">
        <v>1917881</v>
      </c>
      <c r="W51" s="60">
        <v>1906872</v>
      </c>
      <c r="X51" s="60">
        <v>1908598</v>
      </c>
      <c r="Y51" s="60">
        <v>2024551</v>
      </c>
      <c r="Z51" s="66">
        <v>2024551</v>
      </c>
      <c r="AA51" s="20"/>
      <c r="AB51" s="60">
        <v>2030123</v>
      </c>
      <c r="AC51" s="60">
        <v>2010964</v>
      </c>
      <c r="AD51" s="60">
        <v>1993009</v>
      </c>
      <c r="AE51" s="60">
        <v>2068676</v>
      </c>
      <c r="AF51" s="66">
        <v>2068676</v>
      </c>
      <c r="AG51" s="148"/>
      <c r="AH51" s="60">
        <v>2040586</v>
      </c>
      <c r="AI51" s="60">
        <v>2006511</v>
      </c>
      <c r="AJ51" s="60"/>
      <c r="AK51" s="60"/>
      <c r="AL51" s="66"/>
      <c r="AM51" s="20"/>
      <c r="AN51" s="60"/>
      <c r="AO51" s="60"/>
      <c r="AP51" s="60"/>
      <c r="AQ51" s="60"/>
      <c r="AR51" s="66"/>
      <c r="AT51" s="66"/>
      <c r="AV51" s="66"/>
    </row>
    <row r="52" spans="1:48" s="111" customFormat="1" ht="15" customHeight="1">
      <c r="B52" s="125" t="s">
        <v>658</v>
      </c>
      <c r="C52" s="113"/>
      <c r="D52" s="60">
        <v>0</v>
      </c>
      <c r="E52" s="60">
        <v>0</v>
      </c>
      <c r="F52" s="60">
        <v>0</v>
      </c>
      <c r="G52" s="60">
        <v>0</v>
      </c>
      <c r="H52" s="66">
        <v>0</v>
      </c>
      <c r="I52" s="114"/>
      <c r="J52" s="60">
        <v>0</v>
      </c>
      <c r="K52" s="60">
        <v>0</v>
      </c>
      <c r="L52" s="60">
        <v>0</v>
      </c>
      <c r="M52" s="60">
        <v>0</v>
      </c>
      <c r="N52" s="66">
        <v>0</v>
      </c>
      <c r="O52" s="114"/>
      <c r="P52" s="60">
        <v>0</v>
      </c>
      <c r="Q52" s="60">
        <v>0</v>
      </c>
      <c r="R52" s="60">
        <v>0</v>
      </c>
      <c r="S52" s="60">
        <v>0</v>
      </c>
      <c r="T52" s="66">
        <v>0</v>
      </c>
      <c r="U52" s="114"/>
      <c r="V52" s="60">
        <v>0</v>
      </c>
      <c r="W52" s="60">
        <v>0</v>
      </c>
      <c r="X52" s="60">
        <v>0</v>
      </c>
      <c r="Y52" s="60">
        <v>0</v>
      </c>
      <c r="Z52" s="66">
        <v>0</v>
      </c>
      <c r="AA52" s="114"/>
      <c r="AB52" s="60">
        <v>0</v>
      </c>
      <c r="AC52" s="60">
        <v>0</v>
      </c>
      <c r="AD52" s="60">
        <v>0</v>
      </c>
      <c r="AE52" s="60">
        <v>0</v>
      </c>
      <c r="AF52" s="66">
        <v>0</v>
      </c>
      <c r="AG52" s="151"/>
      <c r="AH52" s="60">
        <v>0</v>
      </c>
      <c r="AI52" s="60">
        <v>0</v>
      </c>
      <c r="AJ52" s="60"/>
      <c r="AK52" s="60"/>
      <c r="AL52" s="66"/>
      <c r="AM52" s="114"/>
      <c r="AN52" s="60"/>
      <c r="AO52" s="60"/>
      <c r="AP52" s="60"/>
      <c r="AQ52" s="60"/>
      <c r="AR52" s="66"/>
      <c r="AT52" s="66"/>
      <c r="AV52" s="66"/>
    </row>
    <row r="53" spans="1:48" ht="15" customHeight="1">
      <c r="A53" s="43"/>
      <c r="B53" s="125" t="s">
        <v>659</v>
      </c>
      <c r="D53" s="60">
        <v>291535</v>
      </c>
      <c r="E53" s="60">
        <v>298286</v>
      </c>
      <c r="F53" s="60">
        <v>287781</v>
      </c>
      <c r="G53" s="60">
        <v>261614</v>
      </c>
      <c r="H53" s="66">
        <v>261614</v>
      </c>
      <c r="I53" s="20"/>
      <c r="J53" s="60">
        <v>263488</v>
      </c>
      <c r="K53" s="60">
        <v>274080</v>
      </c>
      <c r="L53" s="60">
        <v>290961</v>
      </c>
      <c r="M53" s="60">
        <v>458066</v>
      </c>
      <c r="N53" s="66">
        <v>458066</v>
      </c>
      <c r="O53" s="20"/>
      <c r="P53" s="60">
        <v>467179</v>
      </c>
      <c r="Q53" s="60">
        <v>488415</v>
      </c>
      <c r="R53" s="60">
        <v>501937</v>
      </c>
      <c r="S53" s="60">
        <v>544874</v>
      </c>
      <c r="T53" s="66">
        <v>544874</v>
      </c>
      <c r="U53" s="20"/>
      <c r="V53" s="60">
        <v>573248</v>
      </c>
      <c r="W53" s="60">
        <v>582987</v>
      </c>
      <c r="X53" s="60">
        <v>597538</v>
      </c>
      <c r="Y53" s="60">
        <v>706947</v>
      </c>
      <c r="Z53" s="66">
        <v>706947</v>
      </c>
      <c r="AA53" s="20"/>
      <c r="AB53" s="60">
        <v>717860</v>
      </c>
      <c r="AC53" s="60">
        <v>725971</v>
      </c>
      <c r="AD53" s="60">
        <v>745524</v>
      </c>
      <c r="AE53" s="60">
        <v>880907</v>
      </c>
      <c r="AF53" s="66">
        <v>880907</v>
      </c>
      <c r="AG53" s="148"/>
      <c r="AH53" s="60">
        <v>891753</v>
      </c>
      <c r="AI53" s="60">
        <v>912459</v>
      </c>
      <c r="AJ53" s="60"/>
      <c r="AK53" s="60"/>
      <c r="AL53" s="66"/>
      <c r="AM53" s="20"/>
      <c r="AN53" s="60"/>
      <c r="AO53" s="60"/>
      <c r="AP53" s="60"/>
      <c r="AQ53" s="60"/>
      <c r="AR53" s="66"/>
      <c r="AT53" s="66"/>
      <c r="AV53" s="66"/>
    </row>
    <row r="54" spans="1:48" s="111" customFormat="1" ht="15" customHeight="1">
      <c r="B54" s="136" t="s">
        <v>660</v>
      </c>
      <c r="C54" s="113"/>
      <c r="D54" s="60">
        <v>1421556</v>
      </c>
      <c r="E54" s="60">
        <v>1407512</v>
      </c>
      <c r="F54" s="60">
        <v>1402007</v>
      </c>
      <c r="G54" s="60">
        <v>1363555</v>
      </c>
      <c r="H54" s="77">
        <v>1363555</v>
      </c>
      <c r="I54" s="114"/>
      <c r="J54" s="60">
        <v>2039015</v>
      </c>
      <c r="K54" s="60">
        <v>2047028</v>
      </c>
      <c r="L54" s="60">
        <v>2058520</v>
      </c>
      <c r="M54" s="60">
        <v>2351497</v>
      </c>
      <c r="N54" s="77">
        <v>2351497</v>
      </c>
      <c r="O54" s="114"/>
      <c r="P54" s="60">
        <v>2355458</v>
      </c>
      <c r="Q54" s="60">
        <v>2369643</v>
      </c>
      <c r="R54" s="60">
        <v>2387270</v>
      </c>
      <c r="S54" s="60">
        <v>2473464</v>
      </c>
      <c r="T54" s="77">
        <v>2473464</v>
      </c>
      <c r="U54" s="114"/>
      <c r="V54" s="60">
        <v>2491129</v>
      </c>
      <c r="W54" s="60">
        <v>2489859</v>
      </c>
      <c r="X54" s="60">
        <v>2506136</v>
      </c>
      <c r="Y54" s="60">
        <v>2731498</v>
      </c>
      <c r="Z54" s="77">
        <v>2731498</v>
      </c>
      <c r="AA54" s="114"/>
      <c r="AB54" s="60">
        <v>2747983</v>
      </c>
      <c r="AC54" s="60">
        <v>2736935</v>
      </c>
      <c r="AD54" s="60">
        <v>2738533</v>
      </c>
      <c r="AE54" s="60">
        <v>2949583</v>
      </c>
      <c r="AF54" s="77">
        <v>2949583</v>
      </c>
      <c r="AG54" s="151"/>
      <c r="AH54" s="60">
        <v>2932339</v>
      </c>
      <c r="AI54" s="60">
        <v>2918970</v>
      </c>
      <c r="AJ54" s="60"/>
      <c r="AK54" s="60"/>
      <c r="AL54" s="77"/>
      <c r="AM54" s="114"/>
      <c r="AN54" s="60"/>
      <c r="AO54" s="60"/>
      <c r="AP54" s="60"/>
      <c r="AQ54" s="60"/>
      <c r="AR54" s="77"/>
      <c r="AT54" s="77"/>
      <c r="AV54" s="77"/>
    </row>
    <row r="55" spans="1:48" ht="15" customHeight="1" thickBot="1">
      <c r="A55" s="43"/>
      <c r="B55" s="138" t="s">
        <v>661</v>
      </c>
      <c r="D55" s="60">
        <v>2389873</v>
      </c>
      <c r="E55" s="60">
        <v>2432811</v>
      </c>
      <c r="F55" s="60">
        <v>2397051</v>
      </c>
      <c r="G55" s="60">
        <v>2613689</v>
      </c>
      <c r="H55" s="92">
        <v>2613689</v>
      </c>
      <c r="I55" s="20"/>
      <c r="J55" s="60">
        <v>3350102</v>
      </c>
      <c r="K55" s="60">
        <v>3379668</v>
      </c>
      <c r="L55" s="60">
        <v>3420892</v>
      </c>
      <c r="M55" s="60">
        <v>3768362</v>
      </c>
      <c r="N55" s="92">
        <v>3768362</v>
      </c>
      <c r="O55" s="20"/>
      <c r="P55" s="60">
        <v>3785695</v>
      </c>
      <c r="Q55" s="60">
        <v>3803913</v>
      </c>
      <c r="R55" s="60">
        <v>4027977</v>
      </c>
      <c r="S55" s="60">
        <v>4281969</v>
      </c>
      <c r="T55" s="92">
        <v>4281969</v>
      </c>
      <c r="U55" s="20"/>
      <c r="V55" s="60">
        <v>4310432</v>
      </c>
      <c r="W55" s="60">
        <v>4306721</v>
      </c>
      <c r="X55" s="60">
        <v>4308741</v>
      </c>
      <c r="Y55" s="60">
        <v>4689030</v>
      </c>
      <c r="Z55" s="92">
        <v>4689030</v>
      </c>
      <c r="AA55" s="20"/>
      <c r="AB55" s="60">
        <v>4816140</v>
      </c>
      <c r="AC55" s="60">
        <v>4825492</v>
      </c>
      <c r="AD55" s="60">
        <v>4832493</v>
      </c>
      <c r="AE55" s="60">
        <v>5090774</v>
      </c>
      <c r="AF55" s="92">
        <v>5090774</v>
      </c>
      <c r="AG55" s="148"/>
      <c r="AH55" s="60">
        <v>5127447</v>
      </c>
      <c r="AI55" s="60">
        <v>5204727</v>
      </c>
      <c r="AJ55" s="60"/>
      <c r="AK55" s="60"/>
      <c r="AL55" s="92"/>
      <c r="AM55" s="20"/>
      <c r="AN55" s="60"/>
      <c r="AO55" s="60"/>
      <c r="AP55" s="60"/>
      <c r="AQ55" s="60"/>
      <c r="AR55" s="92"/>
      <c r="AT55" s="92"/>
      <c r="AV55" s="92"/>
    </row>
    <row r="56" spans="1:48" ht="15" customHeight="1" thickTop="1">
      <c r="AV56" s="41"/>
    </row>
    <row r="57" spans="1:48" ht="15" customHeight="1" thickBot="1">
      <c r="B57" s="112" t="s">
        <v>662</v>
      </c>
      <c r="D57" s="60">
        <v>0</v>
      </c>
      <c r="E57" s="60">
        <v>0</v>
      </c>
      <c r="F57" s="60">
        <v>0</v>
      </c>
      <c r="G57" s="60">
        <v>0</v>
      </c>
      <c r="H57" s="92">
        <v>0</v>
      </c>
      <c r="I57" s="20"/>
      <c r="J57" s="60">
        <v>0</v>
      </c>
      <c r="K57" s="60">
        <v>0</v>
      </c>
      <c r="L57" s="60">
        <v>0</v>
      </c>
      <c r="M57" s="60">
        <v>0</v>
      </c>
      <c r="N57" s="92">
        <v>0</v>
      </c>
      <c r="O57" s="20"/>
      <c r="P57" s="60">
        <v>0</v>
      </c>
      <c r="Q57" s="60">
        <v>0</v>
      </c>
      <c r="R57" s="60">
        <v>0</v>
      </c>
      <c r="S57" s="60">
        <v>0</v>
      </c>
      <c r="T57" s="92">
        <v>0</v>
      </c>
      <c r="U57" s="20"/>
      <c r="V57" s="60">
        <v>0</v>
      </c>
      <c r="W57" s="60">
        <v>0</v>
      </c>
      <c r="X57" s="60">
        <v>0</v>
      </c>
      <c r="Y57" s="60">
        <v>0</v>
      </c>
      <c r="Z57" s="92">
        <v>0</v>
      </c>
      <c r="AA57" s="20"/>
      <c r="AB57" s="60">
        <v>0</v>
      </c>
      <c r="AC57" s="60">
        <v>0</v>
      </c>
      <c r="AD57" s="60">
        <v>0</v>
      </c>
      <c r="AE57" s="60">
        <v>0</v>
      </c>
      <c r="AF57" s="92">
        <v>0</v>
      </c>
      <c r="AG57" s="148"/>
      <c r="AH57" s="60">
        <v>0</v>
      </c>
      <c r="AI57" s="60">
        <v>0</v>
      </c>
      <c r="AJ57" s="60"/>
      <c r="AK57" s="60"/>
      <c r="AL57" s="92"/>
      <c r="AM57" s="20"/>
      <c r="AN57" s="60"/>
      <c r="AO57" s="60"/>
      <c r="AP57" s="60"/>
      <c r="AQ57" s="60"/>
      <c r="AR57" s="92"/>
      <c r="AT57" s="92"/>
      <c r="AV57" s="92"/>
    </row>
    <row r="58" spans="1:48"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61"/>
  <sheetViews>
    <sheetView showGridLines="0" topLeftCell="A6" zoomScaleNormal="100" workbookViewId="0">
      <selection activeCell="O44" sqref="O44"/>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6" width="8.375" style="41" customWidth="1" outlineLevel="1"/>
    <col min="17" max="17" width="8.625" style="41" customWidth="1" outlineLevel="1"/>
    <col min="18" max="18" width="8.875" style="41" customWidth="1" outlineLevel="1"/>
    <col min="19" max="19" width="10" style="41" customWidth="1" outlineLevel="1"/>
    <col min="20" max="20" width="10.625" style="41" bestFit="1" customWidth="1"/>
    <col min="21" max="21" width="3.875" style="17" bestFit="1" customWidth="1"/>
    <col min="22" max="24" width="9.5" style="41" customWidth="1" outlineLevel="1"/>
    <col min="25" max="25" width="10.625" style="41" customWidth="1" outlineLevel="1"/>
    <col min="26" max="26" width="10.625" style="41" bestFit="1" customWidth="1"/>
    <col min="27" max="27" width="3.875" style="17" bestFit="1" customWidth="1"/>
    <col min="28" max="30" width="9.5" style="41" bestFit="1" customWidth="1" outlineLevel="1"/>
    <col min="31" max="31" width="10.625" style="41" bestFit="1" customWidth="1" outlineLevel="1"/>
    <col min="32" max="32" width="10.625" style="41" bestFit="1" customWidth="1"/>
    <col min="33" max="33" width="3.875" style="17" bestFit="1" customWidth="1"/>
    <col min="34" max="35" width="9.5" style="41" bestFit="1" customWidth="1" outlineLevel="1"/>
    <col min="36"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51" width="1.625" style="41" customWidth="1"/>
    <col min="52" max="16384" width="9" style="41"/>
  </cols>
  <sheetData>
    <row r="1" spans="1:50" s="574" customFormat="1" ht="15" customHeight="1"/>
    <row r="2" spans="1:50" s="574" customFormat="1" ht="15" customHeight="1"/>
    <row r="3" spans="1:50" s="574" customFormat="1" ht="15" customHeight="1"/>
    <row r="4" spans="1:50" s="574" customFormat="1" ht="15" customHeight="1"/>
    <row r="5" spans="1:50" s="570" customFormat="1" ht="3.95" customHeight="1">
      <c r="C5" s="571"/>
      <c r="I5" s="571"/>
      <c r="O5" s="571"/>
      <c r="U5" s="571"/>
      <c r="AA5" s="571"/>
      <c r="AG5" s="571"/>
      <c r="AM5" s="571"/>
      <c r="AS5" s="571"/>
      <c r="AU5" s="571"/>
      <c r="AV5" s="572"/>
    </row>
    <row r="7" spans="1:50" ht="15" customHeight="1">
      <c r="A7" s="44" t="s">
        <v>39</v>
      </c>
      <c r="B7" s="159" t="s">
        <v>509</v>
      </c>
      <c r="C7" s="18"/>
      <c r="D7" s="200">
        <v>2020</v>
      </c>
      <c r="E7" s="200">
        <v>2020</v>
      </c>
      <c r="F7" s="200">
        <v>2020</v>
      </c>
      <c r="G7" s="200">
        <v>2020</v>
      </c>
      <c r="H7" s="200">
        <v>2020</v>
      </c>
      <c r="I7" s="18"/>
      <c r="J7" s="200">
        <v>2021</v>
      </c>
      <c r="K7" s="200">
        <v>2021</v>
      </c>
      <c r="L7" s="200">
        <v>2021</v>
      </c>
      <c r="M7" s="200">
        <v>2021</v>
      </c>
      <c r="N7" s="200">
        <v>2021</v>
      </c>
      <c r="O7" s="167"/>
      <c r="P7" s="200">
        <v>2022</v>
      </c>
      <c r="Q7" s="200">
        <v>2022</v>
      </c>
      <c r="R7" s="200">
        <v>2022</v>
      </c>
      <c r="S7" s="200">
        <v>2022</v>
      </c>
      <c r="T7" s="200">
        <v>2022</v>
      </c>
      <c r="U7" s="167"/>
      <c r="V7" s="200">
        <v>2023</v>
      </c>
      <c r="W7" s="200">
        <v>2023</v>
      </c>
      <c r="X7" s="200">
        <v>2023</v>
      </c>
      <c r="Y7" s="200">
        <v>2023</v>
      </c>
      <c r="Z7" s="200">
        <v>2023</v>
      </c>
      <c r="AA7" s="168"/>
      <c r="AB7" s="200">
        <v>2024</v>
      </c>
      <c r="AC7" s="200">
        <v>2024</v>
      </c>
      <c r="AD7" s="200">
        <v>2024</v>
      </c>
      <c r="AE7" s="200">
        <v>2024</v>
      </c>
      <c r="AF7" s="200">
        <v>2024</v>
      </c>
      <c r="AG7" s="168"/>
      <c r="AH7" s="200">
        <v>2025</v>
      </c>
      <c r="AI7" s="200">
        <v>2025</v>
      </c>
      <c r="AJ7" s="201">
        <v>2025</v>
      </c>
      <c r="AK7" s="200">
        <v>2025</v>
      </c>
      <c r="AL7" s="200">
        <v>2025</v>
      </c>
      <c r="AM7" s="169"/>
      <c r="AN7" s="200">
        <v>2025</v>
      </c>
      <c r="AO7" s="200">
        <v>2025</v>
      </c>
      <c r="AP7" s="201">
        <v>2025</v>
      </c>
      <c r="AQ7" s="200">
        <v>2025</v>
      </c>
      <c r="AR7" s="200">
        <v>2025</v>
      </c>
      <c r="AS7" s="18"/>
      <c r="AT7" s="160"/>
      <c r="AU7" s="18"/>
      <c r="AV7" s="161"/>
      <c r="AW7" s="18"/>
      <c r="AX7" s="161"/>
    </row>
    <row r="8" spans="1:50" ht="15" customHeight="1">
      <c r="B8" s="162"/>
      <c r="C8" s="18"/>
      <c r="D8" s="950">
        <v>2020</v>
      </c>
      <c r="E8" s="950"/>
      <c r="F8" s="950"/>
      <c r="G8" s="950"/>
      <c r="H8" s="950"/>
      <c r="I8" s="167"/>
      <c r="J8" s="950">
        <v>2021</v>
      </c>
      <c r="K8" s="950"/>
      <c r="L8" s="950"/>
      <c r="M8" s="950"/>
      <c r="N8" s="950"/>
      <c r="O8" s="167"/>
      <c r="P8" s="950">
        <v>2022</v>
      </c>
      <c r="Q8" s="950"/>
      <c r="R8" s="950"/>
      <c r="S8" s="950"/>
      <c r="T8" s="950"/>
      <c r="U8" s="167"/>
      <c r="V8" s="950">
        <v>2023</v>
      </c>
      <c r="W8" s="950"/>
      <c r="X8" s="950"/>
      <c r="Y8" s="950"/>
      <c r="Z8" s="950"/>
      <c r="AA8" s="167"/>
      <c r="AB8" s="950">
        <v>2024</v>
      </c>
      <c r="AC8" s="950"/>
      <c r="AD8" s="950"/>
      <c r="AE8" s="950"/>
      <c r="AF8" s="950"/>
      <c r="AG8" s="167"/>
      <c r="AH8" s="949">
        <v>2025</v>
      </c>
      <c r="AI8" s="949"/>
      <c r="AJ8" s="949"/>
      <c r="AK8" s="949"/>
      <c r="AL8" s="949"/>
      <c r="AM8" s="167"/>
      <c r="AN8" s="949">
        <v>2026</v>
      </c>
      <c r="AO8" s="949"/>
      <c r="AP8" s="949"/>
      <c r="AQ8" s="949"/>
      <c r="AR8" s="949"/>
      <c r="AS8" s="169"/>
      <c r="AT8" s="164">
        <v>2027</v>
      </c>
      <c r="AU8" s="165"/>
      <c r="AV8" s="164">
        <v>2028</v>
      </c>
      <c r="AW8" s="165"/>
      <c r="AX8" s="164">
        <v>2029</v>
      </c>
    </row>
    <row r="9" spans="1:50" ht="15" customHeight="1">
      <c r="B9" s="162"/>
      <c r="C9" s="18"/>
      <c r="D9" s="166" t="s">
        <v>197</v>
      </c>
      <c r="E9" s="166" t="s">
        <v>198</v>
      </c>
      <c r="F9" s="166" t="s">
        <v>199</v>
      </c>
      <c r="G9" s="166" t="s">
        <v>200</v>
      </c>
      <c r="H9" s="166" t="s">
        <v>201</v>
      </c>
      <c r="I9" s="18"/>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197</v>
      </c>
      <c r="AI9" s="166" t="s">
        <v>198</v>
      </c>
      <c r="AJ9" s="166" t="s">
        <v>199</v>
      </c>
      <c r="AK9" s="166" t="s">
        <v>200</v>
      </c>
      <c r="AL9" s="166" t="s">
        <v>201</v>
      </c>
      <c r="AM9" s="163"/>
      <c r="AN9" s="166" t="s">
        <v>197</v>
      </c>
      <c r="AO9" s="166" t="s">
        <v>198</v>
      </c>
      <c r="AP9" s="166" t="s">
        <v>199</v>
      </c>
      <c r="AQ9" s="166" t="s">
        <v>200</v>
      </c>
      <c r="AR9" s="166" t="s">
        <v>201</v>
      </c>
      <c r="AS9" s="163"/>
      <c r="AT9" s="166" t="s">
        <v>201</v>
      </c>
      <c r="AU9" s="163"/>
      <c r="AV9" s="166" t="s">
        <v>201</v>
      </c>
      <c r="AW9" s="163"/>
      <c r="AX9" s="166" t="s">
        <v>201</v>
      </c>
    </row>
    <row r="10" spans="1:50" ht="3.95" customHeight="1">
      <c r="A10" s="43"/>
      <c r="B10" s="174"/>
      <c r="C10" s="35"/>
      <c r="D10" s="175"/>
      <c r="E10" s="175"/>
      <c r="F10" s="175"/>
      <c r="G10" s="175"/>
      <c r="H10" s="175"/>
      <c r="I10" s="35"/>
      <c r="J10" s="175"/>
      <c r="K10" s="175"/>
      <c r="L10" s="175"/>
      <c r="M10" s="175"/>
      <c r="N10" s="175"/>
      <c r="O10" s="176"/>
      <c r="P10" s="175"/>
      <c r="Q10" s="175"/>
      <c r="R10" s="175"/>
      <c r="S10" s="175"/>
      <c r="T10" s="175"/>
      <c r="U10" s="176"/>
      <c r="V10" s="175"/>
      <c r="W10" s="175"/>
      <c r="X10" s="175"/>
      <c r="Y10" s="175"/>
      <c r="Z10" s="175"/>
      <c r="AA10" s="176"/>
      <c r="AB10" s="175"/>
      <c r="AC10" s="175"/>
      <c r="AD10" s="175"/>
      <c r="AE10" s="175"/>
      <c r="AF10" s="175"/>
      <c r="AG10" s="176"/>
      <c r="AH10" s="175"/>
      <c r="AI10" s="175"/>
      <c r="AJ10" s="175"/>
      <c r="AK10" s="175"/>
      <c r="AL10" s="177"/>
      <c r="AM10" s="178"/>
      <c r="AN10" s="177"/>
      <c r="AO10" s="177"/>
      <c r="AP10" s="177"/>
      <c r="AQ10" s="177"/>
      <c r="AR10" s="177"/>
      <c r="AS10" s="178"/>
      <c r="AT10" s="177"/>
      <c r="AU10" s="178"/>
      <c r="AV10" s="177"/>
      <c r="AW10" s="178"/>
      <c r="AX10" s="177"/>
    </row>
    <row r="11" spans="1:50" ht="3.95" customHeight="1">
      <c r="A11" s="43"/>
      <c r="B11" s="170"/>
      <c r="C11" s="19"/>
      <c r="D11" s="171"/>
      <c r="E11" s="171"/>
      <c r="F11" s="171"/>
      <c r="G11" s="171"/>
      <c r="H11" s="171"/>
      <c r="I11" s="19"/>
      <c r="J11" s="171"/>
      <c r="K11" s="171"/>
      <c r="L11" s="171"/>
      <c r="M11" s="171"/>
      <c r="N11" s="171"/>
      <c r="O11" s="172"/>
      <c r="P11" s="171"/>
      <c r="Q11" s="171"/>
      <c r="R11" s="171"/>
      <c r="S11" s="171"/>
      <c r="T11" s="171"/>
      <c r="U11" s="172"/>
      <c r="V11" s="171"/>
      <c r="W11" s="171"/>
      <c r="X11" s="171"/>
      <c r="Y11" s="171"/>
      <c r="Z11" s="171"/>
      <c r="AA11" s="172"/>
      <c r="AB11" s="171"/>
      <c r="AC11" s="171"/>
      <c r="AD11" s="171"/>
      <c r="AE11" s="171"/>
      <c r="AF11" s="171"/>
      <c r="AG11" s="202"/>
      <c r="AH11" s="171"/>
      <c r="AI11" s="171"/>
      <c r="AJ11" s="171"/>
      <c r="AK11" s="171"/>
      <c r="AL11" s="173"/>
      <c r="AM11" s="34"/>
      <c r="AN11" s="173"/>
      <c r="AO11" s="173"/>
      <c r="AP11" s="173"/>
      <c r="AQ11" s="173"/>
      <c r="AR11" s="173"/>
      <c r="AS11" s="34"/>
      <c r="AT11" s="173"/>
      <c r="AU11" s="34"/>
      <c r="AV11" s="173"/>
      <c r="AW11" s="34"/>
      <c r="AX11" s="173"/>
    </row>
    <row r="12" spans="1:50" s="54" customFormat="1" ht="15" customHeight="1">
      <c r="B12" s="152" t="s">
        <v>663</v>
      </c>
      <c r="C12" s="17"/>
      <c r="D12" s="60">
        <v>0</v>
      </c>
      <c r="E12" s="46">
        <v>41671</v>
      </c>
      <c r="F12" s="46">
        <v>70713</v>
      </c>
      <c r="G12" s="46">
        <v>31172</v>
      </c>
      <c r="H12" s="57">
        <v>99051</v>
      </c>
      <c r="I12" s="48"/>
      <c r="J12" s="46">
        <v>99051</v>
      </c>
      <c r="K12" s="46">
        <v>38707</v>
      </c>
      <c r="L12" s="46">
        <v>26006</v>
      </c>
      <c r="M12" s="46">
        <v>38223</v>
      </c>
      <c r="N12" s="57">
        <v>50645</v>
      </c>
      <c r="O12" s="47"/>
      <c r="P12" s="46">
        <v>50645</v>
      </c>
      <c r="Q12" s="46">
        <v>43854</v>
      </c>
      <c r="R12" s="46">
        <v>46264</v>
      </c>
      <c r="S12" s="46">
        <v>40483</v>
      </c>
      <c r="T12" s="57">
        <v>43307</v>
      </c>
      <c r="U12" s="47"/>
      <c r="V12" s="46">
        <v>43307</v>
      </c>
      <c r="W12" s="46">
        <v>42873</v>
      </c>
      <c r="X12" s="46">
        <v>46430</v>
      </c>
      <c r="Y12" s="46">
        <v>43264</v>
      </c>
      <c r="Z12" s="57">
        <v>20876</v>
      </c>
      <c r="AA12" s="47"/>
      <c r="AB12" s="46">
        <v>20876</v>
      </c>
      <c r="AC12" s="46">
        <v>25651</v>
      </c>
      <c r="AD12" s="46">
        <v>22969</v>
      </c>
      <c r="AE12" s="46">
        <v>24232</v>
      </c>
      <c r="AF12" s="57">
        <v>27239</v>
      </c>
      <c r="AG12" s="49"/>
      <c r="AH12" s="46">
        <v>27239</v>
      </c>
      <c r="AI12" s="46">
        <v>13518</v>
      </c>
      <c r="AJ12" s="46"/>
      <c r="AK12" s="46"/>
      <c r="AL12" s="58"/>
      <c r="AM12" s="53"/>
      <c r="AN12" s="50"/>
      <c r="AO12" s="50"/>
      <c r="AP12" s="50"/>
      <c r="AQ12" s="50"/>
      <c r="AR12" s="58"/>
      <c r="AS12" s="53"/>
      <c r="AT12" s="58"/>
      <c r="AU12" s="53"/>
      <c r="AV12" s="58"/>
      <c r="AX12" s="58"/>
    </row>
    <row r="13" spans="1:50" s="54" customFormat="1" ht="15" customHeight="1">
      <c r="A13" s="43"/>
      <c r="B13" s="152"/>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39</v>
      </c>
      <c r="B14" s="152" t="s">
        <v>664</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3" t="s">
        <v>665</v>
      </c>
      <c r="C15" s="17"/>
      <c r="D15" s="60">
        <v>17926</v>
      </c>
      <c r="E15" s="60">
        <v>-20795</v>
      </c>
      <c r="F15" s="60">
        <v>5000</v>
      </c>
      <c r="G15" s="60">
        <v>-22927</v>
      </c>
      <c r="H15" s="57">
        <v>-20796</v>
      </c>
      <c r="I15" s="48"/>
      <c r="J15" s="60">
        <v>-9306</v>
      </c>
      <c r="K15" s="60">
        <v>-18192</v>
      </c>
      <c r="L15" s="60">
        <v>-5018</v>
      </c>
      <c r="M15" s="60">
        <v>188679</v>
      </c>
      <c r="N15" s="57">
        <v>156163</v>
      </c>
      <c r="O15" s="47"/>
      <c r="P15" s="60">
        <v>-5516</v>
      </c>
      <c r="Q15" s="60">
        <v>-7415</v>
      </c>
      <c r="R15" s="60">
        <v>3856</v>
      </c>
      <c r="S15" s="60">
        <v>72113</v>
      </c>
      <c r="T15" s="60">
        <v>63038</v>
      </c>
      <c r="U15" s="60"/>
      <c r="V15" s="60">
        <v>-1504</v>
      </c>
      <c r="W15" s="60">
        <v>-10773</v>
      </c>
      <c r="X15" s="60">
        <v>-7099</v>
      </c>
      <c r="Y15" s="60">
        <v>151193</v>
      </c>
      <c r="Z15" s="60">
        <v>131817</v>
      </c>
      <c r="AA15" s="60"/>
      <c r="AB15" s="60">
        <v>-16017</v>
      </c>
      <c r="AC15" s="60">
        <v>-19450</v>
      </c>
      <c r="AD15" s="60">
        <v>-17257</v>
      </c>
      <c r="AE15" s="60">
        <v>100369</v>
      </c>
      <c r="AF15" s="60">
        <v>47645</v>
      </c>
      <c r="AG15" s="60"/>
      <c r="AH15" s="60">
        <v>-28197</v>
      </c>
      <c r="AI15" s="60">
        <v>-33058</v>
      </c>
      <c r="AJ15" s="50"/>
      <c r="AK15" s="50"/>
      <c r="AL15" s="58"/>
      <c r="AM15" s="53"/>
      <c r="AN15" s="50"/>
      <c r="AO15" s="50"/>
      <c r="AP15" s="50"/>
      <c r="AQ15" s="50"/>
      <c r="AR15" s="58"/>
      <c r="AS15" s="53"/>
      <c r="AT15" s="58"/>
      <c r="AU15" s="53"/>
      <c r="AV15" s="58"/>
      <c r="AX15" s="58"/>
    </row>
    <row r="16" spans="1:50" s="54" customFormat="1" ht="15" customHeight="1">
      <c r="A16" s="43"/>
      <c r="B16" s="153" t="s">
        <v>666</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4" t="s">
        <v>596</v>
      </c>
      <c r="C17" s="17"/>
      <c r="D17" s="60">
        <v>118</v>
      </c>
      <c r="E17" s="60">
        <v>134</v>
      </c>
      <c r="F17" s="60">
        <v>134</v>
      </c>
      <c r="G17" s="60">
        <v>135</v>
      </c>
      <c r="H17" s="57">
        <v>521</v>
      </c>
      <c r="I17" s="48"/>
      <c r="J17" s="60">
        <v>144</v>
      </c>
      <c r="K17" s="60">
        <v>157</v>
      </c>
      <c r="L17" s="60">
        <v>166</v>
      </c>
      <c r="M17" s="60">
        <v>155</v>
      </c>
      <c r="N17" s="57">
        <v>622</v>
      </c>
      <c r="O17" s="47"/>
      <c r="P17" s="60">
        <v>173</v>
      </c>
      <c r="Q17" s="60">
        <v>194</v>
      </c>
      <c r="R17" s="60">
        <v>243</v>
      </c>
      <c r="S17" s="60">
        <v>305</v>
      </c>
      <c r="T17" s="57">
        <v>915</v>
      </c>
      <c r="U17" s="47"/>
      <c r="V17" s="60">
        <v>480</v>
      </c>
      <c r="W17" s="60">
        <v>562</v>
      </c>
      <c r="X17" s="60">
        <v>476</v>
      </c>
      <c r="Y17" s="60">
        <v>459</v>
      </c>
      <c r="Z17" s="57">
        <v>1977</v>
      </c>
      <c r="AA17" s="47"/>
      <c r="AB17" s="60">
        <v>1055</v>
      </c>
      <c r="AC17" s="60">
        <v>1119</v>
      </c>
      <c r="AD17" s="60">
        <v>1189</v>
      </c>
      <c r="AE17" s="60">
        <v>1181</v>
      </c>
      <c r="AF17" s="57">
        <v>4544</v>
      </c>
      <c r="AG17" s="49"/>
      <c r="AH17" s="60">
        <v>1621</v>
      </c>
      <c r="AI17" s="60">
        <v>1818</v>
      </c>
      <c r="AJ17" s="50"/>
      <c r="AK17" s="50"/>
      <c r="AL17" s="57"/>
      <c r="AM17" s="53"/>
      <c r="AN17" s="50"/>
      <c r="AO17" s="50"/>
      <c r="AP17" s="50"/>
      <c r="AQ17" s="50"/>
      <c r="AR17" s="57"/>
      <c r="AS17" s="53"/>
      <c r="AT17" s="58"/>
      <c r="AU17" s="53"/>
      <c r="AV17" s="58"/>
      <c r="AX17" s="58"/>
    </row>
    <row r="18" spans="1:50" s="54" customFormat="1" ht="15" customHeight="1">
      <c r="A18" s="43"/>
      <c r="B18" s="154" t="s">
        <v>667</v>
      </c>
      <c r="C18" s="17"/>
      <c r="D18" s="60">
        <v>0</v>
      </c>
      <c r="E18" s="60">
        <v>0</v>
      </c>
      <c r="F18" s="60">
        <v>0</v>
      </c>
      <c r="G18" s="60">
        <v>0</v>
      </c>
      <c r="H18" s="57">
        <v>0</v>
      </c>
      <c r="I18" s="48"/>
      <c r="J18" s="60">
        <v>0</v>
      </c>
      <c r="K18" s="60">
        <v>0</v>
      </c>
      <c r="L18" s="60">
        <v>0</v>
      </c>
      <c r="M18" s="60">
        <v>0</v>
      </c>
      <c r="N18" s="57">
        <v>0</v>
      </c>
      <c r="O18" s="47"/>
      <c r="P18" s="60">
        <v>0</v>
      </c>
      <c r="Q18" s="60">
        <v>0</v>
      </c>
      <c r="R18" s="60">
        <v>0</v>
      </c>
      <c r="S18" s="60">
        <v>0</v>
      </c>
      <c r="T18" s="57">
        <v>0</v>
      </c>
      <c r="U18" s="47"/>
      <c r="V18" s="60">
        <v>0</v>
      </c>
      <c r="W18" s="60">
        <v>0</v>
      </c>
      <c r="X18" s="712">
        <v>375</v>
      </c>
      <c r="Y18" s="712">
        <v>353</v>
      </c>
      <c r="Z18" s="57">
        <v>728</v>
      </c>
      <c r="AA18" s="47"/>
      <c r="AB18" s="712">
        <v>1832</v>
      </c>
      <c r="AC18" s="712">
        <v>-2644</v>
      </c>
      <c r="AD18" s="60">
        <v>0</v>
      </c>
      <c r="AE18" s="60">
        <v>0</v>
      </c>
      <c r="AF18" s="57">
        <v>-812</v>
      </c>
      <c r="AG18" s="49"/>
      <c r="AH18" s="712">
        <v>132</v>
      </c>
      <c r="AI18" s="712">
        <v>-135</v>
      </c>
      <c r="AJ18" s="50"/>
      <c r="AK18" s="50"/>
      <c r="AL18" s="57"/>
      <c r="AM18" s="53"/>
      <c r="AN18" s="50"/>
      <c r="AO18" s="50"/>
      <c r="AP18" s="50"/>
      <c r="AQ18" s="50"/>
      <c r="AR18" s="57"/>
      <c r="AS18" s="53"/>
      <c r="AT18" s="58"/>
      <c r="AU18" s="53"/>
      <c r="AV18" s="58"/>
      <c r="AX18" s="58"/>
    </row>
    <row r="19" spans="1:50" s="54" customFormat="1" ht="15" customHeight="1">
      <c r="A19" s="111"/>
      <c r="B19" s="154" t="s">
        <v>668</v>
      </c>
      <c r="C19" s="113"/>
      <c r="D19" s="60">
        <v>0</v>
      </c>
      <c r="E19" s="60">
        <v>0</v>
      </c>
      <c r="F19" s="60">
        <v>0</v>
      </c>
      <c r="G19" s="60">
        <v>0</v>
      </c>
      <c r="H19" s="57">
        <v>0</v>
      </c>
      <c r="I19" s="48"/>
      <c r="J19" s="60">
        <v>0</v>
      </c>
      <c r="K19" s="60">
        <v>0</v>
      </c>
      <c r="L19" s="60">
        <v>0</v>
      </c>
      <c r="M19" s="60">
        <v>0</v>
      </c>
      <c r="N19" s="57">
        <v>0</v>
      </c>
      <c r="O19" s="48"/>
      <c r="P19" s="704">
        <v>0</v>
      </c>
      <c r="Q19" s="704">
        <v>0</v>
      </c>
      <c r="R19" s="704">
        <v>0</v>
      </c>
      <c r="S19" s="704">
        <v>0</v>
      </c>
      <c r="T19" s="57">
        <v>0</v>
      </c>
      <c r="U19" s="48"/>
      <c r="V19" s="704">
        <v>0</v>
      </c>
      <c r="W19" s="704">
        <v>0</v>
      </c>
      <c r="X19" s="704">
        <v>0</v>
      </c>
      <c r="Y19" s="704">
        <v>0</v>
      </c>
      <c r="Z19" s="57">
        <v>0</v>
      </c>
      <c r="AA19" s="51"/>
      <c r="AB19" s="704">
        <v>0</v>
      </c>
      <c r="AC19" s="704">
        <v>0</v>
      </c>
      <c r="AD19" s="704">
        <v>0</v>
      </c>
      <c r="AE19" s="704">
        <v>0</v>
      </c>
      <c r="AF19" s="57">
        <v>0</v>
      </c>
      <c r="AG19" s="49"/>
      <c r="AH19" s="704">
        <v>0</v>
      </c>
      <c r="AI19" s="704">
        <v>0</v>
      </c>
      <c r="AJ19" s="50"/>
      <c r="AK19" s="50"/>
      <c r="AL19" s="58"/>
      <c r="AM19" s="69"/>
      <c r="AN19" s="50"/>
      <c r="AO19" s="50"/>
      <c r="AP19" s="50"/>
      <c r="AQ19" s="50"/>
      <c r="AR19" s="58"/>
      <c r="AS19" s="69"/>
      <c r="AT19" s="58"/>
      <c r="AU19" s="69"/>
      <c r="AV19" s="58"/>
      <c r="AX19" s="58"/>
    </row>
    <row r="20" spans="1:50" s="54" customFormat="1" ht="15" customHeight="1">
      <c r="A20" s="43"/>
      <c r="B20" s="153" t="s">
        <v>669</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1"/>
      <c r="B21" s="154" t="s">
        <v>632</v>
      </c>
      <c r="C21" s="113"/>
      <c r="D21" s="60">
        <v>0</v>
      </c>
      <c r="E21" s="60">
        <v>0</v>
      </c>
      <c r="F21" s="60">
        <v>0</v>
      </c>
      <c r="G21" s="60">
        <v>0</v>
      </c>
      <c r="H21" s="66">
        <v>0</v>
      </c>
      <c r="I21" s="48"/>
      <c r="J21" s="60">
        <v>0</v>
      </c>
      <c r="K21" s="60">
        <v>0</v>
      </c>
      <c r="L21" s="60">
        <v>0</v>
      </c>
      <c r="M21" s="60">
        <v>0</v>
      </c>
      <c r="N21" s="66">
        <v>0</v>
      </c>
      <c r="O21" s="48"/>
      <c r="P21" s="712">
        <v>-640</v>
      </c>
      <c r="Q21" s="712">
        <v>1885</v>
      </c>
      <c r="R21" s="712">
        <v>1173</v>
      </c>
      <c r="S21" s="712">
        <v>880</v>
      </c>
      <c r="T21" s="713">
        <f>+SUM(P21:S21)</f>
        <v>3298</v>
      </c>
      <c r="U21" s="714"/>
      <c r="V21" s="712">
        <f>-26425-31</f>
        <v>-26456</v>
      </c>
      <c r="W21" s="712">
        <v>26337</v>
      </c>
      <c r="X21" s="712">
        <f>1042-78</f>
        <v>964</v>
      </c>
      <c r="Y21" s="712">
        <f>-38608-43</f>
        <v>-38651</v>
      </c>
      <c r="Z21" s="713">
        <f>+SUM(V21:Y21)</f>
        <v>-37806</v>
      </c>
      <c r="AA21" s="715"/>
      <c r="AB21" s="712">
        <f>3902-52</f>
        <v>3850</v>
      </c>
      <c r="AC21" s="712">
        <f>5743-12528</f>
        <v>-6785</v>
      </c>
      <c r="AD21" s="712">
        <f>6388+2269</f>
        <v>8657</v>
      </c>
      <c r="AE21" s="712">
        <f>-11448-189</f>
        <v>-11637</v>
      </c>
      <c r="AF21" s="713">
        <f>+SUM(AB21:AE21)</f>
        <v>-5915</v>
      </c>
      <c r="AG21" s="716"/>
      <c r="AH21" s="712">
        <v>6153</v>
      </c>
      <c r="AI21" s="712">
        <v>-2593</v>
      </c>
      <c r="AJ21" s="50"/>
      <c r="AK21" s="50"/>
      <c r="AL21" s="66"/>
      <c r="AM21" s="72"/>
      <c r="AN21" s="50"/>
      <c r="AO21" s="50"/>
      <c r="AP21" s="50"/>
      <c r="AQ21" s="50"/>
      <c r="AR21" s="66"/>
      <c r="AS21" s="72"/>
      <c r="AT21" s="68"/>
      <c r="AU21" s="72"/>
      <c r="AV21" s="68"/>
      <c r="AX21" s="68"/>
    </row>
    <row r="22" spans="1:50" s="54" customFormat="1" ht="15" customHeight="1">
      <c r="A22" s="43"/>
      <c r="B22" s="154" t="s">
        <v>670</v>
      </c>
      <c r="C22" s="17"/>
      <c r="D22" s="60">
        <v>0</v>
      </c>
      <c r="E22" s="60">
        <v>0</v>
      </c>
      <c r="F22" s="60">
        <v>0</v>
      </c>
      <c r="G22" s="60">
        <v>0</v>
      </c>
      <c r="H22" s="66">
        <v>0</v>
      </c>
      <c r="I22" s="48"/>
      <c r="J22" s="60">
        <v>0</v>
      </c>
      <c r="K22" s="60">
        <v>0</v>
      </c>
      <c r="L22" s="60">
        <v>0</v>
      </c>
      <c r="M22" s="60">
        <v>0</v>
      </c>
      <c r="N22" s="66">
        <v>0</v>
      </c>
      <c r="O22" s="48"/>
      <c r="P22" s="60"/>
      <c r="Q22" s="60"/>
      <c r="R22" s="60"/>
      <c r="S22" s="60"/>
      <c r="T22" s="66"/>
      <c r="U22" s="48"/>
      <c r="V22" s="60"/>
      <c r="W22" s="60"/>
      <c r="X22" s="60"/>
      <c r="Y22" s="60"/>
      <c r="Z22" s="66"/>
      <c r="AA22" s="51"/>
      <c r="AB22" s="60"/>
      <c r="AC22" s="60"/>
      <c r="AD22" s="60"/>
      <c r="AE22" s="60"/>
      <c r="AF22" s="66"/>
      <c r="AG22" s="49"/>
      <c r="AH22" s="60"/>
      <c r="AI22" s="60"/>
      <c r="AJ22" s="50"/>
      <c r="AK22" s="50"/>
      <c r="AL22" s="66"/>
      <c r="AM22" s="72"/>
      <c r="AN22" s="50"/>
      <c r="AO22" s="50"/>
      <c r="AP22" s="50"/>
      <c r="AQ22" s="50"/>
      <c r="AR22" s="66"/>
      <c r="AS22" s="72"/>
      <c r="AT22" s="68"/>
      <c r="AU22" s="72"/>
      <c r="AV22" s="68"/>
      <c r="AX22" s="68"/>
    </row>
    <row r="23" spans="1:50" s="54" customFormat="1" ht="15" customHeight="1">
      <c r="A23" s="111"/>
      <c r="B23" s="154" t="s">
        <v>645</v>
      </c>
      <c r="C23" s="113"/>
      <c r="D23" s="60">
        <v>0</v>
      </c>
      <c r="E23" s="60">
        <v>0</v>
      </c>
      <c r="F23" s="60">
        <v>0</v>
      </c>
      <c r="G23" s="60">
        <v>0</v>
      </c>
      <c r="H23" s="66">
        <v>0</v>
      </c>
      <c r="I23" s="48"/>
      <c r="J23" s="60">
        <v>0</v>
      </c>
      <c r="K23" s="60">
        <v>0</v>
      </c>
      <c r="L23" s="60">
        <v>0</v>
      </c>
      <c r="M23" s="60">
        <v>0</v>
      </c>
      <c r="N23" s="66">
        <v>0</v>
      </c>
      <c r="O23" s="48"/>
      <c r="P23" s="60"/>
      <c r="Q23" s="60"/>
      <c r="R23" s="60"/>
      <c r="S23" s="60"/>
      <c r="T23" s="713"/>
      <c r="U23" s="48"/>
      <c r="V23" s="60"/>
      <c r="W23" s="60"/>
      <c r="X23" s="60"/>
      <c r="Y23" s="60"/>
      <c r="Z23" s="713"/>
      <c r="AA23" s="51"/>
      <c r="AB23" s="60"/>
      <c r="AC23" s="60"/>
      <c r="AD23" s="60"/>
      <c r="AE23" s="60"/>
      <c r="AF23" s="713"/>
      <c r="AG23" s="49"/>
      <c r="AH23" s="60"/>
      <c r="AI23" s="60"/>
      <c r="AJ23" s="50"/>
      <c r="AK23" s="50"/>
      <c r="AL23" s="66"/>
      <c r="AM23" s="72"/>
      <c r="AN23" s="50"/>
      <c r="AO23" s="50"/>
      <c r="AP23" s="50"/>
      <c r="AQ23" s="50"/>
      <c r="AR23" s="66"/>
      <c r="AS23" s="72"/>
      <c r="AT23" s="68"/>
      <c r="AU23" s="72"/>
      <c r="AV23" s="68"/>
      <c r="AX23" s="68"/>
    </row>
    <row r="24" spans="1:50" s="54" customFormat="1" ht="15" customHeight="1">
      <c r="A24" s="111"/>
      <c r="B24" s="154" t="s">
        <v>668</v>
      </c>
      <c r="C24" s="113"/>
      <c r="D24" s="60">
        <v>0</v>
      </c>
      <c r="E24" s="60">
        <v>0</v>
      </c>
      <c r="F24" s="60">
        <v>0</v>
      </c>
      <c r="G24" s="60">
        <v>0</v>
      </c>
      <c r="H24" s="74">
        <v>0</v>
      </c>
      <c r="I24" s="48"/>
      <c r="J24" s="60">
        <v>0</v>
      </c>
      <c r="K24" s="60">
        <v>0</v>
      </c>
      <c r="L24" s="60">
        <v>0</v>
      </c>
      <c r="M24" s="60">
        <v>0</v>
      </c>
      <c r="N24" s="74">
        <v>0</v>
      </c>
      <c r="O24" s="48"/>
      <c r="P24" s="704"/>
      <c r="Q24" s="704"/>
      <c r="R24" s="704"/>
      <c r="S24" s="704"/>
      <c r="T24" s="713"/>
      <c r="U24" s="48"/>
      <c r="V24" s="704"/>
      <c r="W24" s="704"/>
      <c r="X24" s="704"/>
      <c r="Y24" s="704"/>
      <c r="Z24" s="713"/>
      <c r="AA24" s="81"/>
      <c r="AB24" s="704"/>
      <c r="AC24" s="704"/>
      <c r="AD24" s="704"/>
      <c r="AE24" s="704"/>
      <c r="AF24" s="713"/>
      <c r="AG24" s="82"/>
      <c r="AH24" s="704"/>
      <c r="AI24" s="704"/>
      <c r="AJ24" s="50"/>
      <c r="AK24" s="50"/>
      <c r="AL24" s="74"/>
      <c r="AM24" s="83"/>
      <c r="AN24" s="50"/>
      <c r="AO24" s="50"/>
      <c r="AP24" s="50"/>
      <c r="AQ24" s="50"/>
      <c r="AR24" s="74"/>
      <c r="AS24" s="83"/>
      <c r="AT24" s="75"/>
      <c r="AU24" s="83"/>
      <c r="AV24" s="75"/>
      <c r="AX24" s="75"/>
    </row>
    <row r="25" spans="1:50" s="54" customFormat="1" ht="15" customHeight="1">
      <c r="A25" s="84"/>
      <c r="B25" s="155" t="s">
        <v>671</v>
      </c>
      <c r="C25" s="26"/>
      <c r="D25" s="60">
        <v>26614</v>
      </c>
      <c r="E25" s="60">
        <v>-9162</v>
      </c>
      <c r="F25" s="60">
        <v>56387</v>
      </c>
      <c r="G25" s="60">
        <v>43310</v>
      </c>
      <c r="H25" s="92">
        <v>117149</v>
      </c>
      <c r="I25" s="48"/>
      <c r="J25" s="60">
        <v>39546</v>
      </c>
      <c r="K25" s="60">
        <v>-6783</v>
      </c>
      <c r="L25" s="60">
        <v>-8881</v>
      </c>
      <c r="M25" s="60">
        <v>215755</v>
      </c>
      <c r="N25" s="92">
        <v>239637</v>
      </c>
      <c r="O25" s="48"/>
      <c r="P25" s="60">
        <v>1381</v>
      </c>
      <c r="Q25" s="60">
        <v>29485</v>
      </c>
      <c r="R25" s="60">
        <v>60858</v>
      </c>
      <c r="S25" s="60">
        <v>78745</v>
      </c>
      <c r="T25" s="705">
        <v>170469</v>
      </c>
      <c r="U25" s="705"/>
      <c r="V25" s="60">
        <v>15559</v>
      </c>
      <c r="W25" s="60">
        <v>37619</v>
      </c>
      <c r="X25" s="60">
        <v>-3311</v>
      </c>
      <c r="Y25" s="60">
        <v>-248041</v>
      </c>
      <c r="Z25" s="705">
        <f>+SUM(V25:Y25)</f>
        <v>-198174</v>
      </c>
      <c r="AA25" s="705"/>
      <c r="AB25" s="60">
        <v>-45655</v>
      </c>
      <c r="AC25" s="60">
        <v>-57721</v>
      </c>
      <c r="AD25" s="60">
        <v>-16258</v>
      </c>
      <c r="AE25" s="60">
        <v>21921</v>
      </c>
      <c r="AF25" s="705">
        <v>-97713</v>
      </c>
      <c r="AG25" s="705"/>
      <c r="AH25" s="60">
        <v>23813</v>
      </c>
      <c r="AI25" s="60">
        <v>12577</v>
      </c>
      <c r="AJ25" s="50"/>
      <c r="AK25" s="50"/>
      <c r="AL25" s="93"/>
      <c r="AM25" s="83"/>
      <c r="AN25" s="50"/>
      <c r="AO25" s="50"/>
      <c r="AP25" s="50"/>
      <c r="AQ25" s="50"/>
      <c r="AR25" s="93"/>
      <c r="AS25" s="83"/>
      <c r="AT25" s="93"/>
      <c r="AU25" s="83"/>
      <c r="AV25" s="93"/>
      <c r="AX25" s="93"/>
    </row>
    <row r="26" spans="1:50" s="54" customFormat="1" ht="15" customHeight="1">
      <c r="A26" s="43"/>
      <c r="B26" s="152"/>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39</v>
      </c>
      <c r="B27" s="156" t="s">
        <v>672</v>
      </c>
      <c r="C27" s="113"/>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7" t="s">
        <v>673</v>
      </c>
      <c r="C28" s="17"/>
      <c r="D28" s="728" cm="1">
        <f t="array" ref="D28">_xll.BDH("HBRE3 BZ Equity","CF_CAP_EXPEND_PRPTY_ADD","FQ1 2020","FQ1 2020","Currency=BRL","Period=FQ","BEST_FPERIOD_OVERRIDE=FQ","FILING_STATUS=MR","EQY_CONSOLIDATED=Y","ACCOUNTING_STANDARD_OVERRIDE=MIXED","SCALING_FORMAT=MLN","Sort=A","Dates=H","DateFormat=P","Fill=—","Direction=H","UseDPDF=Y")</f>
        <v>-30.158999999999999</v>
      </c>
      <c r="E28" s="728" cm="1">
        <f t="array" ref="E28">_xll.BDH("HBRE3 BZ Equity","CF_CAP_EXPEND_PRPTY_ADD","FQ2 2020","FQ2 2020","Currency=BRL","Period=FQ","BEST_FPERIOD_OVERRIDE=FQ","FILING_STATUS=MR","EQY_CONSOLIDATED=Y","ACCOUNTING_STANDARD_OVERRIDE=MIXED","SCALING_FORMAT=MLN","Sort=A","Dates=H","DateFormat=P","Fill=—","Direction=H","UseDPDF=Y")</f>
        <v>-19.251999999999999</v>
      </c>
      <c r="F28" s="728" cm="1">
        <f t="array" ref="F28">_xll.BDH("HBRE3 BZ Equity","CF_CAP_EXPEND_PRPTY_ADD","FQ3 2020","FQ3 2020","Currency=BRL","Period=FQ","BEST_FPERIOD_OVERRIDE=FQ","FILING_STATUS=MR","EQY_CONSOLIDATED=Y","ACCOUNTING_STANDARD_OVERRIDE=MIXED","SCALING_FORMAT=MLN","Sort=A","Dates=H","DateFormat=P","Fill=—","Direction=H","UseDPDF=Y")</f>
        <v>-5.1950000000000003</v>
      </c>
      <c r="G28" s="728" cm="1">
        <f t="array" ref="G28">_xll.BDH("HBRE3 BZ Equity","CF_CAP_EXPEND_PRPTY_ADD","FQ4 2020","FQ4 2020","Currency=BRL","Period=FQ","BEST_FPERIOD_OVERRIDE=FQ","FILING_STATUS=MR","EQY_CONSOLIDATED=Y","ACCOUNTING_STANDARD_OVERRIDE=MIXED","SCALING_FORMAT=MLN","Sort=A","Dates=H","DateFormat=P","Fill=—","Direction=H","UseDPDF=Y")</f>
        <v>-100.373</v>
      </c>
      <c r="H28" s="66">
        <f>+SUM(D28:G28)</f>
        <v>-154.97900000000001</v>
      </c>
      <c r="I28" s="48"/>
      <c r="J28" s="728" cm="1">
        <f t="array" ref="J28">_xll.BDH("HBRE3 BZ Equity","CF_CAP_EXPEND_PRPTY_ADD","FQ1 2021","FQ1 2021","Currency=BRL","Period=FQ","BEST_FPERIOD_OVERRIDE=FQ","FILING_STATUS=MR","EQY_CONSOLIDATED=Y","ACCOUNTING_STANDARD_OVERRIDE=MIXED","SCALING_FORMAT=MLN","Sort=A","Dates=H","DateFormat=P","Fill=—","Direction=H","UseDPDF=Y")</f>
        <v>-90.622</v>
      </c>
      <c r="K28" s="728" cm="1">
        <f t="array" ref="K28">_xll.BDH("HBRE3 BZ Equity","CF_CAP_EXPEND_PRPTY_ADD","FQ2 2021","FQ2 2021","Currency=BRL","Period=FQ","BEST_FPERIOD_OVERRIDE=FQ","FILING_STATUS=MR","EQY_CONSOLIDATED=Y","ACCOUNTING_STANDARD_OVERRIDE=MIXED","SCALING_FORMAT=MLN","Sort=A","Dates=H","DateFormat=P","Fill=—","Direction=H","UseDPDF=Y")</f>
        <v>-62.097999999999999</v>
      </c>
      <c r="L28" s="728" cm="1">
        <f t="array" ref="L28">_xll.BDH("HBRE3 BZ Equity","CF_CAP_EXPEND_PRPTY_ADD","FQ3 2021","FQ3 2021","Currency=BRL","Period=FQ","BEST_FPERIOD_OVERRIDE=FQ","FILING_STATUS=MR","EQY_CONSOLIDATED=Y","ACCOUNTING_STANDARD_OVERRIDE=MIXED","SCALING_FORMAT=MLN","Sort=A","Dates=H","DateFormat=P","Fill=—","Direction=H","UseDPDF=Y")</f>
        <v>-71.486000000000004</v>
      </c>
      <c r="M28" s="728" cm="1">
        <f t="array" ref="M28">_xll.BDH("HBRE3 BZ Equity","CF_CAP_EXPEND_PRPTY_ADD","FQ4 2021","FQ4 2021","Currency=BRL","Period=FQ","BEST_FPERIOD_OVERRIDE=FQ","FILING_STATUS=MR","EQY_CONSOLIDATED=Y","ACCOUNTING_STANDARD_OVERRIDE=MIXED","SCALING_FORMAT=MLN","Sort=A","Dates=H","DateFormat=P","Fill=—","Direction=H","UseDPDF=Y")</f>
        <v>-426.15</v>
      </c>
      <c r="N28" s="66">
        <f>+SUM(J28:M28)</f>
        <v>-650.35599999999999</v>
      </c>
      <c r="O28" s="48"/>
      <c r="P28" s="728" cm="1">
        <f t="array" ref="P28">_xll.BDH("HBRE3 BZ Equity","CF_CAP_EXPEND_PRPTY_ADD","FQ1 2022","FQ1 2022","Currency=BRL","Period=FQ","BEST_FPERIOD_OVERRIDE=FQ","FILING_STATUS=MR","EQY_CONSOLIDATED=Y","ACCOUNTING_STANDARD_OVERRIDE=MIXED","SCALING_FORMAT=MLN","Sort=A","Dates=H","DateFormat=P","Fill=—","Direction=H","UseDPDF=Y")</f>
        <v>-63.726999999999997</v>
      </c>
      <c r="Q28" s="728" cm="1">
        <f t="array" ref="Q28">_xll.BDH("HBRE3 BZ Equity","CF_CAP_EXPEND_PRPTY_ADD","FQ2 2022","FQ2 2022","Currency=BRL","Period=FQ","BEST_FPERIOD_OVERRIDE=FQ","FILING_STATUS=MR","EQY_CONSOLIDATED=Y","ACCOUNTING_STANDARD_OVERRIDE=MIXED","SCALING_FORMAT=MLN","Sort=A","Dates=H","DateFormat=P","Fill=—","Direction=H","UseDPDF=Y")</f>
        <v>-56.268999999999998</v>
      </c>
      <c r="R28" s="728" cm="1">
        <f t="array" ref="R28">_xll.BDH("HBRE3 BZ Equity","CF_CAP_EXPEND_PRPTY_ADD","FQ3 2022","FQ3 2022","Currency=BRL","Period=FQ","BEST_FPERIOD_OVERRIDE=FQ","FILING_STATUS=MR","EQY_CONSOLIDATED=Y","ACCOUNTING_STANDARD_OVERRIDE=MIXED","SCALING_FORMAT=MLN","Sort=A","Dates=H","DateFormat=P","Fill=—","Direction=H","UseDPDF=Y")</f>
        <v>-270.74099999999999</v>
      </c>
      <c r="S28" s="728" cm="1">
        <f t="array" ref="S28">_xll.BDH("HBRE3 BZ Equity","CF_CAP_EXPEND_PRPTY_ADD","FQ4 2022","FQ4 2022","Currency=BRL","Period=FQ","BEST_FPERIOD_OVERRIDE=FQ","FILING_STATUS=MR","EQY_CONSOLIDATED=Y","ACCOUNTING_STANDARD_OVERRIDE=MIXED","SCALING_FORMAT=MLN","Sort=A","Dates=H","DateFormat=P","Fill=—","Direction=H","UseDPDF=Y")</f>
        <v>-213.108</v>
      </c>
      <c r="T28" s="66">
        <f>+SUM(P28:S28)</f>
        <v>-603.84500000000003</v>
      </c>
      <c r="U28" s="48"/>
      <c r="V28" s="728" cm="1">
        <f t="array" ref="V28">_xll.BDH("HBRE3 BZ Equity","CF_CAP_EXPEND_PRPTY_ADD","FQ1 2023","FQ1 2023","Currency=BRL","Period=FQ","BEST_FPERIOD_OVERRIDE=FQ","FILING_STATUS=MR","EQY_CONSOLIDATED=Y","ACCOUNTING_STANDARD_OVERRIDE=MIXED","SCALING_FORMAT=MLN","Sort=A","Dates=H","DateFormat=P","Fill=—","Direction=H","UseDPDF=Y")</f>
        <v>-27.850999999999999</v>
      </c>
      <c r="W28" s="728" cm="1">
        <f t="array" ref="W28">_xll.BDH("HBRE3 BZ Equity","CF_CAP_EXPEND_PRPTY_ADD","FQ2 2023","FQ2 2023","Currency=BRL","Period=FQ","BEST_FPERIOD_OVERRIDE=FQ","FILING_STATUS=MR","EQY_CONSOLIDATED=Y","ACCOUNTING_STANDARD_OVERRIDE=MIXED","SCALING_FORMAT=MLN","Sort=A","Dates=H","DateFormat=P","Fill=—","Direction=H","UseDPDF=Y")</f>
        <v>-42.243000000000002</v>
      </c>
      <c r="X28" s="728" cm="1">
        <f t="array" ref="X28">_xll.BDH("HBRE3 BZ Equity","CF_CAP_EXPEND_PRPTY_ADD","FQ3 2023","FQ3 2023","Currency=BRL","Period=FQ","BEST_FPERIOD_OVERRIDE=FQ","FILING_STATUS=MR","EQY_CONSOLIDATED=Y","ACCOUNTING_STANDARD_OVERRIDE=MIXED","SCALING_FORMAT=MLN","Sort=A","Dates=H","DateFormat=P","Fill=—","Direction=H","UseDPDF=Y")</f>
        <v>-63.719000000000001</v>
      </c>
      <c r="Y28" s="728" cm="1">
        <f t="array" ref="Y28">_xll.BDH("HBRE3 BZ Equity","CF_CAP_EXPEND_PRPTY_ADD","FQ4 2023","FQ4 2023","Currency=BRL","Period=FQ","BEST_FPERIOD_OVERRIDE=FQ","FILING_STATUS=MR","EQY_CONSOLIDATED=Y","ACCOUNTING_STANDARD_OVERRIDE=MIXED","SCALING_FORMAT=MLN","Sort=A","Dates=H","DateFormat=P","Fill=—","Direction=H","UseDPDF=Y")</f>
        <v>0</v>
      </c>
      <c r="Z28" s="66">
        <f>+SUM(V28:Y28)</f>
        <v>-133.81299999999999</v>
      </c>
      <c r="AA28" s="71"/>
      <c r="AB28" s="728" cm="1">
        <f t="array" ref="AB28">_xll.BDH("HBRE3 BZ Equity","CF_CAP_EXPEND_PRPTY_ADD","FQ1 2024","FQ1 2024","Currency=BRL","Period=FQ","BEST_FPERIOD_OVERRIDE=FQ","FILING_STATUS=MR","EQY_CONSOLIDATED=Y","ACCOUNTING_STANDARD_OVERRIDE=MIXED","SCALING_FORMAT=MLN","Sort=A","Dates=H","DateFormat=P","Fill=—","Direction=H","UseDPDF=Y")</f>
        <v>-26.808</v>
      </c>
      <c r="AC28" s="728" cm="1">
        <f t="array" ref="AC28">_xll.BDH("HBRE3 BZ Equity","CF_CAP_EXPEND_PRPTY_ADD","FQ2 2024","FQ2 2024","Currency=BRL","Period=FQ","BEST_FPERIOD_OVERRIDE=FQ","FILING_STATUS=MR","EQY_CONSOLIDATED=Y","ACCOUNTING_STANDARD_OVERRIDE=MIXED","SCALING_FORMAT=MLN","Sort=A","Dates=H","DateFormat=P","Fill=—","Direction=H","UseDPDF=Y")</f>
        <v>-6.6139999999999999</v>
      </c>
      <c r="AD28" s="728" cm="1">
        <f t="array" ref="AD28">_xll.BDH("HBRE3 BZ Equity","CF_CAP_EXPEND_PRPTY_ADD","FQ3 2024","FQ3 2024","Currency=BRL","Period=FQ","BEST_FPERIOD_OVERRIDE=FQ","FILING_STATUS=MR","EQY_CONSOLIDATED=Y","ACCOUNTING_STANDARD_OVERRIDE=MIXED","SCALING_FORMAT=MLN","Sort=A","Dates=H","DateFormat=P","Fill=—","Direction=H","UseDPDF=Y")</f>
        <v>-50.868000000000002</v>
      </c>
      <c r="AE28" s="728" cm="1">
        <f t="array" ref="AE28">_xll.BDH("HBRE3 BZ Equity","CF_CAP_EXPEND_PRPTY_ADD","FQ4 2024","FQ4 2024","Currency=BRL","Period=FQ","BEST_FPERIOD_OVERRIDE=FQ","FILING_STATUS=MR","EQY_CONSOLIDATED=Y","ACCOUNTING_STANDARD_OVERRIDE=MIXED","SCALING_FORMAT=MLN","Sort=A","Dates=H","DateFormat=P","Fill=—","Direction=H","UseDPDF=Y")</f>
        <v>0</v>
      </c>
      <c r="AF28" s="66">
        <f>+SUM(AB28:AE28)</f>
        <v>-84.289999999999992</v>
      </c>
      <c r="AG28" s="71"/>
      <c r="AH28" s="710" cm="1">
        <f t="array" ref="AH28">_xll.BDH("HBRE3 BZ Equity","CF_CAP_EXPEND_PRPTY_ADD","FQ1 2025","FQ1 2025","Currency=BRL","Period=FQ","BEST_FPERIOD_OVERRIDE=FQ","FILING_STATUS=MR","EQY_CONSOLIDATED=Y","ACCOUNTING_STANDARD_OVERRIDE=MIXED","SCALING_FORMAT=MLN","Sort=A","Dates=H","DateFormat=P","Fill=—","Direction=H","UseDPDF=Y")</f>
        <v>-28.51</v>
      </c>
      <c r="AI28" s="710" cm="1">
        <f t="array" ref="AI28">_xll.BDH("HBRE3 BZ Equity","CF_CAP_EXPEND_PRPTY_ADD","FQ2 2025","FQ2 2025","Currency=BRL","Period=FQ","BEST_FPERIOD_OVERRIDE=FQ","FILING_STATUS=MR","EQY_CONSOLIDATED=Y","ACCOUNTING_STANDARD_OVERRIDE=MIXED","SCALING_FORMAT=MLN","Sort=A","Dates=H","DateFormat=P","Fill=—","Direction=H","UseDPDF=Y")</f>
        <v>-18.294</v>
      </c>
      <c r="AJ28" s="50"/>
      <c r="AK28" s="50"/>
      <c r="AL28" s="68"/>
      <c r="AM28" s="72"/>
      <c r="AN28" s="50"/>
      <c r="AO28" s="50"/>
      <c r="AP28" s="50"/>
      <c r="AQ28" s="50"/>
      <c r="AR28" s="68"/>
      <c r="AS28" s="72"/>
      <c r="AT28" s="68"/>
      <c r="AU28" s="72"/>
      <c r="AV28" s="68"/>
      <c r="AW28" s="359"/>
      <c r="AX28" s="68"/>
    </row>
    <row r="29" spans="1:50" s="54" customFormat="1" ht="15" customHeight="1">
      <c r="A29" s="111"/>
      <c r="B29" s="157" t="s">
        <v>674</v>
      </c>
      <c r="C29" s="113"/>
      <c r="D29" s="60">
        <v>0</v>
      </c>
      <c r="E29" s="60">
        <v>0</v>
      </c>
      <c r="F29" s="60">
        <v>0</v>
      </c>
      <c r="G29" s="60">
        <v>0</v>
      </c>
      <c r="H29" s="66">
        <v>0</v>
      </c>
      <c r="I29" s="48"/>
      <c r="J29" s="60">
        <v>0</v>
      </c>
      <c r="K29" s="60">
        <v>0</v>
      </c>
      <c r="L29" s="60">
        <v>0</v>
      </c>
      <c r="M29" s="60">
        <v>0</v>
      </c>
      <c r="N29" s="66">
        <v>0</v>
      </c>
      <c r="O29" s="48"/>
      <c r="P29" s="60">
        <v>0</v>
      </c>
      <c r="Q29" s="60">
        <v>0</v>
      </c>
      <c r="R29" s="60">
        <v>0</v>
      </c>
      <c r="S29" s="60">
        <v>0</v>
      </c>
      <c r="T29" s="66">
        <v>0</v>
      </c>
      <c r="U29" s="48"/>
      <c r="V29" s="60">
        <v>0</v>
      </c>
      <c r="W29" s="60">
        <v>0</v>
      </c>
      <c r="X29" s="60">
        <v>0</v>
      </c>
      <c r="Y29" s="704">
        <v>124</v>
      </c>
      <c r="Z29" s="704">
        <v>124</v>
      </c>
      <c r="AA29" s="81"/>
      <c r="AB29" s="60">
        <v>0</v>
      </c>
      <c r="AC29" s="60">
        <v>0</v>
      </c>
      <c r="AD29" s="60">
        <v>0</v>
      </c>
      <c r="AE29" s="704">
        <v>17.5</v>
      </c>
      <c r="AF29" s="704">
        <v>17.5</v>
      </c>
      <c r="AG29" s="82"/>
      <c r="AH29" s="60">
        <v>0</v>
      </c>
      <c r="AI29" s="60">
        <v>0</v>
      </c>
      <c r="AJ29" s="50"/>
      <c r="AK29" s="50"/>
      <c r="AL29" s="68"/>
      <c r="AM29" s="83"/>
      <c r="AN29" s="50"/>
      <c r="AO29" s="50"/>
      <c r="AP29" s="50"/>
      <c r="AQ29" s="50"/>
      <c r="AR29" s="68"/>
      <c r="AS29" s="83"/>
      <c r="AT29" s="68"/>
      <c r="AU29" s="83"/>
      <c r="AV29" s="68"/>
      <c r="AX29" s="68"/>
    </row>
    <row r="30" spans="1:50" s="54" customFormat="1" ht="15" customHeight="1">
      <c r="A30" s="43"/>
      <c r="B30" s="157" t="s">
        <v>675</v>
      </c>
      <c r="C30" s="17"/>
      <c r="D30" s="60">
        <v>0</v>
      </c>
      <c r="E30" s="60">
        <v>0</v>
      </c>
      <c r="F30" s="60">
        <v>0</v>
      </c>
      <c r="G30" s="60">
        <v>0</v>
      </c>
      <c r="H30" s="66">
        <v>0</v>
      </c>
      <c r="I30" s="48"/>
      <c r="J30" s="60">
        <v>0</v>
      </c>
      <c r="K30" s="60">
        <v>0</v>
      </c>
      <c r="L30" s="60">
        <v>0</v>
      </c>
      <c r="M30" s="60">
        <v>0</v>
      </c>
      <c r="N30" s="66">
        <v>0</v>
      </c>
      <c r="O30" s="48"/>
      <c r="P30" s="60">
        <v>0</v>
      </c>
      <c r="Q30" s="60">
        <v>0</v>
      </c>
      <c r="R30" s="60">
        <v>0</v>
      </c>
      <c r="S30" s="60">
        <v>0</v>
      </c>
      <c r="T30" s="66">
        <v>0</v>
      </c>
      <c r="U30" s="48"/>
      <c r="V30" s="60">
        <v>0</v>
      </c>
      <c r="W30" s="60">
        <v>0</v>
      </c>
      <c r="X30" s="60">
        <v>0</v>
      </c>
      <c r="Y30" s="60">
        <v>0</v>
      </c>
      <c r="Z30" s="66">
        <v>0</v>
      </c>
      <c r="AA30" s="51"/>
      <c r="AB30" s="60">
        <v>0</v>
      </c>
      <c r="AC30" s="60">
        <v>0</v>
      </c>
      <c r="AD30" s="60">
        <v>0</v>
      </c>
      <c r="AE30" s="60">
        <v>0</v>
      </c>
      <c r="AF30" s="66">
        <v>0</v>
      </c>
      <c r="AG30" s="49"/>
      <c r="AH30" s="60">
        <v>0</v>
      </c>
      <c r="AI30" s="60">
        <v>0</v>
      </c>
      <c r="AJ30" s="50"/>
      <c r="AK30" s="50"/>
      <c r="AL30" s="68"/>
      <c r="AM30" s="72"/>
      <c r="AN30" s="50"/>
      <c r="AO30" s="50"/>
      <c r="AP30" s="50"/>
      <c r="AQ30" s="50"/>
      <c r="AR30" s="68"/>
      <c r="AS30" s="72"/>
      <c r="AT30" s="68"/>
      <c r="AU30" s="72"/>
      <c r="AV30" s="68"/>
      <c r="AX30" s="68"/>
    </row>
    <row r="31" spans="1:50" s="54" customFormat="1" ht="15" customHeight="1">
      <c r="A31" s="111"/>
      <c r="B31" s="157" t="s">
        <v>676</v>
      </c>
      <c r="C31" s="113"/>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8"/>
      <c r="AN31" s="50"/>
      <c r="AO31" s="50"/>
      <c r="AP31" s="50"/>
      <c r="AQ31" s="50"/>
      <c r="AR31" s="68"/>
      <c r="AS31" s="88"/>
      <c r="AT31" s="68"/>
      <c r="AU31" s="88"/>
      <c r="AV31" s="68"/>
      <c r="AX31" s="68"/>
    </row>
    <row r="32" spans="1:50" s="54" customFormat="1" ht="15" customHeight="1">
      <c r="A32" s="111"/>
      <c r="B32" s="157" t="s">
        <v>677</v>
      </c>
      <c r="C32" s="113"/>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8"/>
      <c r="AN32" s="50"/>
      <c r="AO32" s="50"/>
      <c r="AP32" s="50"/>
      <c r="AQ32" s="50"/>
      <c r="AR32" s="68"/>
      <c r="AS32" s="88"/>
      <c r="AT32" s="68"/>
      <c r="AU32" s="88"/>
      <c r="AV32" s="68"/>
      <c r="AX32" s="68"/>
    </row>
    <row r="33" spans="1:38" s="54" customFormat="1" ht="15" customHeight="1">
      <c r="A33" s="111"/>
      <c r="B33" s="157" t="s">
        <v>678</v>
      </c>
      <c r="C33" s="17"/>
      <c r="D33" s="60">
        <v>0</v>
      </c>
      <c r="E33" s="60">
        <v>0</v>
      </c>
      <c r="F33" s="60">
        <v>0</v>
      </c>
      <c r="G33" s="60">
        <v>0</v>
      </c>
      <c r="H33" s="66">
        <v>0</v>
      </c>
      <c r="I33" s="48"/>
      <c r="J33" s="60">
        <v>0</v>
      </c>
      <c r="K33" s="60">
        <v>0</v>
      </c>
      <c r="L33" s="60">
        <v>0</v>
      </c>
      <c r="M33" s="60">
        <v>0</v>
      </c>
      <c r="N33" s="66">
        <v>0</v>
      </c>
      <c r="O33" s="48"/>
      <c r="P33" s="704">
        <v>0</v>
      </c>
      <c r="Q33" s="703">
        <v>0</v>
      </c>
      <c r="R33" s="703">
        <v>0</v>
      </c>
      <c r="S33" s="703">
        <v>0</v>
      </c>
      <c r="T33" s="66">
        <v>0</v>
      </c>
      <c r="U33" s="48"/>
      <c r="V33" s="60">
        <v>0</v>
      </c>
      <c r="W33" s="60">
        <v>0</v>
      </c>
      <c r="X33" s="60">
        <v>0</v>
      </c>
      <c r="Y33" s="60">
        <v>0</v>
      </c>
      <c r="Z33" s="66">
        <v>0</v>
      </c>
      <c r="AA33" s="51"/>
      <c r="AB33" s="60">
        <v>0</v>
      </c>
      <c r="AC33" s="60">
        <v>0</v>
      </c>
      <c r="AD33" s="60">
        <v>0</v>
      </c>
      <c r="AE33" s="60">
        <v>0</v>
      </c>
      <c r="AF33" s="66">
        <v>0</v>
      </c>
      <c r="AG33" s="49"/>
      <c r="AH33" s="60">
        <v>0</v>
      </c>
      <c r="AI33" s="60">
        <v>0</v>
      </c>
      <c r="AJ33" s="50"/>
      <c r="AK33" s="50"/>
      <c r="AL33" s="68"/>
    </row>
    <row r="34" spans="1:38" s="54" customFormat="1" ht="15" customHeight="1">
      <c r="A34" s="43"/>
      <c r="B34" s="157" t="s">
        <v>679</v>
      </c>
      <c r="C34" s="17"/>
      <c r="D34" s="60">
        <v>591</v>
      </c>
      <c r="E34" s="60">
        <v>-15363</v>
      </c>
      <c r="F34" s="60">
        <v>17786</v>
      </c>
      <c r="G34" s="60">
        <v>-3697</v>
      </c>
      <c r="H34" s="66">
        <v>-683</v>
      </c>
      <c r="I34" s="48"/>
      <c r="J34" s="60">
        <v>-706248</v>
      </c>
      <c r="K34" s="60">
        <v>44074</v>
      </c>
      <c r="L34" s="60">
        <v>49862</v>
      </c>
      <c r="M34" s="60">
        <v>67320</v>
      </c>
      <c r="N34" s="66">
        <v>-544992</v>
      </c>
      <c r="O34" s="48"/>
      <c r="P34" s="60">
        <v>69088</v>
      </c>
      <c r="Q34" s="60">
        <v>32079</v>
      </c>
      <c r="R34" s="60">
        <v>22690</v>
      </c>
      <c r="S34" s="60">
        <v>30362</v>
      </c>
      <c r="T34" s="66">
        <v>154219</v>
      </c>
      <c r="U34" s="48"/>
      <c r="V34" s="60">
        <v>21312</v>
      </c>
      <c r="W34" s="60">
        <v>40504</v>
      </c>
      <c r="X34" s="60">
        <v>32814</v>
      </c>
      <c r="Y34" s="60">
        <v>-20044</v>
      </c>
      <c r="Z34" s="66">
        <v>74586</v>
      </c>
      <c r="AA34" s="51"/>
      <c r="AB34" s="60">
        <v>-60991</v>
      </c>
      <c r="AC34" s="60">
        <v>23641</v>
      </c>
      <c r="AD34" s="60">
        <v>57413</v>
      </c>
      <c r="AE34" s="60">
        <v>-57075</v>
      </c>
      <c r="AF34" s="66">
        <v>-37012</v>
      </c>
      <c r="AG34" s="49"/>
      <c r="AH34" s="60">
        <v>-14353</v>
      </c>
      <c r="AI34" s="60">
        <v>-29897</v>
      </c>
      <c r="AJ34" s="50"/>
      <c r="AK34" s="50"/>
      <c r="AL34" s="68"/>
    </row>
    <row r="35" spans="1:38" s="54" customFormat="1" ht="15" customHeight="1">
      <c r="B35" s="157" t="s">
        <v>680</v>
      </c>
      <c r="C35" s="113"/>
      <c r="D35" s="60">
        <v>-11881</v>
      </c>
      <c r="E35" s="60">
        <v>-9462</v>
      </c>
      <c r="F35" s="60">
        <v>-20578</v>
      </c>
      <c r="G35" s="60">
        <v>-43222</v>
      </c>
      <c r="H35" s="60">
        <v>-85143</v>
      </c>
      <c r="I35" s="60"/>
      <c r="J35" s="60">
        <v>-91864</v>
      </c>
      <c r="K35" s="60">
        <v>-42724</v>
      </c>
      <c r="L35" s="60">
        <v>-43484</v>
      </c>
      <c r="M35" s="60">
        <v>-426602</v>
      </c>
      <c r="N35" s="60">
        <v>-604674</v>
      </c>
      <c r="O35" s="60"/>
      <c r="P35" s="704">
        <v>-65303</v>
      </c>
      <c r="Q35" s="704">
        <v>-56114</v>
      </c>
      <c r="R35" s="704">
        <v>-53360</v>
      </c>
      <c r="S35" s="704">
        <v>-123519</v>
      </c>
      <c r="T35" s="60">
        <v>-298296</v>
      </c>
      <c r="U35" s="60"/>
      <c r="V35" s="60">
        <v>-29100</v>
      </c>
      <c r="W35" s="60">
        <v>-37974</v>
      </c>
      <c r="X35" s="60">
        <v>-56322</v>
      </c>
      <c r="Y35" s="60">
        <v>155963</v>
      </c>
      <c r="Z35" s="60">
        <v>32567</v>
      </c>
      <c r="AA35" s="60"/>
      <c r="AB35" s="60">
        <v>-22677</v>
      </c>
      <c r="AC35" s="60">
        <v>-6330</v>
      </c>
      <c r="AD35" s="60">
        <v>-45656</v>
      </c>
      <c r="AE35" s="60">
        <v>-2177</v>
      </c>
      <c r="AF35" s="60">
        <v>-76840</v>
      </c>
      <c r="AG35" s="60"/>
      <c r="AH35" s="60">
        <v>-32958</v>
      </c>
      <c r="AI35" s="60">
        <v>-25236</v>
      </c>
      <c r="AJ35" s="50"/>
      <c r="AK35" s="50"/>
      <c r="AL35" s="75"/>
    </row>
    <row r="36" spans="1:38" s="54" customFormat="1" ht="15" customHeight="1" thickBot="1">
      <c r="A36" s="111"/>
      <c r="B36" s="158" t="s">
        <v>681</v>
      </c>
      <c r="C36" s="17"/>
      <c r="D36" s="60">
        <v>-11290</v>
      </c>
      <c r="E36" s="60">
        <v>-24825</v>
      </c>
      <c r="F36" s="60">
        <v>-2792</v>
      </c>
      <c r="G36" s="60">
        <v>-46919</v>
      </c>
      <c r="H36" s="92">
        <v>-85826</v>
      </c>
      <c r="I36" s="48"/>
      <c r="J36" s="60">
        <v>-798112</v>
      </c>
      <c r="K36" s="60">
        <v>1350</v>
      </c>
      <c r="L36" s="60">
        <v>6378</v>
      </c>
      <c r="M36" s="60">
        <v>-359282</v>
      </c>
      <c r="N36" s="92">
        <v>-1149666</v>
      </c>
      <c r="O36" s="48"/>
      <c r="P36" s="706">
        <v>3785</v>
      </c>
      <c r="Q36" s="707">
        <v>-24035</v>
      </c>
      <c r="R36" s="707">
        <v>-30670</v>
      </c>
      <c r="S36" s="707">
        <v>-93157</v>
      </c>
      <c r="T36" s="92">
        <v>-144077</v>
      </c>
      <c r="U36" s="48"/>
      <c r="V36" s="707">
        <v>-7788</v>
      </c>
      <c r="W36" s="707">
        <v>2530</v>
      </c>
      <c r="X36" s="707">
        <v>-23508</v>
      </c>
      <c r="Y36" s="707">
        <v>135919</v>
      </c>
      <c r="Z36" s="92">
        <v>107153</v>
      </c>
      <c r="AA36" s="51"/>
      <c r="AB36" s="707">
        <v>-83668</v>
      </c>
      <c r="AC36" s="707">
        <v>17311</v>
      </c>
      <c r="AD36" s="707">
        <v>11757</v>
      </c>
      <c r="AE36" s="707">
        <v>-59252</v>
      </c>
      <c r="AF36" s="92">
        <v>-113852</v>
      </c>
      <c r="AG36" s="49"/>
      <c r="AH36" s="707">
        <v>-47311</v>
      </c>
      <c r="AI36" s="707">
        <v>-55133</v>
      </c>
      <c r="AJ36" s="50"/>
      <c r="AK36" s="50"/>
      <c r="AL36" s="93"/>
    </row>
    <row r="37" spans="1:38" s="54" customFormat="1" ht="15" customHeight="1" thickTop="1">
      <c r="A37" s="43"/>
      <c r="B37" s="152"/>
      <c r="C37" s="113"/>
      <c r="D37" s="46"/>
      <c r="E37" s="46"/>
      <c r="F37" s="46"/>
      <c r="G37" s="46"/>
      <c r="H37" s="66"/>
      <c r="I37" s="48"/>
      <c r="J37" s="46"/>
      <c r="K37" s="46"/>
      <c r="L37" s="46"/>
      <c r="M37" s="46"/>
      <c r="N37" s="66"/>
      <c r="O37" s="48"/>
      <c r="P37" s="46"/>
      <c r="Q37" s="46"/>
      <c r="R37" s="46"/>
      <c r="S37" s="46"/>
      <c r="T37" s="66"/>
      <c r="U37" s="48"/>
      <c r="V37" s="46"/>
      <c r="W37" s="46"/>
      <c r="X37" s="46"/>
      <c r="Y37" s="46"/>
      <c r="Z37" s="66"/>
      <c r="AA37" s="85"/>
      <c r="AB37" s="46"/>
      <c r="AC37" s="46"/>
      <c r="AD37" s="46"/>
      <c r="AE37" s="46"/>
      <c r="AF37" s="66"/>
      <c r="AG37" s="82"/>
      <c r="AH37" s="46"/>
      <c r="AI37" s="46"/>
      <c r="AJ37" s="50"/>
      <c r="AK37" s="50"/>
      <c r="AL37" s="68"/>
    </row>
    <row r="38" spans="1:38" s="54" customFormat="1" ht="15" customHeight="1">
      <c r="A38" s="44" t="s">
        <v>39</v>
      </c>
      <c r="B38" s="156" t="s">
        <v>682</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1"/>
      <c r="B39" s="157" t="s">
        <v>683</v>
      </c>
      <c r="C39" s="113"/>
      <c r="D39" s="60">
        <v>0</v>
      </c>
      <c r="E39" s="60">
        <v>0</v>
      </c>
      <c r="F39" s="60">
        <v>0</v>
      </c>
      <c r="G39" s="60">
        <v>0</v>
      </c>
      <c r="H39" s="66">
        <v>0</v>
      </c>
      <c r="I39" s="48"/>
      <c r="J39" s="60">
        <v>0</v>
      </c>
      <c r="K39" s="60">
        <v>0</v>
      </c>
      <c r="L39" s="60">
        <v>0</v>
      </c>
      <c r="M39" s="60">
        <v>0</v>
      </c>
      <c r="N39" s="66">
        <v>0</v>
      </c>
      <c r="O39" s="48"/>
      <c r="P39" s="60">
        <v>0</v>
      </c>
      <c r="Q39" s="60">
        <v>0</v>
      </c>
      <c r="R39" s="60">
        <v>0</v>
      </c>
      <c r="S39" s="60">
        <v>0</v>
      </c>
      <c r="T39" s="66">
        <v>0</v>
      </c>
      <c r="U39" s="48"/>
      <c r="V39" s="60">
        <v>0</v>
      </c>
      <c r="W39" s="60">
        <v>0</v>
      </c>
      <c r="X39" s="60">
        <v>0</v>
      </c>
      <c r="Y39" s="60">
        <v>0</v>
      </c>
      <c r="Z39" s="66">
        <v>0</v>
      </c>
      <c r="AA39" s="51"/>
      <c r="AB39" s="60">
        <v>0</v>
      </c>
      <c r="AC39" s="60">
        <v>0</v>
      </c>
      <c r="AD39" s="60">
        <v>0</v>
      </c>
      <c r="AE39" s="60">
        <v>0</v>
      </c>
      <c r="AF39" s="66">
        <v>0</v>
      </c>
      <c r="AG39" s="49"/>
      <c r="AH39" s="60">
        <v>0</v>
      </c>
      <c r="AI39" s="60">
        <v>0</v>
      </c>
      <c r="AJ39" s="50"/>
      <c r="AK39" s="50"/>
      <c r="AL39" s="68"/>
    </row>
    <row r="40" spans="1:38" s="54" customFormat="1" ht="15" customHeight="1">
      <c r="A40" s="111"/>
      <c r="B40" s="157" t="s">
        <v>684</v>
      </c>
      <c r="C40" s="113"/>
      <c r="D40" s="60">
        <v>0</v>
      </c>
      <c r="E40" s="60">
        <v>0</v>
      </c>
      <c r="F40" s="60">
        <v>0</v>
      </c>
      <c r="G40" s="60">
        <v>0</v>
      </c>
      <c r="H40" s="66">
        <v>0</v>
      </c>
      <c r="I40" s="48"/>
      <c r="J40" s="60">
        <v>682892</v>
      </c>
      <c r="K40" s="60">
        <v>-1768</v>
      </c>
      <c r="L40" s="60">
        <v>-1241</v>
      </c>
      <c r="M40" s="60">
        <v>-1625</v>
      </c>
      <c r="N40" s="66">
        <v>678258</v>
      </c>
      <c r="O40" s="48"/>
      <c r="P40" s="60">
        <v>0</v>
      </c>
      <c r="Q40" s="60">
        <v>0</v>
      </c>
      <c r="R40" s="60">
        <v>0</v>
      </c>
      <c r="S40" s="60">
        <v>0</v>
      </c>
      <c r="T40" s="66">
        <v>0</v>
      </c>
      <c r="U40" s="48"/>
      <c r="V40" s="60">
        <v>0</v>
      </c>
      <c r="W40" s="60">
        <v>0</v>
      </c>
      <c r="X40" s="60">
        <v>0</v>
      </c>
      <c r="Y40" s="60">
        <v>0</v>
      </c>
      <c r="Z40" s="66">
        <v>0</v>
      </c>
      <c r="AA40" s="51"/>
      <c r="AB40" s="60">
        <v>0</v>
      </c>
      <c r="AC40" s="60">
        <v>0</v>
      </c>
      <c r="AD40" s="60">
        <v>0</v>
      </c>
      <c r="AE40" s="60">
        <v>0</v>
      </c>
      <c r="AF40" s="66">
        <v>0</v>
      </c>
      <c r="AG40" s="49"/>
      <c r="AH40" s="60">
        <v>0</v>
      </c>
      <c r="AI40" s="60">
        <v>0</v>
      </c>
      <c r="AJ40" s="50"/>
      <c r="AK40" s="50"/>
      <c r="AL40" s="68"/>
    </row>
    <row r="41" spans="1:38" s="54" customFormat="1" ht="15" customHeight="1">
      <c r="A41" s="111"/>
      <c r="B41" s="157" t="s">
        <v>685</v>
      </c>
      <c r="C41" s="113"/>
      <c r="D41" s="66">
        <v>0</v>
      </c>
      <c r="E41" s="66">
        <v>0</v>
      </c>
      <c r="F41" s="66">
        <v>0</v>
      </c>
      <c r="G41" s="66">
        <v>0</v>
      </c>
      <c r="H41" s="66">
        <v>0</v>
      </c>
      <c r="I41" s="66"/>
      <c r="J41" s="66">
        <v>0</v>
      </c>
      <c r="K41" s="66">
        <v>0</v>
      </c>
      <c r="L41" s="66">
        <v>0</v>
      </c>
      <c r="M41" s="66">
        <v>0</v>
      </c>
      <c r="N41" s="66">
        <v>0</v>
      </c>
      <c r="O41" s="66"/>
      <c r="P41" s="66">
        <v>0</v>
      </c>
      <c r="Q41" s="66">
        <v>0</v>
      </c>
      <c r="R41" s="66">
        <v>0</v>
      </c>
      <c r="S41" s="66">
        <v>0</v>
      </c>
      <c r="T41" s="66">
        <v>0</v>
      </c>
      <c r="U41" s="66"/>
      <c r="V41" s="66">
        <v>0</v>
      </c>
      <c r="W41" s="66">
        <v>0</v>
      </c>
      <c r="X41" s="66">
        <v>0</v>
      </c>
      <c r="Y41" s="66">
        <v>0</v>
      </c>
      <c r="Z41" s="66">
        <v>0</v>
      </c>
      <c r="AA41" s="66"/>
      <c r="AB41" s="66">
        <v>0</v>
      </c>
      <c r="AC41" s="66">
        <v>0</v>
      </c>
      <c r="AD41" s="66">
        <v>0</v>
      </c>
      <c r="AE41" s="66">
        <v>0</v>
      </c>
      <c r="AF41" s="66">
        <v>0</v>
      </c>
      <c r="AG41" s="66"/>
      <c r="AH41" s="66">
        <v>0</v>
      </c>
      <c r="AI41" s="66">
        <v>0</v>
      </c>
      <c r="AJ41" s="50"/>
      <c r="AK41" s="50"/>
      <c r="AL41" s="68"/>
    </row>
    <row r="42" spans="1:38" s="54" customFormat="1" ht="15" customHeight="1">
      <c r="A42" s="140"/>
      <c r="B42" s="157" t="s">
        <v>686</v>
      </c>
      <c r="C42" s="27"/>
      <c r="D42" s="60">
        <v>4500</v>
      </c>
      <c r="E42" s="60">
        <v>0</v>
      </c>
      <c r="F42" s="60">
        <v>0</v>
      </c>
      <c r="G42" s="60">
        <v>0</v>
      </c>
      <c r="H42" s="60">
        <v>4500</v>
      </c>
      <c r="I42" s="48"/>
      <c r="J42" s="66">
        <v>24300</v>
      </c>
      <c r="K42" s="60">
        <v>0</v>
      </c>
      <c r="L42" s="60">
        <v>0</v>
      </c>
      <c r="M42" s="60">
        <v>0</v>
      </c>
      <c r="N42" s="66">
        <v>24300</v>
      </c>
      <c r="O42" s="48"/>
      <c r="P42" s="66">
        <v>-1400</v>
      </c>
      <c r="Q42" s="60">
        <v>0</v>
      </c>
      <c r="R42" s="60">
        <v>0</v>
      </c>
      <c r="S42" s="60">
        <v>0</v>
      </c>
      <c r="T42" s="66">
        <v>-1400</v>
      </c>
      <c r="U42" s="48"/>
      <c r="V42" s="66">
        <v>19100</v>
      </c>
      <c r="W42" s="60">
        <v>0</v>
      </c>
      <c r="X42" s="60">
        <v>0</v>
      </c>
      <c r="Y42" s="60">
        <v>0</v>
      </c>
      <c r="Z42" s="66">
        <v>19100</v>
      </c>
      <c r="AA42" s="51"/>
      <c r="AB42" s="60">
        <v>15500</v>
      </c>
      <c r="AC42" s="60">
        <v>0</v>
      </c>
      <c r="AD42" s="60">
        <v>0</v>
      </c>
      <c r="AE42" s="60">
        <v>0</v>
      </c>
      <c r="AF42" s="60">
        <v>15500</v>
      </c>
      <c r="AG42" s="49"/>
      <c r="AH42" s="60">
        <v>64300</v>
      </c>
      <c r="AI42" s="60">
        <v>0</v>
      </c>
      <c r="AJ42" s="50"/>
      <c r="AK42" s="50"/>
      <c r="AL42" s="68"/>
    </row>
    <row r="43" spans="1:38" s="54" customFormat="1" ht="15" customHeight="1">
      <c r="A43" s="111"/>
      <c r="B43" s="157" t="s">
        <v>687</v>
      </c>
      <c r="C43" s="113"/>
      <c r="D43" s="66">
        <v>-34900</v>
      </c>
      <c r="E43" s="60">
        <v>0</v>
      </c>
      <c r="F43" s="60">
        <v>0</v>
      </c>
      <c r="G43" s="60">
        <v>0</v>
      </c>
      <c r="H43" s="66">
        <v>-34900</v>
      </c>
      <c r="I43" s="48"/>
      <c r="J43" s="66">
        <v>-9100</v>
      </c>
      <c r="K43" s="66">
        <v>-9100</v>
      </c>
      <c r="L43" s="66">
        <v>-9100</v>
      </c>
      <c r="M43" s="66">
        <v>-9100</v>
      </c>
      <c r="N43" s="66">
        <f>+SUM(J43:M43)</f>
        <v>-36400</v>
      </c>
      <c r="O43" s="48"/>
      <c r="P43" s="66">
        <v>-13900</v>
      </c>
      <c r="Q43" s="60">
        <v>0</v>
      </c>
      <c r="R43" s="60">
        <v>0</v>
      </c>
      <c r="S43" s="60">
        <v>0</v>
      </c>
      <c r="T43" s="66">
        <v>-13900</v>
      </c>
      <c r="U43" s="48"/>
      <c r="V43" s="66">
        <v>-41400</v>
      </c>
      <c r="W43" s="60">
        <v>0</v>
      </c>
      <c r="X43" s="60">
        <v>0</v>
      </c>
      <c r="Y43" s="60">
        <v>0</v>
      </c>
      <c r="Z43" s="66">
        <v>-41400</v>
      </c>
      <c r="AA43" s="51"/>
      <c r="AB43" s="66">
        <v>-28900</v>
      </c>
      <c r="AC43" s="60">
        <v>0</v>
      </c>
      <c r="AD43" s="60">
        <v>0</v>
      </c>
      <c r="AE43" s="60">
        <v>0</v>
      </c>
      <c r="AF43" s="66">
        <v>-28900</v>
      </c>
      <c r="AG43" s="49"/>
      <c r="AH43" s="60">
        <v>-64500</v>
      </c>
      <c r="AI43" s="60">
        <v>34800</v>
      </c>
      <c r="AJ43" s="50"/>
      <c r="AK43" s="50"/>
      <c r="AL43" s="68"/>
    </row>
    <row r="44" spans="1:38" s="54" customFormat="1" ht="15" customHeight="1">
      <c r="A44" s="111"/>
      <c r="B44" s="157" t="s">
        <v>688</v>
      </c>
      <c r="C44" s="113"/>
      <c r="D44" s="60">
        <v>-3018</v>
      </c>
      <c r="E44" s="60">
        <v>63029</v>
      </c>
      <c r="F44" s="60">
        <v>-93136</v>
      </c>
      <c r="G44" s="60">
        <v>71488</v>
      </c>
      <c r="H44" s="60">
        <v>38363</v>
      </c>
      <c r="I44" s="60"/>
      <c r="J44" s="60">
        <v>130</v>
      </c>
      <c r="K44" s="60">
        <v>3600</v>
      </c>
      <c r="L44" s="60">
        <v>25061</v>
      </c>
      <c r="M44" s="60">
        <v>166674</v>
      </c>
      <c r="N44" s="60">
        <f>+SUM(J44:M44)</f>
        <v>195465</v>
      </c>
      <c r="O44" s="60"/>
      <c r="P44" s="60">
        <v>3343</v>
      </c>
      <c r="Q44" s="60">
        <v>-3040</v>
      </c>
      <c r="R44" s="60">
        <v>-35969</v>
      </c>
      <c r="S44" s="60">
        <v>17236</v>
      </c>
      <c r="T44" s="60">
        <v>-18430</v>
      </c>
      <c r="U44" s="60"/>
      <c r="V44" s="60">
        <v>14095</v>
      </c>
      <c r="W44" s="60">
        <v>-36592</v>
      </c>
      <c r="X44" s="60">
        <v>23653</v>
      </c>
      <c r="Y44" s="60">
        <v>89734</v>
      </c>
      <c r="Z44" s="60">
        <v>90890</v>
      </c>
      <c r="AA44" s="60"/>
      <c r="AB44" s="60">
        <v>147498</v>
      </c>
      <c r="AC44" s="60">
        <v>37728</v>
      </c>
      <c r="AD44" s="60">
        <v>5764</v>
      </c>
      <c r="AE44" s="60">
        <v>40338</v>
      </c>
      <c r="AF44" s="60">
        <v>231328</v>
      </c>
      <c r="AG44" s="60"/>
      <c r="AH44" s="60">
        <v>9977</v>
      </c>
      <c r="AI44" s="60">
        <v>17794</v>
      </c>
      <c r="AJ44" s="50"/>
      <c r="AK44" s="50"/>
      <c r="AL44" s="75"/>
    </row>
    <row r="45" spans="1:38" s="54" customFormat="1" ht="15" customHeight="1" thickBot="1">
      <c r="A45" s="111"/>
      <c r="B45" s="158" t="s">
        <v>689</v>
      </c>
      <c r="C45" s="17"/>
      <c r="D45" s="678">
        <v>-33418</v>
      </c>
      <c r="E45" s="678">
        <v>63029</v>
      </c>
      <c r="F45" s="678">
        <v>-93136</v>
      </c>
      <c r="G45" s="678">
        <v>71488</v>
      </c>
      <c r="H45" s="66">
        <v>7963</v>
      </c>
      <c r="I45" s="48"/>
      <c r="J45" s="678">
        <v>698222</v>
      </c>
      <c r="K45" s="678">
        <v>-7268</v>
      </c>
      <c r="L45" s="678">
        <v>14720</v>
      </c>
      <c r="M45" s="678">
        <v>155949</v>
      </c>
      <c r="N45" s="66">
        <v>861623</v>
      </c>
      <c r="O45" s="48"/>
      <c r="P45" s="678">
        <v>-11957</v>
      </c>
      <c r="Q45" s="678">
        <v>-3040</v>
      </c>
      <c r="R45" s="678">
        <v>-35969</v>
      </c>
      <c r="S45" s="678">
        <v>17236</v>
      </c>
      <c r="T45" s="66">
        <v>-33730</v>
      </c>
      <c r="U45" s="48"/>
      <c r="V45" s="678">
        <v>-8205</v>
      </c>
      <c r="W45" s="678">
        <v>-36592</v>
      </c>
      <c r="X45" s="678">
        <v>23653</v>
      </c>
      <c r="Y45" s="678">
        <v>89734</v>
      </c>
      <c r="Z45" s="66">
        <v>68590</v>
      </c>
      <c r="AA45" s="48"/>
      <c r="AB45" s="678">
        <v>134098</v>
      </c>
      <c r="AC45" s="678">
        <v>37728</v>
      </c>
      <c r="AD45" s="678">
        <v>5764</v>
      </c>
      <c r="AE45" s="678">
        <v>40338</v>
      </c>
      <c r="AF45" s="66">
        <v>217928</v>
      </c>
      <c r="AG45" s="48"/>
      <c r="AH45" s="678">
        <v>9777</v>
      </c>
      <c r="AI45" s="678">
        <v>52594</v>
      </c>
      <c r="AJ45" s="50"/>
      <c r="AK45" s="50"/>
      <c r="AL45" s="93"/>
    </row>
    <row r="46" spans="1:38" s="54" customFormat="1" ht="15" customHeight="1" thickTop="1">
      <c r="A46" s="111"/>
      <c r="B46" s="9"/>
      <c r="C46" s="113"/>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39</v>
      </c>
      <c r="B47" s="156" t="s">
        <v>690</v>
      </c>
      <c r="C47" s="17"/>
      <c r="D47" s="60">
        <v>0</v>
      </c>
      <c r="E47" s="60">
        <v>0</v>
      </c>
      <c r="F47" s="60">
        <v>0</v>
      </c>
      <c r="G47" s="60">
        <v>0</v>
      </c>
      <c r="H47" s="66">
        <v>0</v>
      </c>
      <c r="I47" s="48"/>
      <c r="J47" s="60">
        <v>0</v>
      </c>
      <c r="K47" s="60">
        <v>0</v>
      </c>
      <c r="L47" s="60">
        <v>0</v>
      </c>
      <c r="M47" s="60">
        <v>0</v>
      </c>
      <c r="N47" s="66">
        <v>0</v>
      </c>
      <c r="O47" s="48"/>
      <c r="P47" s="60">
        <v>0</v>
      </c>
      <c r="Q47" s="60">
        <v>0</v>
      </c>
      <c r="R47" s="60">
        <v>0</v>
      </c>
      <c r="S47" s="60">
        <v>0</v>
      </c>
      <c r="T47" s="66">
        <v>0</v>
      </c>
      <c r="U47" s="48"/>
      <c r="V47" s="60">
        <v>0</v>
      </c>
      <c r="W47" s="60">
        <v>0</v>
      </c>
      <c r="X47" s="60">
        <v>0</v>
      </c>
      <c r="Y47" s="60">
        <v>0</v>
      </c>
      <c r="Z47" s="66">
        <v>0</v>
      </c>
      <c r="AA47" s="48"/>
      <c r="AB47" s="60">
        <v>0</v>
      </c>
      <c r="AC47" s="60">
        <v>0</v>
      </c>
      <c r="AD47" s="60">
        <v>0</v>
      </c>
      <c r="AE47" s="60">
        <v>0</v>
      </c>
      <c r="AF47" s="66">
        <v>0</v>
      </c>
      <c r="AG47" s="94"/>
      <c r="AH47" s="60">
        <v>0</v>
      </c>
      <c r="AI47" s="60">
        <v>0</v>
      </c>
      <c r="AJ47" s="50"/>
      <c r="AK47" s="50"/>
      <c r="AL47" s="68"/>
    </row>
    <row r="48" spans="1:38" ht="15" customHeight="1">
      <c r="P48" s="708"/>
      <c r="Q48" s="708"/>
      <c r="R48" s="708"/>
      <c r="S48" s="708"/>
      <c r="T48" s="708"/>
      <c r="U48" s="708"/>
      <c r="V48" s="708"/>
      <c r="W48" s="708"/>
      <c r="X48" s="708"/>
      <c r="Y48" s="708"/>
      <c r="Z48" s="708"/>
      <c r="AA48" s="708"/>
      <c r="AB48" s="708"/>
      <c r="AC48" s="708"/>
      <c r="AD48" s="708"/>
      <c r="AE48" s="708"/>
      <c r="AF48" s="708"/>
      <c r="AG48" s="708"/>
      <c r="AH48" s="708"/>
      <c r="AI48" s="708"/>
    </row>
    <row r="49" spans="1:35" s="54" customFormat="1" ht="15" customHeight="1">
      <c r="A49" s="44" t="s">
        <v>39</v>
      </c>
      <c r="B49" s="156" t="s">
        <v>691</v>
      </c>
      <c r="C49" s="17"/>
      <c r="D49" s="60">
        <v>-18094</v>
      </c>
      <c r="E49" s="60">
        <v>29042</v>
      </c>
      <c r="F49" s="60">
        <v>-39541</v>
      </c>
      <c r="G49" s="60">
        <v>67879</v>
      </c>
      <c r="H49" s="74">
        <v>39286</v>
      </c>
      <c r="I49" s="48"/>
      <c r="J49" s="60">
        <v>-60344</v>
      </c>
      <c r="K49" s="60">
        <v>-12701</v>
      </c>
      <c r="L49" s="60">
        <v>12217</v>
      </c>
      <c r="M49" s="60">
        <v>12422</v>
      </c>
      <c r="N49" s="74">
        <v>-48406</v>
      </c>
      <c r="O49" s="48"/>
      <c r="P49" s="709">
        <v>-6791</v>
      </c>
      <c r="Q49" s="709">
        <v>2410</v>
      </c>
      <c r="R49" s="709">
        <v>-5781</v>
      </c>
      <c r="S49" s="709">
        <v>2824</v>
      </c>
      <c r="T49" s="74">
        <v>-7338</v>
      </c>
      <c r="U49" s="48"/>
      <c r="V49" s="710">
        <v>-434</v>
      </c>
      <c r="W49" s="710">
        <v>3557</v>
      </c>
      <c r="X49" s="710">
        <v>-3166</v>
      </c>
      <c r="Y49" s="710">
        <v>-22388</v>
      </c>
      <c r="Z49" s="74">
        <v>-22431</v>
      </c>
      <c r="AA49" s="48"/>
      <c r="AB49" s="710">
        <v>4775</v>
      </c>
      <c r="AC49" s="710">
        <v>-2682</v>
      </c>
      <c r="AD49" s="710">
        <v>1263</v>
      </c>
      <c r="AE49" s="710">
        <v>3007</v>
      </c>
      <c r="AF49" s="74">
        <v>6363</v>
      </c>
      <c r="AG49" s="94"/>
      <c r="AH49" s="710">
        <v>-13721</v>
      </c>
      <c r="AI49" s="710">
        <v>10038</v>
      </c>
    </row>
    <row r="50" spans="1:35" s="54" customFormat="1" ht="15" customHeight="1">
      <c r="B50" s="156" t="s">
        <v>692</v>
      </c>
      <c r="C50" s="113"/>
      <c r="D50" s="60">
        <v>41671</v>
      </c>
      <c r="E50" s="60">
        <v>70713</v>
      </c>
      <c r="F50" s="60">
        <v>31172</v>
      </c>
      <c r="G50" s="60">
        <v>99051</v>
      </c>
      <c r="H50" s="92">
        <v>99051</v>
      </c>
      <c r="I50" s="48"/>
      <c r="J50" s="60">
        <v>38707</v>
      </c>
      <c r="K50" s="60">
        <v>26006</v>
      </c>
      <c r="L50" s="60">
        <v>38223</v>
      </c>
      <c r="M50" s="60">
        <v>50645</v>
      </c>
      <c r="N50" s="92">
        <v>50645</v>
      </c>
      <c r="O50" s="48"/>
      <c r="P50" s="60">
        <v>43854</v>
      </c>
      <c r="Q50" s="60">
        <v>46264</v>
      </c>
      <c r="R50" s="60">
        <v>40483</v>
      </c>
      <c r="S50" s="60">
        <v>43307</v>
      </c>
      <c r="T50" s="60">
        <v>43307</v>
      </c>
      <c r="U50" s="48"/>
      <c r="V50" s="60">
        <v>42873</v>
      </c>
      <c r="W50" s="60">
        <v>46430</v>
      </c>
      <c r="X50" s="60">
        <v>43264</v>
      </c>
      <c r="Y50" s="60">
        <v>20876</v>
      </c>
      <c r="Z50" s="60">
        <v>20876</v>
      </c>
      <c r="AA50" s="48"/>
      <c r="AB50" s="60">
        <v>25651</v>
      </c>
      <c r="AC50" s="60">
        <v>22969</v>
      </c>
      <c r="AD50" s="60">
        <v>24232</v>
      </c>
      <c r="AE50" s="60">
        <v>27239</v>
      </c>
      <c r="AF50" s="92">
        <v>27239</v>
      </c>
      <c r="AG50" s="94"/>
      <c r="AH50" s="60">
        <v>13518</v>
      </c>
      <c r="AI50" s="60">
        <v>23556</v>
      </c>
    </row>
    <row r="52" spans="1:35" ht="15" customHeight="1">
      <c r="P52" s="708"/>
      <c r="Q52" s="708"/>
      <c r="R52" s="708"/>
      <c r="S52" s="708"/>
      <c r="T52" s="708"/>
      <c r="U52" s="708"/>
      <c r="V52" s="708"/>
      <c r="W52" s="708"/>
      <c r="X52" s="708"/>
      <c r="Y52" s="708"/>
      <c r="Z52" s="708"/>
      <c r="AA52" s="708"/>
      <c r="AB52" s="708"/>
      <c r="AC52" s="708"/>
      <c r="AD52" s="708"/>
      <c r="AE52" s="708"/>
      <c r="AF52" s="708"/>
      <c r="AG52" s="708"/>
      <c r="AH52" s="708"/>
      <c r="AI52" s="708"/>
    </row>
    <row r="59" spans="1:35" ht="15" customHeight="1">
      <c r="P59" s="859">
        <v>0</v>
      </c>
      <c r="Q59" s="859">
        <v>0</v>
      </c>
      <c r="R59" s="859">
        <v>0</v>
      </c>
      <c r="S59" s="859">
        <v>0</v>
      </c>
      <c r="T59" s="66">
        <v>0</v>
      </c>
      <c r="U59" s="48"/>
      <c r="V59" s="859">
        <v>0</v>
      </c>
      <c r="W59" s="859">
        <v>0</v>
      </c>
      <c r="X59" s="859">
        <v>0</v>
      </c>
      <c r="Y59" s="859">
        <v>0</v>
      </c>
      <c r="Z59" s="66">
        <v>0</v>
      </c>
      <c r="AA59" s="860"/>
      <c r="AB59" s="859">
        <v>0</v>
      </c>
      <c r="AC59" s="859">
        <v>0</v>
      </c>
      <c r="AD59" s="859">
        <v>0</v>
      </c>
      <c r="AE59" s="859">
        <v>0</v>
      </c>
      <c r="AF59" s="66">
        <v>0</v>
      </c>
      <c r="AG59" s="861"/>
      <c r="AH59" s="859">
        <v>0</v>
      </c>
      <c r="AI59" s="859">
        <v>0</v>
      </c>
    </row>
    <row r="60" spans="1:35" ht="15" customHeight="1">
      <c r="P60" s="859">
        <v>7118</v>
      </c>
      <c r="Q60" s="859">
        <v>-2840</v>
      </c>
      <c r="R60" s="859">
        <v>-869</v>
      </c>
      <c r="S60" s="859">
        <v>-1484</v>
      </c>
      <c r="T60" s="713">
        <f>+SUM(P60:S60)</f>
        <v>1925</v>
      </c>
      <c r="U60" s="48"/>
      <c r="V60" s="859">
        <v>7783</v>
      </c>
      <c r="W60" s="859">
        <v>178</v>
      </c>
      <c r="X60" s="859">
        <v>-751</v>
      </c>
      <c r="Y60" s="859">
        <v>-2399</v>
      </c>
      <c r="Z60" s="713">
        <f>+SUM(V60:Y60)</f>
        <v>4811</v>
      </c>
      <c r="AA60" s="860"/>
      <c r="AB60" s="859">
        <v>2370</v>
      </c>
      <c r="AC60" s="859">
        <v>-1326</v>
      </c>
      <c r="AD60" s="859">
        <v>1381</v>
      </c>
      <c r="AE60" s="859">
        <v>-7656</v>
      </c>
      <c r="AF60" s="713">
        <f>+SUM(AB60:AE60)</f>
        <v>-5231</v>
      </c>
      <c r="AG60" s="861"/>
      <c r="AH60" s="859">
        <v>2387</v>
      </c>
      <c r="AI60" s="859">
        <v>3790</v>
      </c>
    </row>
    <row r="61" spans="1:35" ht="15" customHeight="1">
      <c r="P61" s="704">
        <v>-39634</v>
      </c>
      <c r="Q61" s="704">
        <v>-4402</v>
      </c>
      <c r="R61" s="704">
        <v>37064</v>
      </c>
      <c r="S61" s="704">
        <v>15285</v>
      </c>
      <c r="T61" s="713">
        <f>+SUM(P61:S61)</f>
        <v>8313</v>
      </c>
      <c r="U61" s="48"/>
      <c r="V61" s="704">
        <v>-1886</v>
      </c>
      <c r="W61" s="704">
        <v>-10146</v>
      </c>
      <c r="X61" s="704">
        <v>-6348</v>
      </c>
      <c r="Y61" s="704">
        <v>-144306</v>
      </c>
      <c r="Z61" s="713">
        <f>+SUM(V61:Y61)</f>
        <v>-162686</v>
      </c>
      <c r="AA61" s="862"/>
      <c r="AB61" s="704">
        <v>-48718</v>
      </c>
      <c r="AC61" s="704">
        <v>-35349</v>
      </c>
      <c r="AD61" s="704">
        <v>-13756</v>
      </c>
      <c r="AE61" s="704">
        <v>-25953</v>
      </c>
      <c r="AF61" s="713">
        <f>+SUM(AB61:AE61)</f>
        <v>-123776</v>
      </c>
      <c r="AG61" s="863"/>
      <c r="AH61" s="704">
        <v>-9938</v>
      </c>
      <c r="AI61" s="704">
        <v>-3487</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zoomScale="70" zoomScaleNormal="70" workbookViewId="0">
      <selection activeCell="H168" sqref="H168"/>
    </sheetView>
  </sheetViews>
  <sheetFormatPr defaultColWidth="9" defaultRowHeight="14.25" customHeight="1" outlineLevelCol="1"/>
  <cols>
    <col min="1" max="1" width="2.125" style="96" customWidth="1"/>
    <col min="2" max="2" width="50.625" style="96" customWidth="1"/>
    <col min="3" max="3" width="3.375" style="23" customWidth="1"/>
    <col min="4" max="7" width="9.625" style="96" hidden="1" customWidth="1" outlineLevel="1"/>
    <col min="8" max="8" width="11.625" style="96" customWidth="1" collapsed="1"/>
    <col min="9" max="9" width="1.625" style="23" customWidth="1"/>
    <col min="10" max="13" width="9.625" style="96" hidden="1" customWidth="1" outlineLevel="1"/>
    <col min="14" max="14" width="11.625" style="96" customWidth="1" collapsed="1"/>
    <col min="15" max="15" width="1.625" style="23" customWidth="1"/>
    <col min="16" max="19" width="9.625" style="96" hidden="1" customWidth="1" outlineLevel="1"/>
    <col min="20" max="20" width="11.625" style="96" customWidth="1" collapsed="1"/>
    <col min="21" max="21" width="1.625" style="23" customWidth="1"/>
    <col min="22" max="25" width="9.625" style="96" hidden="1" customWidth="1" outlineLevel="1"/>
    <col min="26" max="26" width="11.625" style="96" customWidth="1" collapsed="1"/>
    <col min="27" max="27" width="1.625" style="23" customWidth="1"/>
    <col min="28" max="31" width="9.625" style="96" hidden="1" customWidth="1" outlineLevel="1"/>
    <col min="32" max="32" width="11.625" style="96" customWidth="1" collapsed="1"/>
    <col min="33" max="33" width="1.625" style="23" customWidth="1"/>
    <col min="34" max="37" width="9.625" style="96" hidden="1" customWidth="1" outlineLevel="1"/>
    <col min="38" max="38" width="11.625" style="96" customWidth="1" collapsed="1"/>
    <col min="39" max="39" width="1.625" style="23" customWidth="1"/>
    <col min="40" max="43" width="9.625" style="96" customWidth="1" outlineLevel="1"/>
    <col min="44" max="44" width="11.625" style="96" customWidth="1"/>
    <col min="45" max="45" width="1.625" style="23" customWidth="1"/>
    <col min="46" max="46" width="11.625" style="96" customWidth="1"/>
    <col min="47" max="47" width="1.625" style="23" customWidth="1"/>
    <col min="48" max="48" width="11.625" style="103" customWidth="1"/>
    <col min="49" max="49" width="1.625" style="23" customWidth="1"/>
    <col min="50" max="50" width="11.625" style="96" customWidth="1"/>
    <col min="51" max="51" width="1.625" style="96" customWidth="1"/>
    <col min="52" max="16384" width="9" style="96"/>
  </cols>
  <sheetData>
    <row r="1" spans="1:50" s="574" customFormat="1" ht="15" customHeight="1"/>
    <row r="2" spans="1:50" s="574" customFormat="1" ht="15" customHeight="1"/>
    <row r="3" spans="1:50" s="574" customFormat="1" ht="15" customHeight="1"/>
    <row r="4" spans="1:50" s="574" customFormat="1" ht="15" customHeight="1"/>
    <row r="5" spans="1:50" s="286" customFormat="1" ht="3.95" customHeight="1">
      <c r="C5" s="36"/>
      <c r="I5" s="36"/>
      <c r="O5" s="36"/>
      <c r="U5" s="36"/>
      <c r="AA5" s="36"/>
      <c r="AG5" s="36"/>
      <c r="AM5" s="36"/>
      <c r="AS5" s="36"/>
      <c r="AU5" s="36"/>
      <c r="AV5" s="287"/>
      <c r="AW5" s="36"/>
    </row>
    <row r="7" spans="1:50" s="41" customFormat="1" ht="15" customHeight="1">
      <c r="B7" s="159" t="s">
        <v>693</v>
      </c>
      <c r="C7" s="18"/>
      <c r="D7" s="200">
        <f>F7</f>
        <v>2020</v>
      </c>
      <c r="E7" s="200">
        <f>F7</f>
        <v>2020</v>
      </c>
      <c r="F7" s="200">
        <v>2020</v>
      </c>
      <c r="G7" s="200">
        <f>F7</f>
        <v>2020</v>
      </c>
      <c r="H7" s="200">
        <f>F7</f>
        <v>2020</v>
      </c>
      <c r="I7" s="18"/>
      <c r="J7" s="200">
        <f>L7</f>
        <v>2021</v>
      </c>
      <c r="K7" s="200">
        <f>L7</f>
        <v>2021</v>
      </c>
      <c r="L7" s="200">
        <v>2021</v>
      </c>
      <c r="M7" s="200">
        <f>L7</f>
        <v>2021</v>
      </c>
      <c r="N7" s="200">
        <f>L7</f>
        <v>2021</v>
      </c>
      <c r="O7" s="167"/>
      <c r="P7" s="200">
        <f>R7</f>
        <v>2022</v>
      </c>
      <c r="Q7" s="200">
        <f>R7</f>
        <v>2022</v>
      </c>
      <c r="R7" s="200">
        <v>2022</v>
      </c>
      <c r="S7" s="200">
        <f>R7</f>
        <v>2022</v>
      </c>
      <c r="T7" s="200">
        <f>R7</f>
        <v>2022</v>
      </c>
      <c r="U7" s="167"/>
      <c r="V7" s="200">
        <f>X7</f>
        <v>2023</v>
      </c>
      <c r="W7" s="200">
        <f>X7</f>
        <v>2023</v>
      </c>
      <c r="X7" s="200">
        <v>2023</v>
      </c>
      <c r="Y7" s="200">
        <f>X7</f>
        <v>2023</v>
      </c>
      <c r="Z7" s="200">
        <f>X7</f>
        <v>2023</v>
      </c>
      <c r="AA7" s="168"/>
      <c r="AB7" s="200">
        <f>AD7</f>
        <v>2024</v>
      </c>
      <c r="AC7" s="200">
        <f>AD7</f>
        <v>2024</v>
      </c>
      <c r="AD7" s="200">
        <v>2024</v>
      </c>
      <c r="AE7" s="200">
        <f>AD7</f>
        <v>2024</v>
      </c>
      <c r="AF7" s="200">
        <f>AD7</f>
        <v>2024</v>
      </c>
      <c r="AG7" s="168"/>
      <c r="AH7" s="200">
        <f>AJ7</f>
        <v>2025</v>
      </c>
      <c r="AI7" s="200">
        <f>AJ7</f>
        <v>2025</v>
      </c>
      <c r="AJ7" s="201">
        <v>2025</v>
      </c>
      <c r="AK7" s="200">
        <f>AJ7</f>
        <v>2025</v>
      </c>
      <c r="AL7" s="200">
        <f>AJ7</f>
        <v>2025</v>
      </c>
      <c r="AM7" s="169"/>
      <c r="AN7" s="200">
        <f>AP7</f>
        <v>2025</v>
      </c>
      <c r="AO7" s="200">
        <f>AP7</f>
        <v>2025</v>
      </c>
      <c r="AP7" s="201">
        <v>2025</v>
      </c>
      <c r="AQ7" s="200">
        <f>AP7</f>
        <v>2025</v>
      </c>
      <c r="AR7" s="200">
        <f>AP7</f>
        <v>2025</v>
      </c>
      <c r="AS7" s="18"/>
      <c r="AT7" s="160"/>
      <c r="AU7" s="18"/>
      <c r="AV7" s="161"/>
      <c r="AW7" s="18"/>
      <c r="AX7" s="161"/>
    </row>
    <row r="8" spans="1:50" s="41" customFormat="1" ht="15" customHeight="1">
      <c r="B8" s="162"/>
      <c r="C8" s="18"/>
      <c r="D8" s="950">
        <v>2020</v>
      </c>
      <c r="E8" s="950"/>
      <c r="F8" s="950"/>
      <c r="G8" s="950"/>
      <c r="H8" s="950"/>
      <c r="I8" s="167"/>
      <c r="J8" s="950">
        <f>D8+1</f>
        <v>2021</v>
      </c>
      <c r="K8" s="950"/>
      <c r="L8" s="950"/>
      <c r="M8" s="950"/>
      <c r="N8" s="950"/>
      <c r="O8" s="167"/>
      <c r="P8" s="950">
        <f>J8+1</f>
        <v>2022</v>
      </c>
      <c r="Q8" s="950"/>
      <c r="R8" s="950"/>
      <c r="S8" s="950"/>
      <c r="T8" s="950"/>
      <c r="U8" s="167"/>
      <c r="V8" s="950">
        <f>P8+1</f>
        <v>2023</v>
      </c>
      <c r="W8" s="950"/>
      <c r="X8" s="950"/>
      <c r="Y8" s="950"/>
      <c r="Z8" s="950"/>
      <c r="AA8" s="167"/>
      <c r="AB8" s="950">
        <f>V8+1</f>
        <v>2024</v>
      </c>
      <c r="AC8" s="950"/>
      <c r="AD8" s="950"/>
      <c r="AE8" s="950"/>
      <c r="AF8" s="950"/>
      <c r="AG8" s="167"/>
      <c r="AH8" s="949">
        <f>AB8+1</f>
        <v>2025</v>
      </c>
      <c r="AI8" s="949"/>
      <c r="AJ8" s="949"/>
      <c r="AK8" s="949"/>
      <c r="AL8" s="949"/>
      <c r="AM8" s="167"/>
      <c r="AN8" s="949">
        <f>AH8+1</f>
        <v>2026</v>
      </c>
      <c r="AO8" s="949"/>
      <c r="AP8" s="949"/>
      <c r="AQ8" s="949"/>
      <c r="AR8" s="949"/>
      <c r="AS8" s="169"/>
      <c r="AT8" s="164">
        <f>AN8+1</f>
        <v>2027</v>
      </c>
      <c r="AU8" s="165"/>
      <c r="AV8" s="164">
        <f>+AT8+1</f>
        <v>2028</v>
      </c>
      <c r="AW8" s="165"/>
      <c r="AX8" s="164">
        <f>+AV8+1</f>
        <v>2029</v>
      </c>
    </row>
    <row r="9" spans="1:50" s="41" customFormat="1" ht="14.25" customHeight="1">
      <c r="B9" s="162"/>
      <c r="C9" s="18"/>
      <c r="D9" s="166" t="s">
        <v>197</v>
      </c>
      <c r="E9" s="166" t="s">
        <v>198</v>
      </c>
      <c r="F9" s="166" t="s">
        <v>199</v>
      </c>
      <c r="G9" s="166" t="s">
        <v>200</v>
      </c>
      <c r="H9" s="166" t="s">
        <v>201</v>
      </c>
      <c r="I9" s="18"/>
      <c r="J9" s="166" t="s">
        <v>197</v>
      </c>
      <c r="K9" s="166" t="s">
        <v>198</v>
      </c>
      <c r="L9" s="166" t="s">
        <v>199</v>
      </c>
      <c r="M9" s="166" t="s">
        <v>200</v>
      </c>
      <c r="N9" s="166" t="s">
        <v>201</v>
      </c>
      <c r="O9" s="163"/>
      <c r="P9" s="166" t="s">
        <v>197</v>
      </c>
      <c r="Q9" s="166" t="s">
        <v>198</v>
      </c>
      <c r="R9" s="166" t="s">
        <v>199</v>
      </c>
      <c r="S9" s="166" t="s">
        <v>200</v>
      </c>
      <c r="T9" s="166" t="s">
        <v>201</v>
      </c>
      <c r="U9" s="163"/>
      <c r="V9" s="166" t="s">
        <v>197</v>
      </c>
      <c r="W9" s="166" t="s">
        <v>198</v>
      </c>
      <c r="X9" s="166" t="s">
        <v>199</v>
      </c>
      <c r="Y9" s="166" t="s">
        <v>200</v>
      </c>
      <c r="Z9" s="166" t="s">
        <v>201</v>
      </c>
      <c r="AA9" s="163"/>
      <c r="AB9" s="166" t="s">
        <v>197</v>
      </c>
      <c r="AC9" s="166" t="s">
        <v>198</v>
      </c>
      <c r="AD9" s="166" t="s">
        <v>199</v>
      </c>
      <c r="AE9" s="166" t="s">
        <v>200</v>
      </c>
      <c r="AF9" s="166" t="s">
        <v>201</v>
      </c>
      <c r="AG9" s="163"/>
      <c r="AH9" s="166" t="s">
        <v>197</v>
      </c>
      <c r="AI9" s="166" t="s">
        <v>198</v>
      </c>
      <c r="AJ9" s="166" t="s">
        <v>199</v>
      </c>
      <c r="AK9" s="166" t="s">
        <v>200</v>
      </c>
      <c r="AL9" s="166" t="s">
        <v>201</v>
      </c>
      <c r="AM9" s="163"/>
      <c r="AN9" s="166" t="s">
        <v>197</v>
      </c>
      <c r="AO9" s="166" t="s">
        <v>198</v>
      </c>
      <c r="AP9" s="166" t="s">
        <v>199</v>
      </c>
      <c r="AQ9" s="166" t="s">
        <v>200</v>
      </c>
      <c r="AR9" s="166" t="s">
        <v>201</v>
      </c>
      <c r="AS9" s="163"/>
      <c r="AT9" s="166" t="s">
        <v>201</v>
      </c>
      <c r="AU9" s="163"/>
      <c r="AV9" s="166" t="s">
        <v>201</v>
      </c>
      <c r="AW9" s="163"/>
      <c r="AX9" s="166" t="s">
        <v>201</v>
      </c>
    </row>
    <row r="10" spans="1:50" s="41" customFormat="1" ht="3.95" customHeight="1">
      <c r="A10" s="43"/>
      <c r="B10" s="174"/>
      <c r="C10" s="35"/>
      <c r="D10" s="175"/>
      <c r="E10" s="175"/>
      <c r="F10" s="175"/>
      <c r="G10" s="175"/>
      <c r="H10" s="175"/>
      <c r="I10" s="35"/>
      <c r="J10" s="175"/>
      <c r="K10" s="175"/>
      <c r="L10" s="175"/>
      <c r="M10" s="175"/>
      <c r="N10" s="175"/>
      <c r="O10" s="176"/>
      <c r="P10" s="175"/>
      <c r="Q10" s="175"/>
      <c r="R10" s="175"/>
      <c r="S10" s="175"/>
      <c r="T10" s="175"/>
      <c r="U10" s="176"/>
      <c r="V10" s="175"/>
      <c r="W10" s="175"/>
      <c r="X10" s="175"/>
      <c r="Y10" s="175"/>
      <c r="Z10" s="175"/>
      <c r="AA10" s="176"/>
      <c r="AB10" s="175"/>
      <c r="AC10" s="175"/>
      <c r="AD10" s="175"/>
      <c r="AE10" s="175"/>
      <c r="AF10" s="175"/>
      <c r="AG10" s="176"/>
      <c r="AH10" s="175"/>
      <c r="AI10" s="175"/>
      <c r="AJ10" s="175"/>
      <c r="AK10" s="175"/>
      <c r="AL10" s="177"/>
      <c r="AM10" s="178"/>
      <c r="AN10" s="177"/>
      <c r="AO10" s="177"/>
      <c r="AP10" s="177"/>
      <c r="AQ10" s="177"/>
      <c r="AR10" s="177"/>
      <c r="AS10" s="178"/>
      <c r="AT10" s="177"/>
      <c r="AU10" s="178"/>
      <c r="AV10" s="177"/>
      <c r="AW10" s="178"/>
      <c r="AX10" s="177"/>
    </row>
    <row r="11" spans="1:50" s="41" customFormat="1" ht="3.95" customHeight="1">
      <c r="A11" s="43"/>
      <c r="B11" s="170"/>
      <c r="C11" s="19"/>
      <c r="D11" s="171"/>
      <c r="E11" s="171"/>
      <c r="F11" s="171"/>
      <c r="G11" s="171"/>
      <c r="H11" s="171"/>
      <c r="I11" s="19"/>
      <c r="J11" s="171"/>
      <c r="K11" s="171"/>
      <c r="L11" s="171"/>
      <c r="M11" s="171"/>
      <c r="N11" s="171"/>
      <c r="O11" s="172"/>
      <c r="P11" s="171"/>
      <c r="Q11" s="171"/>
      <c r="R11" s="171"/>
      <c r="S11" s="171"/>
      <c r="T11" s="171"/>
      <c r="U11" s="172"/>
      <c r="V11" s="171"/>
      <c r="W11" s="171"/>
      <c r="X11" s="171"/>
      <c r="Y11" s="171"/>
      <c r="Z11" s="171"/>
      <c r="AA11" s="172"/>
      <c r="AB11" s="171"/>
      <c r="AC11" s="171"/>
      <c r="AD11" s="171"/>
      <c r="AE11" s="171"/>
      <c r="AF11" s="171"/>
      <c r="AG11" s="202"/>
      <c r="AH11" s="171"/>
      <c r="AI11" s="171"/>
      <c r="AJ11" s="171"/>
      <c r="AK11" s="171"/>
      <c r="AL11" s="173"/>
      <c r="AM11" s="34"/>
      <c r="AN11" s="173"/>
      <c r="AO11" s="173"/>
      <c r="AP11" s="173"/>
      <c r="AQ11" s="173"/>
      <c r="AR11" s="173"/>
      <c r="AS11" s="34"/>
      <c r="AT11" s="173"/>
      <c r="AU11" s="34"/>
      <c r="AV11" s="173"/>
      <c r="AW11" s="34"/>
      <c r="AX11" s="173"/>
    </row>
    <row r="12" spans="1:50" ht="14.25" customHeight="1">
      <c r="A12" s="44" t="s">
        <v>39</v>
      </c>
      <c r="B12" s="65" t="s">
        <v>588</v>
      </c>
      <c r="D12" s="206"/>
      <c r="E12" s="206"/>
      <c r="F12" s="206"/>
      <c r="G12" s="206"/>
      <c r="H12" s="207"/>
      <c r="I12" s="208"/>
      <c r="J12" s="206"/>
      <c r="K12" s="206"/>
      <c r="L12" s="206"/>
      <c r="M12" s="206"/>
      <c r="N12" s="207"/>
      <c r="O12" s="207"/>
      <c r="P12" s="206"/>
      <c r="Q12" s="206"/>
      <c r="R12" s="206"/>
      <c r="S12" s="206"/>
      <c r="T12" s="207"/>
      <c r="U12" s="207"/>
      <c r="V12" s="206"/>
      <c r="W12" s="206"/>
      <c r="X12" s="206"/>
      <c r="Y12" s="206"/>
      <c r="Z12" s="207"/>
      <c r="AA12" s="207"/>
      <c r="AB12" s="206"/>
      <c r="AC12" s="206"/>
      <c r="AD12" s="206"/>
      <c r="AE12" s="206"/>
      <c r="AF12" s="207"/>
      <c r="AG12" s="209"/>
      <c r="AH12" s="206"/>
      <c r="AI12" s="206"/>
      <c r="AJ12" s="210"/>
      <c r="AK12" s="210"/>
      <c r="AL12" s="207"/>
      <c r="AM12" s="211"/>
      <c r="AN12" s="210"/>
      <c r="AO12" s="210"/>
      <c r="AP12" s="210"/>
      <c r="AQ12" s="210"/>
      <c r="AR12" s="207"/>
      <c r="AS12" s="211"/>
      <c r="AT12" s="212"/>
      <c r="AU12" s="213"/>
      <c r="AV12" s="212"/>
      <c r="AW12" s="213"/>
      <c r="AX12" s="212"/>
    </row>
    <row r="13" spans="1:50" ht="14.25" customHeight="1">
      <c r="A13" s="55"/>
      <c r="B13" s="70" t="s">
        <v>694</v>
      </c>
      <c r="D13" s="206"/>
      <c r="E13" s="206"/>
      <c r="F13" s="206"/>
      <c r="G13" s="206"/>
      <c r="H13" s="207" t="str">
        <f>IF(ROUND(SUM(IS!D13:G13),1)=ROUND(IS!H13,1),"OK","ERROR")</f>
        <v>ERROR</v>
      </c>
      <c r="I13" s="208"/>
      <c r="J13" s="206"/>
      <c r="K13" s="206"/>
      <c r="L13" s="206"/>
      <c r="M13" s="206"/>
      <c r="N13" s="207" t="str">
        <f>IF(ROUND(SUM(IS!J13:M13),1)=ROUND(IS!N13,1),"OK","ERROR")</f>
        <v>ERROR</v>
      </c>
      <c r="O13" s="207"/>
      <c r="P13" s="206"/>
      <c r="Q13" s="206"/>
      <c r="R13" s="206"/>
      <c r="S13" s="206"/>
      <c r="T13" s="207" t="str">
        <f>IF(ROUND(SUM(IS!P13:S13),1)=ROUND(IS!T13,1),"OK","ERROR")</f>
        <v>OK</v>
      </c>
      <c r="U13" s="207"/>
      <c r="V13" s="206"/>
      <c r="W13" s="206"/>
      <c r="X13" s="206"/>
      <c r="Y13" s="206"/>
      <c r="Z13" s="207" t="str">
        <f>IF(ROUND(SUM(IS!V13:Y13),1)=ROUND(IS!Z13,1),"OK","ERROR")</f>
        <v>OK</v>
      </c>
      <c r="AA13" s="207"/>
      <c r="AB13" s="206"/>
      <c r="AC13" s="206"/>
      <c r="AD13" s="206"/>
      <c r="AE13" s="206"/>
      <c r="AF13" s="207" t="str">
        <f>IF(ROUND(SUM(IS!AB13:AE13),1)=ROUND(IS!AF13,1),"OK","ERROR")</f>
        <v>OK</v>
      </c>
      <c r="AG13" s="209"/>
      <c r="AH13" s="206"/>
      <c r="AI13" s="206"/>
      <c r="AJ13" s="210"/>
      <c r="AK13" s="210"/>
      <c r="AL13" s="207" t="str">
        <f>IF(ROUND(SUM(IS!AH13:AK13),1)=ROUND(IS!AL13,1),"OK","ERROR")</f>
        <v>OK</v>
      </c>
      <c r="AM13" s="211"/>
      <c r="AN13" s="210"/>
      <c r="AO13" s="210"/>
      <c r="AP13" s="210"/>
      <c r="AQ13" s="210"/>
      <c r="AR13" s="207" t="str">
        <f>IF(ROUND(SUM(IS!AN13:AQ13),1)=ROUND(IS!AR13,1),"OK","ERROR")</f>
        <v>OK</v>
      </c>
      <c r="AS13" s="211"/>
      <c r="AT13" s="207"/>
      <c r="AU13" s="213"/>
      <c r="AV13" s="207"/>
      <c r="AW13" s="213"/>
      <c r="AX13" s="207"/>
    </row>
    <row r="14" spans="1:50" ht="14.25" customHeight="1">
      <c r="A14" s="55"/>
      <c r="B14" s="70" t="s">
        <v>695</v>
      </c>
      <c r="D14" s="206"/>
      <c r="E14" s="206"/>
      <c r="F14" s="206"/>
      <c r="G14" s="206"/>
      <c r="H14" s="207" t="str">
        <f>IF(ROUND(SUM(IS!D14:G14),1)=ROUND(IS!H14,1),"OK","ERROR")</f>
        <v>ERROR</v>
      </c>
      <c r="I14" s="208"/>
      <c r="J14" s="206"/>
      <c r="K14" s="206"/>
      <c r="L14" s="206"/>
      <c r="M14" s="206"/>
      <c r="N14" s="207" t="str">
        <f>IF(ROUND(SUM(IS!J14:M14),1)=ROUND(IS!N14,1),"OK","ERROR")</f>
        <v>ERROR</v>
      </c>
      <c r="O14" s="207"/>
      <c r="P14" s="206"/>
      <c r="Q14" s="206"/>
      <c r="R14" s="206"/>
      <c r="S14" s="206"/>
      <c r="T14" s="207" t="str">
        <f>IF(ROUND(SUM(IS!P14:S14),1)=ROUND(IS!T14,1),"OK","ERROR")</f>
        <v>OK</v>
      </c>
      <c r="U14" s="207"/>
      <c r="V14" s="206"/>
      <c r="W14" s="206"/>
      <c r="X14" s="206"/>
      <c r="Y14" s="206"/>
      <c r="Z14" s="207" t="str">
        <f>IF(ROUND(SUM(IS!V14:Y14),1)=ROUND(IS!Z14,1),"OK","ERROR")</f>
        <v>OK</v>
      </c>
      <c r="AA14" s="207"/>
      <c r="AB14" s="206"/>
      <c r="AC14" s="206"/>
      <c r="AD14" s="206"/>
      <c r="AE14" s="206"/>
      <c r="AF14" s="207" t="str">
        <f>IF(ROUND(SUM(IS!AB14:AE14),1)=ROUND(IS!AF14,1),"OK","ERROR")</f>
        <v>OK</v>
      </c>
      <c r="AG14" s="209"/>
      <c r="AH14" s="206"/>
      <c r="AI14" s="206"/>
      <c r="AJ14" s="210"/>
      <c r="AK14" s="210"/>
      <c r="AL14" s="207" t="str">
        <f>IF(ROUND(SUM(IS!AH14:AK14),1)=ROUND(IS!AL14,1),"OK","ERROR")</f>
        <v>OK</v>
      </c>
      <c r="AM14" s="211"/>
      <c r="AN14" s="210"/>
      <c r="AO14" s="210"/>
      <c r="AP14" s="210"/>
      <c r="AQ14" s="210"/>
      <c r="AR14" s="207" t="str">
        <f>IF(ROUND(SUM(IS!AN14:AQ14),1)=ROUND(IS!AR14,1),"OK","ERROR")</f>
        <v>OK</v>
      </c>
      <c r="AS14" s="211"/>
      <c r="AT14" s="207"/>
      <c r="AU14" s="213"/>
      <c r="AV14" s="207"/>
      <c r="AW14" s="213"/>
      <c r="AX14" s="207"/>
    </row>
    <row r="15" spans="1:50" ht="14.25" customHeight="1">
      <c r="A15" s="55"/>
      <c r="B15" s="70" t="s">
        <v>696</v>
      </c>
      <c r="D15" s="206"/>
      <c r="E15" s="206"/>
      <c r="F15" s="206"/>
      <c r="G15" s="206"/>
      <c r="H15" s="207" t="str">
        <f>IF(ROUND(SUM(IS!D15:G15),1)=ROUND(IS!H15,1),"OK","ERROR")</f>
        <v>ERROR</v>
      </c>
      <c r="I15" s="208"/>
      <c r="J15" s="206"/>
      <c r="K15" s="206"/>
      <c r="L15" s="206"/>
      <c r="M15" s="206"/>
      <c r="N15" s="207" t="str">
        <f>IF(ROUND(SUM(IS!J15:M15),1)=ROUND(IS!N15,1),"OK","ERROR")</f>
        <v>ERROR</v>
      </c>
      <c r="O15" s="207"/>
      <c r="P15" s="206"/>
      <c r="Q15" s="206"/>
      <c r="R15" s="206"/>
      <c r="S15" s="206"/>
      <c r="T15" s="207" t="str">
        <f>IF(ROUND(SUM(IS!P15:S15),1)=ROUND(IS!T15,1),"OK","ERROR")</f>
        <v>OK</v>
      </c>
      <c r="U15" s="207"/>
      <c r="V15" s="206"/>
      <c r="W15" s="206"/>
      <c r="X15" s="206"/>
      <c r="Y15" s="206"/>
      <c r="Z15" s="207" t="str">
        <f>IF(ROUND(SUM(IS!V15:Y15),1)=ROUND(IS!Z15,1),"OK","ERROR")</f>
        <v>OK</v>
      </c>
      <c r="AA15" s="207"/>
      <c r="AB15" s="206"/>
      <c r="AC15" s="206"/>
      <c r="AD15" s="206"/>
      <c r="AE15" s="206"/>
      <c r="AF15" s="207" t="str">
        <f>IF(ROUND(SUM(IS!AB15:AE15),1)=ROUND(IS!AF15,1),"OK","ERROR")</f>
        <v>OK</v>
      </c>
      <c r="AG15" s="209"/>
      <c r="AH15" s="206"/>
      <c r="AI15" s="206"/>
      <c r="AJ15" s="210"/>
      <c r="AK15" s="210"/>
      <c r="AL15" s="207" t="str">
        <f>IF(ROUND(SUM(IS!AH15:AK15),1)=ROUND(IS!AL15,1),"OK","ERROR")</f>
        <v>OK</v>
      </c>
      <c r="AM15" s="211"/>
      <c r="AN15" s="210"/>
      <c r="AO15" s="210"/>
      <c r="AP15" s="210"/>
      <c r="AQ15" s="210"/>
      <c r="AR15" s="207" t="str">
        <f>IF(ROUND(SUM(IS!AN15:AQ15),1)=ROUND(IS!AR15,1),"OK","ERROR")</f>
        <v>OK</v>
      </c>
      <c r="AS15" s="211"/>
      <c r="AT15" s="207"/>
      <c r="AU15" s="213"/>
      <c r="AV15" s="207"/>
      <c r="AW15" s="213"/>
      <c r="AX15" s="207"/>
    </row>
    <row r="16" spans="1:50" ht="14.25" customHeight="1">
      <c r="A16" s="55"/>
      <c r="B16" s="70" t="s">
        <v>697</v>
      </c>
      <c r="D16" s="206"/>
      <c r="E16" s="206"/>
      <c r="F16" s="206"/>
      <c r="G16" s="206"/>
      <c r="H16" s="214" t="str">
        <f>IF(ROUND(SUM(IS!D16:G16),1)=ROUND(IS!H16,1),"OK","ERROR")</f>
        <v>ERROR</v>
      </c>
      <c r="I16" s="208"/>
      <c r="J16" s="206"/>
      <c r="K16" s="206"/>
      <c r="L16" s="206"/>
      <c r="M16" s="206"/>
      <c r="N16" s="214" t="str">
        <f>IF(ROUND(SUM(IS!J16:M16),1)=ROUND(IS!N16,1),"OK","ERROR")</f>
        <v>ERROR</v>
      </c>
      <c r="O16" s="214"/>
      <c r="P16" s="206"/>
      <c r="Q16" s="206"/>
      <c r="R16" s="206"/>
      <c r="S16" s="206"/>
      <c r="T16" s="214" t="str">
        <f>IF(ROUND(SUM(IS!P16:S16),1)=ROUND(IS!T16,1),"OK","ERROR")</f>
        <v>OK</v>
      </c>
      <c r="U16" s="214"/>
      <c r="V16" s="206"/>
      <c r="W16" s="206"/>
      <c r="X16" s="206"/>
      <c r="Y16" s="206"/>
      <c r="Z16" s="214" t="str">
        <f>IF(ROUND(SUM(IS!V16:Y16),1)=ROUND(IS!Z16,1),"OK","ERROR")</f>
        <v>OK</v>
      </c>
      <c r="AA16" s="214"/>
      <c r="AB16" s="206"/>
      <c r="AC16" s="206"/>
      <c r="AD16" s="206"/>
      <c r="AE16" s="206"/>
      <c r="AF16" s="214" t="str">
        <f>IF(ROUND(SUM(IS!AB16:AE16),1)=ROUND(IS!AF16,1),"OK","ERROR")</f>
        <v>OK</v>
      </c>
      <c r="AG16" s="209"/>
      <c r="AH16" s="206"/>
      <c r="AI16" s="206"/>
      <c r="AJ16" s="210"/>
      <c r="AK16" s="210"/>
      <c r="AL16" s="214" t="str">
        <f>IF(ROUND(SUM(IS!AH16:AK16),1)=ROUND(IS!AL16,1),"OK","ERROR")</f>
        <v>OK</v>
      </c>
      <c r="AM16" s="211"/>
      <c r="AN16" s="210"/>
      <c r="AO16" s="210"/>
      <c r="AP16" s="210"/>
      <c r="AQ16" s="210"/>
      <c r="AR16" s="214" t="str">
        <f>IF(ROUND(SUM(IS!AN16:AQ16),1)=ROUND(IS!AR16,1),"OK","ERROR")</f>
        <v>OK</v>
      </c>
      <c r="AS16" s="211"/>
      <c r="AT16" s="214"/>
      <c r="AU16" s="213"/>
      <c r="AV16" s="214"/>
      <c r="AW16" s="213"/>
      <c r="AX16" s="214"/>
    </row>
    <row r="17" spans="1:44" ht="14.25" customHeight="1">
      <c r="A17" s="55"/>
      <c r="B17" s="70" t="s">
        <v>698</v>
      </c>
      <c r="D17" s="206" t="s">
        <v>699</v>
      </c>
      <c r="E17" s="206"/>
      <c r="F17" s="206"/>
      <c r="G17" s="206"/>
      <c r="H17" s="214" t="str">
        <f>IF(ROUND(SUM(IS!D17:G17),1)=ROUND(IS!H17,1),"OK","ERROR")</f>
        <v>OK</v>
      </c>
      <c r="I17" s="208"/>
      <c r="J17" s="206"/>
      <c r="K17" s="206"/>
      <c r="L17" s="206"/>
      <c r="M17" s="206"/>
      <c r="N17" s="214" t="str">
        <f>IF(ROUND(SUM(IS!J17:M17),1)=ROUND(IS!N17,1),"OK","ERROR")</f>
        <v>OK</v>
      </c>
      <c r="O17" s="214"/>
      <c r="P17" s="206"/>
      <c r="Q17" s="206"/>
      <c r="R17" s="206"/>
      <c r="S17" s="206"/>
      <c r="T17" s="214" t="str">
        <f>IF(ROUND(SUM(IS!P17:S17),1)=ROUND(IS!T17,1),"OK","ERROR")</f>
        <v>OK</v>
      </c>
      <c r="U17" s="214"/>
      <c r="V17" s="206"/>
      <c r="W17" s="206"/>
      <c r="X17" s="206"/>
      <c r="Y17" s="206"/>
      <c r="Z17" s="214" t="str">
        <f>IF(ROUND(SUM(IS!V17:Y17),1)=ROUND(IS!Z17,1),"OK","ERROR")</f>
        <v>OK</v>
      </c>
      <c r="AA17" s="214"/>
      <c r="AB17" s="206"/>
      <c r="AC17" s="206"/>
      <c r="AD17" s="206"/>
      <c r="AE17" s="206"/>
      <c r="AF17" s="214" t="str">
        <f>IF(ROUND(SUM(IS!AB17:AE17),1)=ROUND(IS!AF17,1),"OK","ERROR")</f>
        <v>OK</v>
      </c>
      <c r="AG17" s="209"/>
      <c r="AH17" s="206"/>
      <c r="AI17" s="206"/>
      <c r="AJ17" s="210"/>
      <c r="AK17" s="210"/>
      <c r="AL17" s="214" t="str">
        <f>IF(ROUND(SUM(IS!AH17:AK17),1)=ROUND(IS!AL17,1),"OK","ERROR")</f>
        <v>OK</v>
      </c>
      <c r="AM17" s="211"/>
      <c r="AN17" s="210"/>
      <c r="AO17" s="210"/>
      <c r="AP17" s="210"/>
      <c r="AQ17" s="210"/>
      <c r="AR17" s="214" t="str">
        <f>IF(ROUND(SUM(IS!AN17:AQ17),1)=ROUND(IS!AR17,1),"OK","ERROR")</f>
        <v>OK</v>
      </c>
    </row>
    <row r="18" spans="1:44" ht="14.25" customHeight="1">
      <c r="A18" s="55"/>
      <c r="B18" s="76" t="s">
        <v>209</v>
      </c>
      <c r="D18" s="215"/>
      <c r="E18" s="215"/>
      <c r="F18" s="215" t="s">
        <v>49</v>
      </c>
      <c r="G18" s="215"/>
      <c r="H18" s="216" t="str">
        <f>IF(ROUND(SUM(IS!D18:G18),1)=ROUND(IS!H18,1),"OK","ERROR")</f>
        <v>ERROR</v>
      </c>
      <c r="I18" s="208"/>
      <c r="J18" s="215"/>
      <c r="K18" s="215"/>
      <c r="L18" s="215"/>
      <c r="M18" s="215"/>
      <c r="N18" s="216" t="str">
        <f>IF(ROUND(SUM(IS!J18:M18),1)=ROUND(IS!N18,1),"OK","ERROR")</f>
        <v>ERROR</v>
      </c>
      <c r="O18" s="207"/>
      <c r="P18" s="215"/>
      <c r="Q18" s="215"/>
      <c r="R18" s="215"/>
      <c r="S18" s="215"/>
      <c r="T18" s="216" t="str">
        <f>IF(ROUND(SUM(IS!P18:S18),1)=ROUND(IS!T18,1),"OK","ERROR")</f>
        <v>OK</v>
      </c>
      <c r="U18" s="207"/>
      <c r="V18" s="215"/>
      <c r="W18" s="215"/>
      <c r="X18" s="215"/>
      <c r="Y18" s="215"/>
      <c r="Z18" s="216" t="str">
        <f>IF(ROUND(SUM(IS!V18:Y18),1)=ROUND(IS!Z18,1),"OK","ERROR")</f>
        <v>OK</v>
      </c>
      <c r="AA18" s="207"/>
      <c r="AB18" s="215"/>
      <c r="AC18" s="215"/>
      <c r="AD18" s="215"/>
      <c r="AE18" s="215"/>
      <c r="AF18" s="216" t="str">
        <f>IF(ROUND(SUM(IS!AB18:AE18),1)=ROUND(IS!AF18,1),"OK","ERROR")</f>
        <v>OK</v>
      </c>
      <c r="AG18" s="209"/>
      <c r="AH18" s="215"/>
      <c r="AI18" s="215"/>
      <c r="AJ18" s="217"/>
      <c r="AK18" s="217"/>
      <c r="AL18" s="216" t="str">
        <f>IF(ROUND(SUM(IS!AH18:AK18),1)=ROUND(IS!AL18,1),"OK","ERROR")</f>
        <v>OK</v>
      </c>
      <c r="AM18" s="211"/>
      <c r="AN18" s="217"/>
      <c r="AO18" s="217"/>
      <c r="AP18" s="217"/>
      <c r="AQ18" s="217"/>
      <c r="AR18" s="216" t="str">
        <f>IF(ROUND(SUM(IS!AN18:AQ18),1)=ROUND(IS!AR18,1),"OK","ERROR")</f>
        <v>OK</v>
      </c>
    </row>
    <row r="19" spans="1:44" ht="14.25" customHeight="1">
      <c r="A19" s="55"/>
      <c r="B19" s="64"/>
      <c r="D19" s="206"/>
      <c r="E19" s="206"/>
      <c r="F19" s="206"/>
      <c r="G19" s="206"/>
      <c r="H19" s="207"/>
      <c r="I19" s="208"/>
      <c r="J19" s="206"/>
      <c r="K19" s="206"/>
      <c r="L19" s="206"/>
      <c r="M19" s="206"/>
      <c r="N19" s="207"/>
      <c r="O19" s="207"/>
      <c r="P19" s="206"/>
      <c r="Q19" s="206"/>
      <c r="R19" s="206"/>
      <c r="S19" s="206"/>
      <c r="T19" s="207"/>
      <c r="U19" s="207"/>
      <c r="V19" s="206"/>
      <c r="W19" s="206"/>
      <c r="X19" s="206"/>
      <c r="Y19" s="206"/>
      <c r="Z19" s="207"/>
      <c r="AA19" s="207"/>
      <c r="AB19" s="206"/>
      <c r="AC19" s="206"/>
      <c r="AD19" s="206"/>
      <c r="AE19" s="206"/>
      <c r="AF19" s="207"/>
      <c r="AG19" s="209"/>
      <c r="AH19" s="206"/>
      <c r="AI19" s="206"/>
      <c r="AJ19" s="210"/>
      <c r="AK19" s="210"/>
      <c r="AL19" s="207"/>
      <c r="AM19" s="211"/>
      <c r="AN19" s="210"/>
      <c r="AO19" s="210"/>
      <c r="AP19" s="210"/>
      <c r="AQ19" s="210"/>
      <c r="AR19" s="207"/>
    </row>
    <row r="20" spans="1:44" ht="14.25" customHeight="1">
      <c r="A20" s="44" t="s">
        <v>39</v>
      </c>
      <c r="B20" s="65" t="s">
        <v>590</v>
      </c>
      <c r="D20" s="206"/>
      <c r="E20" s="206"/>
      <c r="F20" s="206"/>
      <c r="G20" s="206"/>
      <c r="H20" s="218"/>
      <c r="I20" s="208"/>
      <c r="J20" s="206"/>
      <c r="K20" s="206"/>
      <c r="L20" s="206"/>
      <c r="M20" s="206"/>
      <c r="N20" s="218"/>
      <c r="O20" s="208"/>
      <c r="P20" s="206"/>
      <c r="Q20" s="206"/>
      <c r="R20" s="206"/>
      <c r="S20" s="206"/>
      <c r="T20" s="218"/>
      <c r="U20" s="208"/>
      <c r="V20" s="206"/>
      <c r="W20" s="206"/>
      <c r="X20" s="206"/>
      <c r="Y20" s="206"/>
      <c r="Z20" s="218"/>
      <c r="AA20" s="211"/>
      <c r="AB20" s="206"/>
      <c r="AC20" s="206"/>
      <c r="AD20" s="206"/>
      <c r="AE20" s="206"/>
      <c r="AF20" s="218"/>
      <c r="AG20" s="209"/>
      <c r="AH20" s="206"/>
      <c r="AI20" s="206"/>
      <c r="AJ20" s="210"/>
      <c r="AK20" s="210"/>
      <c r="AL20" s="218"/>
      <c r="AM20" s="219"/>
      <c r="AN20" s="210"/>
      <c r="AO20" s="210"/>
      <c r="AP20" s="210"/>
      <c r="AQ20" s="210"/>
      <c r="AR20" s="218"/>
    </row>
    <row r="21" spans="1:44" ht="14.25" customHeight="1">
      <c r="A21" s="55"/>
      <c r="B21" s="70" t="s">
        <v>591</v>
      </c>
      <c r="D21" s="215"/>
      <c r="E21" s="215"/>
      <c r="F21" s="215"/>
      <c r="G21" s="215"/>
      <c r="H21" s="218" t="str">
        <f>IF(ROUND(SUM(IS!D21:G21),1)=ROUND(IS!H21,1),"OK","ERROR")</f>
        <v>OK</v>
      </c>
      <c r="I21" s="208"/>
      <c r="J21" s="215"/>
      <c r="K21" s="215"/>
      <c r="L21" s="215"/>
      <c r="M21" s="215"/>
      <c r="N21" s="218" t="str">
        <f>IF(ROUND(SUM(IS!J21:M21),1)=ROUND(IS!N21,1),"OK","ERROR")</f>
        <v>OK</v>
      </c>
      <c r="O21" s="208"/>
      <c r="P21" s="215"/>
      <c r="Q21" s="215"/>
      <c r="R21" s="215"/>
      <c r="S21" s="215"/>
      <c r="T21" s="218" t="str">
        <f>IF(ROUND(SUM(IS!P21:S21),1)=ROUND(IS!T21,1),"OK","ERROR")</f>
        <v>OK</v>
      </c>
      <c r="U21" s="208"/>
      <c r="V21" s="215"/>
      <c r="W21" s="215"/>
      <c r="X21" s="215"/>
      <c r="Y21" s="215"/>
      <c r="Z21" s="218" t="str">
        <f>IF(ROUND(SUM(IS!V21:Y21),1)=ROUND(IS!Z21,1),"OK","ERROR")</f>
        <v>OK</v>
      </c>
      <c r="AA21" s="211"/>
      <c r="AB21" s="215"/>
      <c r="AC21" s="215"/>
      <c r="AD21" s="215"/>
      <c r="AE21" s="215"/>
      <c r="AF21" s="218" t="str">
        <f>IF(ROUND(SUM(IS!AB21:AE21),1)=ROUND(IS!AF21,1),"OK","ERROR")</f>
        <v>OK</v>
      </c>
      <c r="AG21" s="209"/>
      <c r="AH21" s="215"/>
      <c r="AI21" s="215"/>
      <c r="AJ21" s="210"/>
      <c r="AK21" s="210"/>
      <c r="AL21" s="218" t="str">
        <f>IF(ROUND(SUM(IS!AH21:AK21),1)=ROUND(IS!AL21,1),"OK","ERROR")</f>
        <v>OK</v>
      </c>
      <c r="AM21" s="222"/>
      <c r="AN21" s="210"/>
      <c r="AO21" s="210"/>
      <c r="AP21" s="210"/>
      <c r="AQ21" s="210"/>
      <c r="AR21" s="218" t="str">
        <f>IF(ROUND(SUM(IS!AN21:AQ21),1)=ROUND(IS!AR21,1),"OK","ERROR")</f>
        <v>OK</v>
      </c>
    </row>
    <row r="22" spans="1:44" ht="14.25" customHeight="1">
      <c r="A22" s="73"/>
      <c r="B22" s="70" t="s">
        <v>592</v>
      </c>
      <c r="D22" s="215"/>
      <c r="E22" s="206"/>
      <c r="F22" s="206"/>
      <c r="G22" s="206"/>
      <c r="H22" s="224" t="str">
        <f>IF(ROUND(SUM(IS!D22:G22),1)=ROUND(IS!H22,1),"OK","ERROR")</f>
        <v>OK</v>
      </c>
      <c r="I22" s="208"/>
      <c r="J22" s="215"/>
      <c r="K22" s="215"/>
      <c r="L22" s="215"/>
      <c r="M22" s="215"/>
      <c r="N22" s="224" t="str">
        <f>IF(ROUND(SUM(IS!J22:M22),1)=ROUND(IS!N22,1),"OK","ERROR")</f>
        <v>OK</v>
      </c>
      <c r="O22" s="208"/>
      <c r="P22" s="215"/>
      <c r="Q22" s="215"/>
      <c r="R22" s="215"/>
      <c r="S22" s="215"/>
      <c r="T22" s="224" t="str">
        <f>IF(ROUND(SUM(IS!P22:S22),1)=ROUND(IS!T22,1),"OK","ERROR")</f>
        <v>OK</v>
      </c>
      <c r="U22" s="208"/>
      <c r="V22" s="215"/>
      <c r="W22" s="215"/>
      <c r="X22" s="215"/>
      <c r="Y22" s="215"/>
      <c r="Z22" s="224" t="str">
        <f>IF(ROUND(SUM(IS!V22:Y22),1)=ROUND(IS!Z22,1),"OK","ERROR")</f>
        <v>OK</v>
      </c>
      <c r="AA22" s="211"/>
      <c r="AB22" s="215"/>
      <c r="AC22" s="215"/>
      <c r="AD22" s="215"/>
      <c r="AE22" s="215"/>
      <c r="AF22" s="224" t="str">
        <f>IF(ROUND(SUM(IS!AB22:AE22),1)=ROUND(IS!AF22,1),"OK","ERROR")</f>
        <v>OK</v>
      </c>
      <c r="AG22" s="209"/>
      <c r="AH22" s="215"/>
      <c r="AI22" s="215"/>
      <c r="AJ22" s="210"/>
      <c r="AK22" s="210"/>
      <c r="AL22" s="224" t="str">
        <f>IF(ROUND(SUM(IS!AH22:AK22),1)=ROUND(IS!AL22,1),"OK","ERROR")</f>
        <v>OK</v>
      </c>
      <c r="AM22" s="222"/>
      <c r="AN22" s="210"/>
      <c r="AO22" s="210"/>
      <c r="AP22" s="210"/>
      <c r="AQ22" s="210"/>
      <c r="AR22" s="224" t="str">
        <f>IF(ROUND(SUM(IS!AN22:AQ22),1)=ROUND(IS!AR22,1),"OK","ERROR")</f>
        <v>OK</v>
      </c>
    </row>
    <row r="23" spans="1:44" ht="14.25" customHeight="1">
      <c r="A23" s="55"/>
      <c r="B23" s="76" t="s">
        <v>593</v>
      </c>
      <c r="D23" s="206"/>
      <c r="E23" s="206"/>
      <c r="F23" s="206"/>
      <c r="G23" s="206"/>
      <c r="H23" s="225" t="str">
        <f>IF(ROUND(SUM(IS!D23:G23),1)=ROUND(IS!H23,1),"OK","ERROR")</f>
        <v>OK</v>
      </c>
      <c r="I23" s="208"/>
      <c r="J23" s="206"/>
      <c r="K23" s="206"/>
      <c r="L23" s="206"/>
      <c r="M23" s="206"/>
      <c r="N23" s="225" t="str">
        <f>IF(ROUND(SUM(IS!J23:M23),1)=ROUND(IS!N23,1),"OK","ERROR")</f>
        <v>OK</v>
      </c>
      <c r="O23" s="208"/>
      <c r="P23" s="206"/>
      <c r="Q23" s="206"/>
      <c r="R23" s="206"/>
      <c r="S23" s="206"/>
      <c r="T23" s="225" t="str">
        <f>IF(ROUND(SUM(IS!P23:S23),1)=ROUND(IS!T23,1),"OK","ERROR")</f>
        <v>OK</v>
      </c>
      <c r="U23" s="208"/>
      <c r="V23" s="206"/>
      <c r="W23" s="206"/>
      <c r="X23" s="206"/>
      <c r="Y23" s="206"/>
      <c r="Z23" s="225" t="str">
        <f>IF(ROUND(SUM(IS!V23:Y23),1)=ROUND(IS!Z23,1),"OK","ERROR")</f>
        <v>OK</v>
      </c>
      <c r="AA23" s="211"/>
      <c r="AB23" s="206"/>
      <c r="AC23" s="206"/>
      <c r="AD23" s="206"/>
      <c r="AE23" s="206"/>
      <c r="AF23" s="225" t="str">
        <f>IF(ROUND(SUM(IS!AB23:AE23),1)=ROUND(IS!AF23,1),"OK","ERROR")</f>
        <v>OK</v>
      </c>
      <c r="AG23" s="209"/>
      <c r="AH23" s="206"/>
      <c r="AI23" s="206"/>
      <c r="AJ23" s="210"/>
      <c r="AK23" s="210"/>
      <c r="AL23" s="225" t="str">
        <f>IF(ROUND(SUM(IS!AH23:AK23),1)=ROUND(IS!AL23,1),"OK","ERROR")</f>
        <v>OK</v>
      </c>
      <c r="AM23" s="222"/>
      <c r="AN23" s="210"/>
      <c r="AO23" s="210"/>
      <c r="AP23" s="210"/>
      <c r="AQ23" s="210"/>
      <c r="AR23" s="225" t="str">
        <f>IF(ROUND(SUM(IS!AN23:AQ23),1)=ROUND(IS!AR23,1),"OK","ERROR")</f>
        <v>OK</v>
      </c>
    </row>
    <row r="24" spans="1:44" ht="14.25" customHeight="1">
      <c r="A24" s="73"/>
      <c r="B24" s="79" t="s">
        <v>245</v>
      </c>
      <c r="D24" s="206"/>
      <c r="E24" s="206"/>
      <c r="F24" s="206"/>
      <c r="G24" s="206"/>
      <c r="H24" s="225" t="str">
        <f>IF(ROUND(SUM(IS!D24:G24),1)=ROUND(IS!H24,1),"OK","ERROR")</f>
        <v>OK</v>
      </c>
      <c r="I24" s="208"/>
      <c r="J24" s="206"/>
      <c r="K24" s="206"/>
      <c r="L24" s="206"/>
      <c r="M24" s="206"/>
      <c r="N24" s="225" t="str">
        <f>IF(ROUND(SUM(IS!J24:M24),1)=ROUND(IS!N24,1),"OK","ERROR")</f>
        <v>OK</v>
      </c>
      <c r="O24" s="208"/>
      <c r="P24" s="206"/>
      <c r="Q24" s="206"/>
      <c r="R24" s="206"/>
      <c r="S24" s="206"/>
      <c r="T24" s="225" t="str">
        <f>IF(ROUND(SUM(IS!P24:S24),1)=ROUND(IS!T24,1),"OK","ERROR")</f>
        <v>OK</v>
      </c>
      <c r="U24" s="208"/>
      <c r="V24" s="206"/>
      <c r="W24" s="206"/>
      <c r="X24" s="206"/>
      <c r="Y24" s="206"/>
      <c r="Z24" s="225" t="str">
        <f>IF(ROUND(SUM(IS!V24:Y24),1)=ROUND(IS!Z24,1),"OK","ERROR")</f>
        <v>OK</v>
      </c>
      <c r="AA24" s="211"/>
      <c r="AB24" s="206"/>
      <c r="AC24" s="206"/>
      <c r="AD24" s="206"/>
      <c r="AE24" s="206"/>
      <c r="AF24" s="225" t="str">
        <f>IF(ROUND(SUM(IS!AB24:AE24),1)=ROUND(IS!AF24,1),"OK","ERROR")</f>
        <v>OK</v>
      </c>
      <c r="AG24" s="209"/>
      <c r="AH24" s="206"/>
      <c r="AI24" s="206"/>
      <c r="AJ24" s="210"/>
      <c r="AK24" s="210"/>
      <c r="AL24" s="225" t="str">
        <f>IF(ROUND(SUM(IS!AH24:AK24),1)=ROUND(IS!AL24,1),"OK","ERROR")</f>
        <v>OK</v>
      </c>
      <c r="AM24" s="222"/>
      <c r="AN24" s="210"/>
      <c r="AO24" s="210"/>
      <c r="AP24" s="210"/>
      <c r="AQ24" s="210"/>
      <c r="AR24" s="225" t="str">
        <f>IF(ROUND(SUM(IS!AN24:AQ24),1)=ROUND(IS!AR24,1),"OK","ERROR")</f>
        <v>ERROR</v>
      </c>
    </row>
    <row r="25" spans="1:44" ht="14.25" customHeight="1">
      <c r="A25" s="55"/>
      <c r="B25" s="80"/>
      <c r="D25" s="206"/>
      <c r="E25" s="206"/>
      <c r="F25" s="206"/>
      <c r="G25" s="206"/>
      <c r="H25" s="218"/>
      <c r="I25" s="208"/>
      <c r="J25" s="206"/>
      <c r="K25" s="206"/>
      <c r="L25" s="206"/>
      <c r="M25" s="206"/>
      <c r="N25" s="218"/>
      <c r="O25" s="208"/>
      <c r="P25" s="206"/>
      <c r="Q25" s="206"/>
      <c r="R25" s="206"/>
      <c r="S25" s="206"/>
      <c r="T25" s="218"/>
      <c r="U25" s="208"/>
      <c r="V25" s="206"/>
      <c r="W25" s="206"/>
      <c r="X25" s="206"/>
      <c r="Y25" s="206"/>
      <c r="Z25" s="218"/>
      <c r="AA25" s="211"/>
      <c r="AB25" s="206"/>
      <c r="AC25" s="206"/>
      <c r="AD25" s="206"/>
      <c r="AE25" s="206"/>
      <c r="AF25" s="218"/>
      <c r="AG25" s="209"/>
      <c r="AH25" s="206"/>
      <c r="AI25" s="206"/>
      <c r="AJ25" s="210"/>
      <c r="AK25" s="210"/>
      <c r="AL25" s="218"/>
      <c r="AM25" s="222"/>
      <c r="AN25" s="210"/>
      <c r="AO25" s="210"/>
      <c r="AP25" s="210"/>
      <c r="AQ25" s="210"/>
      <c r="AR25" s="218"/>
    </row>
    <row r="26" spans="1:44" ht="14.25" customHeight="1">
      <c r="A26" s="44" t="s">
        <v>39</v>
      </c>
      <c r="B26" s="65" t="s">
        <v>594</v>
      </c>
      <c r="D26" s="206"/>
      <c r="E26" s="206"/>
      <c r="F26" s="206"/>
      <c r="G26" s="206"/>
      <c r="H26" s="218"/>
      <c r="I26" s="208"/>
      <c r="J26" s="206"/>
      <c r="K26" s="206"/>
      <c r="L26" s="206"/>
      <c r="M26" s="206"/>
      <c r="N26" s="218"/>
      <c r="O26" s="208"/>
      <c r="P26" s="206"/>
      <c r="Q26" s="206"/>
      <c r="R26" s="206"/>
      <c r="S26" s="206"/>
      <c r="T26" s="218"/>
      <c r="U26" s="208"/>
      <c r="V26" s="206"/>
      <c r="W26" s="206"/>
      <c r="X26" s="206"/>
      <c r="Y26" s="206"/>
      <c r="Z26" s="218"/>
      <c r="AA26" s="226"/>
      <c r="AB26" s="206"/>
      <c r="AC26" s="206"/>
      <c r="AD26" s="206"/>
      <c r="AE26" s="206"/>
      <c r="AF26" s="218"/>
      <c r="AG26" s="227"/>
      <c r="AH26" s="206"/>
      <c r="AI26" s="206"/>
      <c r="AJ26" s="210"/>
      <c r="AK26" s="210"/>
      <c r="AL26" s="218"/>
      <c r="AM26" s="226"/>
      <c r="AN26" s="210"/>
      <c r="AO26" s="210"/>
      <c r="AP26" s="210"/>
      <c r="AQ26" s="210"/>
      <c r="AR26" s="218"/>
    </row>
    <row r="27" spans="1:44" ht="14.25" customHeight="1">
      <c r="A27" s="84"/>
      <c r="B27" s="70" t="s">
        <v>595</v>
      </c>
      <c r="D27" s="206"/>
      <c r="E27" s="206"/>
      <c r="F27" s="206"/>
      <c r="G27" s="206"/>
      <c r="H27" s="218" t="str">
        <f>IF(ROUND(SUM(IS!D27:G27),1)=ROUND(IS!H27,1),"OK","ERROR")</f>
        <v>OK</v>
      </c>
      <c r="I27" s="208"/>
      <c r="J27" s="206"/>
      <c r="K27" s="206"/>
      <c r="L27" s="206"/>
      <c r="M27" s="206"/>
      <c r="N27" s="218" t="str">
        <f>IF(ROUND(SUM(IS!J27:M27),1)=ROUND(IS!N27,1),"OK","ERROR")</f>
        <v>OK</v>
      </c>
      <c r="O27" s="208"/>
      <c r="P27" s="206"/>
      <c r="Q27" s="206"/>
      <c r="R27" s="206"/>
      <c r="S27" s="206"/>
      <c r="T27" s="218" t="str">
        <f>IF(ROUND(SUM(IS!P27:S27),1)=ROUND(IS!T27,1),"OK","ERROR")</f>
        <v>OK</v>
      </c>
      <c r="U27" s="208"/>
      <c r="V27" s="206"/>
      <c r="W27" s="206"/>
      <c r="X27" s="206"/>
      <c r="Y27" s="206"/>
      <c r="Z27" s="218" t="str">
        <f>IF(ROUND(SUM(IS!V27:Y27),1)=ROUND(IS!Z27,1),"OK","ERROR")</f>
        <v>OK</v>
      </c>
      <c r="AA27" s="226"/>
      <c r="AB27" s="206"/>
      <c r="AC27" s="206"/>
      <c r="AD27" s="206"/>
      <c r="AE27" s="206"/>
      <c r="AF27" s="218" t="str">
        <f>IF(ROUND(SUM(IS!AB27:AE27),1)=ROUND(IS!AF27,1),"OK","ERROR")</f>
        <v>OK</v>
      </c>
      <c r="AG27" s="227"/>
      <c r="AH27" s="206"/>
      <c r="AI27" s="206"/>
      <c r="AJ27" s="210"/>
      <c r="AK27" s="210"/>
      <c r="AL27" s="218" t="str">
        <f>IF(ROUND(SUM(IS!AH27:AK27),1)=ROUND(IS!AL27,1),"OK","ERROR")</f>
        <v>OK</v>
      </c>
      <c r="AM27" s="226"/>
      <c r="AN27" s="210"/>
      <c r="AO27" s="210"/>
      <c r="AP27" s="210"/>
      <c r="AQ27" s="210"/>
      <c r="AR27" s="218" t="str">
        <f>IF(ROUND(SUM(IS!AN27:AQ27),1)=ROUND(IS!AR27,1),"OK","ERROR")</f>
        <v>OK</v>
      </c>
    </row>
    <row r="28" spans="1:44" ht="14.25" customHeight="1">
      <c r="A28" s="55"/>
      <c r="B28" s="70" t="s">
        <v>596</v>
      </c>
      <c r="D28" s="206"/>
      <c r="E28" s="206"/>
      <c r="F28" s="206"/>
      <c r="G28" s="206"/>
      <c r="H28" s="218" t="str">
        <f>IF(ROUND(SUM(IS!D28:G28),1)=ROUND(IS!H28,1),"OK","ERROR")</f>
        <v>OK</v>
      </c>
      <c r="I28" s="208"/>
      <c r="J28" s="206"/>
      <c r="K28" s="206"/>
      <c r="L28" s="206"/>
      <c r="M28" s="206"/>
      <c r="N28" s="218" t="str">
        <f>IF(ROUND(SUM(IS!J28:M28),1)=ROUND(IS!N28,1),"OK","ERROR")</f>
        <v>OK</v>
      </c>
      <c r="O28" s="208"/>
      <c r="P28" s="206"/>
      <c r="Q28" s="206"/>
      <c r="R28" s="206"/>
      <c r="S28" s="206"/>
      <c r="T28" s="218" t="str">
        <f>IF(ROUND(SUM(IS!P28:S28),1)=ROUND(IS!T28,1),"OK","ERROR")</f>
        <v>OK</v>
      </c>
      <c r="U28" s="208"/>
      <c r="V28" s="206"/>
      <c r="W28" s="206"/>
      <c r="X28" s="206"/>
      <c r="Y28" s="206"/>
      <c r="Z28" s="218" t="str">
        <f>IF(ROUND(SUM(IS!V28:Y28),1)=ROUND(IS!Z28,1),"OK","ERROR")</f>
        <v>OK</v>
      </c>
      <c r="AA28" s="211"/>
      <c r="AB28" s="206"/>
      <c r="AC28" s="206"/>
      <c r="AD28" s="206"/>
      <c r="AE28" s="206"/>
      <c r="AF28" s="218" t="str">
        <f>IF(ROUND(SUM(IS!AB28:AE28),1)=ROUND(IS!AF28,1),"OK","ERROR")</f>
        <v>OK</v>
      </c>
      <c r="AG28" s="209"/>
      <c r="AH28" s="206"/>
      <c r="AI28" s="206"/>
      <c r="AJ28" s="210"/>
      <c r="AK28" s="210"/>
      <c r="AL28" s="218" t="str">
        <f>IF(ROUND(SUM(IS!AH28:AK28),1)=ROUND(IS!AL28,1),"OK","ERROR")</f>
        <v>ERROR</v>
      </c>
      <c r="AM28" s="222"/>
      <c r="AN28" s="210"/>
      <c r="AO28" s="210"/>
      <c r="AP28" s="210"/>
      <c r="AQ28" s="210"/>
      <c r="AR28" s="218" t="str">
        <f>IF(ROUND(SUM(IS!AN28:AQ28),1)=ROUND(IS!AR28,1),"OK","ERROR")</f>
        <v>OK</v>
      </c>
    </row>
    <row r="29" spans="1:44" ht="14.25" customHeight="1">
      <c r="A29" s="73"/>
      <c r="B29" s="70" t="s">
        <v>597</v>
      </c>
      <c r="D29" s="206"/>
      <c r="E29" s="206"/>
      <c r="F29" s="206"/>
      <c r="G29" s="206"/>
      <c r="H29" s="218" t="str">
        <f>IF(ROUND(SUM(IS!D29:G29),1)=ROUND(IS!H29,1),"OK","ERROR")</f>
        <v>OK</v>
      </c>
      <c r="I29" s="208"/>
      <c r="J29" s="206"/>
      <c r="K29" s="206"/>
      <c r="L29" s="206"/>
      <c r="M29" s="206"/>
      <c r="N29" s="218" t="str">
        <f>IF(ROUND(SUM(IS!J29:M29),1)=ROUND(IS!N29,1),"OK","ERROR")</f>
        <v>OK</v>
      </c>
      <c r="O29" s="208"/>
      <c r="P29" s="206"/>
      <c r="Q29" s="206"/>
      <c r="R29" s="206"/>
      <c r="S29" s="206"/>
      <c r="T29" s="218" t="str">
        <f>IF(ROUND(SUM(IS!P29:S29),1)=ROUND(IS!T29,1),"OK","ERROR")</f>
        <v>OK</v>
      </c>
      <c r="U29" s="208"/>
      <c r="V29" s="206"/>
      <c r="W29" s="206"/>
      <c r="X29" s="206"/>
      <c r="Y29" s="206"/>
      <c r="Z29" s="218" t="str">
        <f>IF(ROUND(SUM(IS!V29:Y29),1)=ROUND(IS!Z29,1),"OK","ERROR")</f>
        <v>OK</v>
      </c>
      <c r="AA29" s="226"/>
      <c r="AB29" s="206"/>
      <c r="AC29" s="206"/>
      <c r="AD29" s="206"/>
      <c r="AE29" s="206"/>
      <c r="AF29" s="218" t="str">
        <f>IF(ROUND(SUM(IS!AB29:AE29),1)=ROUND(IS!AF29,1),"OK","ERROR")</f>
        <v>OK</v>
      </c>
      <c r="AG29" s="227"/>
      <c r="AH29" s="206"/>
      <c r="AI29" s="206"/>
      <c r="AJ29" s="210"/>
      <c r="AK29" s="210"/>
      <c r="AL29" s="218" t="str">
        <f>IF(ROUND(SUM(IS!AH29:AK29),1)=ROUND(IS!AL29,1),"OK","ERROR")</f>
        <v>OK</v>
      </c>
      <c r="AM29" s="226"/>
      <c r="AN29" s="210"/>
      <c r="AO29" s="210"/>
      <c r="AP29" s="210"/>
      <c r="AQ29" s="210"/>
      <c r="AR29" s="218" t="str">
        <f>IF(ROUND(SUM(IS!AN29:AQ29),1)=ROUND(IS!AR29,1),"OK","ERROR")</f>
        <v>OK</v>
      </c>
    </row>
    <row r="30" spans="1:44" ht="14.25" customHeight="1">
      <c r="A30" s="55"/>
      <c r="B30" s="70" t="s">
        <v>598</v>
      </c>
      <c r="D30" s="206"/>
      <c r="E30" s="206"/>
      <c r="F30" s="206"/>
      <c r="G30" s="206"/>
      <c r="H30" s="224" t="str">
        <f>IF(ROUND(SUM(IS!D30:G30),1)=ROUND(IS!H30,1),"OK","ERROR")</f>
        <v>OK</v>
      </c>
      <c r="I30" s="208"/>
      <c r="J30" s="206"/>
      <c r="K30" s="206"/>
      <c r="L30" s="206"/>
      <c r="M30" s="206"/>
      <c r="N30" s="224" t="str">
        <f>IF(ROUND(SUM(IS!J30:M30),1)=ROUND(IS!N30,1),"OK","ERROR")</f>
        <v>OK</v>
      </c>
      <c r="O30" s="208"/>
      <c r="P30" s="206"/>
      <c r="Q30" s="206"/>
      <c r="R30" s="206"/>
      <c r="S30" s="206"/>
      <c r="T30" s="224" t="str">
        <f>IF(ROUND(SUM(IS!P30:S30),1)=ROUND(IS!T30,1),"OK","ERROR")</f>
        <v>OK</v>
      </c>
      <c r="U30" s="208"/>
      <c r="V30" s="206"/>
      <c r="W30" s="206"/>
      <c r="X30" s="206"/>
      <c r="Y30" s="206"/>
      <c r="Z30" s="224" t="str">
        <f>IF(ROUND(SUM(IS!V30:Y30),1)=ROUND(IS!Z30,1),"OK","ERROR")</f>
        <v>OK</v>
      </c>
      <c r="AA30" s="211"/>
      <c r="AB30" s="206"/>
      <c r="AC30" s="206"/>
      <c r="AD30" s="206"/>
      <c r="AE30" s="206"/>
      <c r="AF30" s="224" t="str">
        <f>IF(ROUND(SUM(IS!AB30:AE30),1)=ROUND(IS!AF30,1),"OK","ERROR")</f>
        <v>OK</v>
      </c>
      <c r="AG30" s="209"/>
      <c r="AH30" s="206"/>
      <c r="AI30" s="206"/>
      <c r="AJ30" s="210"/>
      <c r="AK30" s="210"/>
      <c r="AL30" s="224" t="str">
        <f>IF(ROUND(SUM(IS!AH30:AK30),1)=ROUND(IS!AL30,1),"OK","ERROR")</f>
        <v>ERROR</v>
      </c>
      <c r="AM30" s="222"/>
      <c r="AN30" s="210"/>
      <c r="AO30" s="210"/>
      <c r="AP30" s="210"/>
      <c r="AQ30" s="210"/>
      <c r="AR30" s="224" t="str">
        <f>IF(ROUND(SUM(IS!AN30:AQ30),1)=ROUND(IS!AR30,1),"OK","ERROR")</f>
        <v>OK</v>
      </c>
    </row>
    <row r="31" spans="1:44" ht="14.25" customHeight="1">
      <c r="A31" s="73"/>
      <c r="B31" s="76" t="s">
        <v>599</v>
      </c>
      <c r="D31" s="206"/>
      <c r="E31" s="206"/>
      <c r="F31" s="206"/>
      <c r="G31" s="206"/>
      <c r="H31" s="229" t="str">
        <f>IF(ROUND(SUM(IS!D31:G31),1)=ROUND(IS!H31,1),"OK","ERROR")</f>
        <v>OK</v>
      </c>
      <c r="I31" s="208"/>
      <c r="J31" s="206"/>
      <c r="K31" s="206"/>
      <c r="L31" s="206"/>
      <c r="M31" s="206"/>
      <c r="N31" s="229" t="str">
        <f>IF(ROUND(SUM(IS!J31:M31),1)=ROUND(IS!N31,1),"OK","ERROR")</f>
        <v>OK</v>
      </c>
      <c r="O31" s="208"/>
      <c r="P31" s="206"/>
      <c r="Q31" s="206"/>
      <c r="R31" s="206"/>
      <c r="S31" s="206"/>
      <c r="T31" s="229" t="str">
        <f>IF(ROUND(SUM(IS!P31:S31),1)=ROUND(IS!T31,1),"OK","ERROR")</f>
        <v>OK</v>
      </c>
      <c r="U31" s="208"/>
      <c r="V31" s="206"/>
      <c r="W31" s="206"/>
      <c r="X31" s="206"/>
      <c r="Y31" s="206"/>
      <c r="Z31" s="229" t="str">
        <f>IF(ROUND(SUM(IS!V31:Y31),1)=ROUND(IS!Z31,1),"OK","ERROR")</f>
        <v>OK</v>
      </c>
      <c r="AA31" s="226"/>
      <c r="AB31" s="206"/>
      <c r="AC31" s="206"/>
      <c r="AD31" s="206"/>
      <c r="AE31" s="206"/>
      <c r="AF31" s="229" t="str">
        <f>IF(ROUND(SUM(IS!AB31:AE31),1)=ROUND(IS!AF31,1),"OK","ERROR")</f>
        <v>OK</v>
      </c>
      <c r="AG31" s="227"/>
      <c r="AH31" s="206"/>
      <c r="AI31" s="206"/>
      <c r="AJ31" s="210"/>
      <c r="AK31" s="210"/>
      <c r="AL31" s="229" t="str">
        <f>IF(ROUND(SUM(IS!AH31:AK31),1)=ROUND(IS!AL31,1),"OK","ERROR")</f>
        <v>ERROR</v>
      </c>
      <c r="AM31" s="226"/>
      <c r="AN31" s="210"/>
      <c r="AO31" s="210"/>
      <c r="AP31" s="210"/>
      <c r="AQ31" s="210"/>
      <c r="AR31" s="229" t="str">
        <f>IF(ROUND(SUM(IS!AN31:AQ31),1)=ROUND(IS!AR31,1),"OK","ERROR")</f>
        <v>OK</v>
      </c>
    </row>
    <row r="32" spans="1:44" ht="14.25" customHeight="1">
      <c r="A32" s="73"/>
      <c r="B32" s="76" t="s">
        <v>600</v>
      </c>
      <c r="D32" s="206"/>
      <c r="E32" s="206"/>
      <c r="F32" s="206"/>
      <c r="G32" s="206"/>
      <c r="H32" s="224" t="str">
        <f>IF(ROUND(SUM(IS!D32:G32),1)=ROUND(IS!H32,1),"OK","ERROR")</f>
        <v>OK</v>
      </c>
      <c r="I32" s="208"/>
      <c r="J32" s="206"/>
      <c r="K32" s="206"/>
      <c r="L32" s="206"/>
      <c r="M32" s="206"/>
      <c r="N32" s="224" t="str">
        <f>IF(ROUND(SUM(IS!J32:M32),1)=ROUND(IS!N32,1),"OK","ERROR")</f>
        <v>OK</v>
      </c>
      <c r="O32" s="208"/>
      <c r="P32" s="206"/>
      <c r="Q32" s="206"/>
      <c r="R32" s="206"/>
      <c r="S32" s="206"/>
      <c r="T32" s="224" t="str">
        <f>IF(ROUND(SUM(IS!P32:S32),1)=ROUND(IS!T32,1),"OK","ERROR")</f>
        <v>OK</v>
      </c>
      <c r="U32" s="208"/>
      <c r="V32" s="206"/>
      <c r="W32" s="206"/>
      <c r="X32" s="206"/>
      <c r="Y32" s="206"/>
      <c r="Z32" s="224" t="str">
        <f>IF(ROUND(SUM(IS!V32:Y32),1)=ROUND(IS!Z32,1),"OK","ERROR")</f>
        <v>OK</v>
      </c>
      <c r="AA32" s="230"/>
      <c r="AB32" s="206"/>
      <c r="AC32" s="206"/>
      <c r="AD32" s="206"/>
      <c r="AE32" s="206"/>
      <c r="AF32" s="224" t="str">
        <f>IF(ROUND(SUM(IS!AB32:AE32),1)=ROUND(IS!AF32,1),"OK","ERROR")</f>
        <v>OK</v>
      </c>
      <c r="AG32" s="227"/>
      <c r="AH32" s="206"/>
      <c r="AI32" s="206"/>
      <c r="AJ32" s="210"/>
      <c r="AK32" s="210"/>
      <c r="AL32" s="224" t="str">
        <f>IF(ROUND(SUM(IS!AH32:AK32),1)=ROUND(IS!AL32,1),"OK","ERROR")</f>
        <v>ERROR</v>
      </c>
      <c r="AM32" s="230"/>
      <c r="AN32" s="210"/>
      <c r="AO32" s="210"/>
      <c r="AP32" s="210"/>
      <c r="AQ32" s="210"/>
      <c r="AR32" s="224" t="str">
        <f>IF(ROUND(SUM(IS!AN32:AQ32),1)=ROUND(IS!AR32,1),"OK","ERROR")</f>
        <v>OK</v>
      </c>
    </row>
    <row r="33" spans="1:44" ht="14.25" customHeight="1">
      <c r="A33" s="55"/>
      <c r="B33" s="79" t="s">
        <v>601</v>
      </c>
      <c r="D33" s="206"/>
      <c r="E33" s="206"/>
      <c r="F33" s="206"/>
      <c r="G33" s="206"/>
      <c r="H33" s="224" t="str">
        <f>IF(ROUND(SUM(IS!D33:G33),1)=ROUND(IS!H33,1),"OK","ERROR")</f>
        <v>OK</v>
      </c>
      <c r="I33" s="208"/>
      <c r="J33" s="206"/>
      <c r="K33" s="206"/>
      <c r="L33" s="206"/>
      <c r="M33" s="206"/>
      <c r="N33" s="224" t="str">
        <f>IF(ROUND(SUM(IS!J33:M33),1)=ROUND(IS!N33,1),"OK","ERROR")</f>
        <v>OK</v>
      </c>
      <c r="O33" s="208"/>
      <c r="P33" s="206"/>
      <c r="Q33" s="206"/>
      <c r="R33" s="206"/>
      <c r="S33" s="206"/>
      <c r="T33" s="224" t="str">
        <f>IF(ROUND(SUM(IS!P33:S33),1)=ROUND(IS!T33,1),"OK","ERROR")</f>
        <v>OK</v>
      </c>
      <c r="U33" s="208"/>
      <c r="V33" s="206"/>
      <c r="W33" s="206"/>
      <c r="X33" s="206"/>
      <c r="Y33" s="206"/>
      <c r="Z33" s="224" t="str">
        <f>IF(ROUND(SUM(IS!V33:Y33),1)=ROUND(IS!Z33,1),"OK","ERROR")</f>
        <v>OK</v>
      </c>
      <c r="AA33" s="211"/>
      <c r="AB33" s="206"/>
      <c r="AC33" s="206"/>
      <c r="AD33" s="206"/>
      <c r="AE33" s="206"/>
      <c r="AF33" s="224" t="str">
        <f>IF(ROUND(SUM(IS!AB33:AE33),1)=ROUND(IS!AF33,1),"OK","ERROR")</f>
        <v>OK</v>
      </c>
      <c r="AG33" s="209"/>
      <c r="AH33" s="206"/>
      <c r="AI33" s="206"/>
      <c r="AJ33" s="210"/>
      <c r="AK33" s="210"/>
      <c r="AL33" s="224" t="str">
        <f>IF(ROUND(SUM(IS!AH33:AK33),1)=ROUND(IS!AL33,1),"OK","ERROR")</f>
        <v>ERROR</v>
      </c>
      <c r="AM33" s="222"/>
      <c r="AN33" s="210"/>
      <c r="AO33" s="210"/>
      <c r="AP33" s="210"/>
      <c r="AQ33" s="210"/>
      <c r="AR33" s="224" t="str">
        <f>IF(ROUND(SUM(IS!AN33:AQ33),1)=ROUND(IS!AR33,1),"OK","ERROR")</f>
        <v>OK</v>
      </c>
    </row>
    <row r="34" spans="1:44" ht="14.25" customHeight="1">
      <c r="A34" s="73"/>
      <c r="B34" s="204"/>
      <c r="D34" s="206"/>
      <c r="E34" s="206"/>
      <c r="F34" s="206"/>
      <c r="G34" s="206"/>
      <c r="H34" s="218"/>
      <c r="I34" s="208"/>
      <c r="J34" s="206"/>
      <c r="K34" s="206"/>
      <c r="L34" s="206"/>
      <c r="M34" s="206"/>
      <c r="N34" s="218"/>
      <c r="O34" s="208"/>
      <c r="P34" s="206"/>
      <c r="Q34" s="206"/>
      <c r="R34" s="206"/>
      <c r="S34" s="206"/>
      <c r="T34" s="218"/>
      <c r="U34" s="208"/>
      <c r="V34" s="206"/>
      <c r="W34" s="206"/>
      <c r="X34" s="206"/>
      <c r="Y34" s="206"/>
      <c r="Z34" s="218"/>
      <c r="AA34" s="226"/>
      <c r="AB34" s="206"/>
      <c r="AC34" s="206"/>
      <c r="AD34" s="206"/>
      <c r="AE34" s="206"/>
      <c r="AF34" s="218"/>
      <c r="AG34" s="227"/>
      <c r="AH34" s="206"/>
      <c r="AI34" s="206"/>
      <c r="AJ34" s="210"/>
      <c r="AK34" s="210"/>
      <c r="AL34" s="218"/>
      <c r="AM34" s="231"/>
      <c r="AN34" s="210"/>
      <c r="AO34" s="210"/>
      <c r="AP34" s="210"/>
      <c r="AQ34" s="210"/>
      <c r="AR34" s="218"/>
    </row>
    <row r="35" spans="1:44" ht="14.25" customHeight="1">
      <c r="A35" s="44" t="s">
        <v>39</v>
      </c>
      <c r="B35" s="65" t="s">
        <v>602</v>
      </c>
      <c r="D35" s="206"/>
      <c r="E35" s="206"/>
      <c r="F35" s="206"/>
      <c r="G35" s="206"/>
      <c r="H35" s="218"/>
      <c r="I35" s="208"/>
      <c r="J35" s="206"/>
      <c r="K35" s="206"/>
      <c r="L35" s="206"/>
      <c r="M35" s="206"/>
      <c r="N35" s="218"/>
      <c r="O35" s="208"/>
      <c r="P35" s="206"/>
      <c r="Q35" s="206"/>
      <c r="R35" s="206"/>
      <c r="S35" s="206"/>
      <c r="T35" s="218"/>
      <c r="U35" s="208"/>
      <c r="V35" s="206"/>
      <c r="W35" s="206"/>
      <c r="X35" s="206"/>
      <c r="Y35" s="206"/>
      <c r="Z35" s="218"/>
      <c r="AA35" s="211"/>
      <c r="AB35" s="206"/>
      <c r="AC35" s="206"/>
      <c r="AD35" s="206"/>
      <c r="AE35" s="206"/>
      <c r="AF35" s="218"/>
      <c r="AG35" s="209"/>
      <c r="AH35" s="206"/>
      <c r="AI35" s="206"/>
      <c r="AJ35" s="210"/>
      <c r="AK35" s="210"/>
      <c r="AL35" s="218"/>
      <c r="AM35" s="222"/>
      <c r="AN35" s="210"/>
      <c r="AO35" s="210"/>
      <c r="AP35" s="210"/>
      <c r="AQ35" s="210"/>
      <c r="AR35" s="218"/>
    </row>
    <row r="36" spans="1:44" ht="14.25" customHeight="1">
      <c r="A36" s="44"/>
      <c r="B36" s="70" t="s">
        <v>603</v>
      </c>
      <c r="D36" s="206"/>
      <c r="E36" s="206"/>
      <c r="F36" s="206"/>
      <c r="G36" s="206"/>
      <c r="H36" s="218" t="str">
        <f>IF(ROUND(SUM(IS!D36:G36),1)=ROUND(IS!H36,1),"OK","ERROR")</f>
        <v>OK</v>
      </c>
      <c r="I36" s="208"/>
      <c r="J36" s="206"/>
      <c r="K36" s="206"/>
      <c r="L36" s="206"/>
      <c r="M36" s="206"/>
      <c r="N36" s="218" t="str">
        <f>IF(ROUND(SUM(IS!J36:M36),1)=ROUND(IS!N36,1),"OK","ERROR")</f>
        <v>OK</v>
      </c>
      <c r="O36" s="208"/>
      <c r="P36" s="206"/>
      <c r="Q36" s="206"/>
      <c r="R36" s="206"/>
      <c r="S36" s="206"/>
      <c r="T36" s="218" t="str">
        <f>IF(ROUND(SUM(IS!P36:S36),1)=ROUND(IS!T36,1),"OK","ERROR")</f>
        <v>OK</v>
      </c>
      <c r="U36" s="208"/>
      <c r="V36" s="206"/>
      <c r="W36" s="206"/>
      <c r="X36" s="206"/>
      <c r="Y36" s="206"/>
      <c r="Z36" s="218" t="str">
        <f>IF(ROUND(SUM(IS!V36:Y36),1)=ROUND(IS!Z36,1),"OK","ERROR")</f>
        <v>OK</v>
      </c>
      <c r="AA36" s="211"/>
      <c r="AB36" s="206"/>
      <c r="AC36" s="206"/>
      <c r="AD36" s="206"/>
      <c r="AE36" s="206"/>
      <c r="AF36" s="218" t="str">
        <f>IF(ROUND(SUM(IS!AB36:AE36),1)=ROUND(IS!AF36,1),"OK","ERROR")</f>
        <v>OK</v>
      </c>
      <c r="AG36" s="209"/>
      <c r="AH36" s="206"/>
      <c r="AI36" s="206"/>
      <c r="AJ36" s="210"/>
      <c r="AK36" s="210"/>
      <c r="AL36" s="218" t="str">
        <f>IF(ROUND(SUM(IS!AH36:AK36),1)=ROUND(IS!AL36,1),"OK","ERROR")</f>
        <v>ERROR</v>
      </c>
      <c r="AM36" s="222"/>
      <c r="AN36" s="210"/>
      <c r="AO36" s="210"/>
      <c r="AP36" s="210"/>
      <c r="AQ36" s="210"/>
      <c r="AR36" s="218" t="str">
        <f>IF(ROUND(SUM(IS!AN36:AQ36),1)=ROUND(IS!AR36,1),"OK","ERROR")</f>
        <v>OK</v>
      </c>
    </row>
    <row r="37" spans="1:44" ht="14.25" customHeight="1">
      <c r="A37" s="44"/>
      <c r="B37" s="70" t="s">
        <v>604</v>
      </c>
      <c r="D37" s="206"/>
      <c r="E37" s="206"/>
      <c r="F37" s="206"/>
      <c r="G37" s="206"/>
      <c r="H37" s="218" t="str">
        <f>IF(ROUND(SUM(IS!D37:G37),1)=ROUND(IS!H37,1),"OK","ERROR")</f>
        <v>OK</v>
      </c>
      <c r="I37" s="208"/>
      <c r="J37" s="206"/>
      <c r="K37" s="206"/>
      <c r="L37" s="206"/>
      <c r="M37" s="206"/>
      <c r="N37" s="218" t="str">
        <f>IF(ROUND(SUM(IS!J37:M37),1)=ROUND(IS!N37,1),"OK","ERROR")</f>
        <v>OK</v>
      </c>
      <c r="O37" s="208"/>
      <c r="P37" s="206"/>
      <c r="Q37" s="206"/>
      <c r="R37" s="206"/>
      <c r="S37" s="206"/>
      <c r="T37" s="218" t="str">
        <f>IF(ROUND(SUM(IS!P37:S37),1)=ROUND(IS!T37,1),"OK","ERROR")</f>
        <v>OK</v>
      </c>
      <c r="U37" s="208"/>
      <c r="V37" s="206"/>
      <c r="W37" s="206"/>
      <c r="X37" s="206"/>
      <c r="Y37" s="206"/>
      <c r="Z37" s="218" t="str">
        <f>IF(ROUND(SUM(IS!V37:Y37),1)=ROUND(IS!Z37,1),"OK","ERROR")</f>
        <v>OK</v>
      </c>
      <c r="AA37" s="211"/>
      <c r="AB37" s="206"/>
      <c r="AC37" s="206"/>
      <c r="AD37" s="206"/>
      <c r="AE37" s="206"/>
      <c r="AF37" s="218" t="str">
        <f>IF(ROUND(SUM(IS!AB37:AE37),1)=ROUND(IS!AF37,1),"OK","ERROR")</f>
        <v>OK</v>
      </c>
      <c r="AG37" s="209"/>
      <c r="AH37" s="206"/>
      <c r="AI37" s="206"/>
      <c r="AJ37" s="210"/>
      <c r="AK37" s="210"/>
      <c r="AL37" s="218" t="str">
        <f>IF(ROUND(SUM(IS!AH37:AK37),1)=ROUND(IS!AL37,1),"OK","ERROR")</f>
        <v>OK</v>
      </c>
      <c r="AM37" s="222"/>
      <c r="AN37" s="210"/>
      <c r="AO37" s="210"/>
      <c r="AP37" s="210"/>
      <c r="AQ37" s="210"/>
      <c r="AR37" s="218" t="str">
        <f>IF(ROUND(SUM(IS!AN37:AQ37),1)=ROUND(IS!AR37,1),"OK","ERROR")</f>
        <v>OK</v>
      </c>
    </row>
    <row r="38" spans="1:44" ht="14.25" customHeight="1">
      <c r="A38" s="55" t="s">
        <v>39</v>
      </c>
      <c r="B38" s="76" t="s">
        <v>605</v>
      </c>
      <c r="D38" s="206"/>
      <c r="E38" s="206"/>
      <c r="F38" s="206"/>
      <c r="G38" s="206"/>
      <c r="H38" s="218" t="str">
        <f>IF(ROUND(SUM(IS!D38:G38),1)=ROUND(IS!H38,1),"OK","ERROR")</f>
        <v>OK</v>
      </c>
      <c r="I38" s="208"/>
      <c r="J38" s="206"/>
      <c r="K38" s="206"/>
      <c r="L38" s="206"/>
      <c r="M38" s="206"/>
      <c r="N38" s="218" t="str">
        <f>IF(ROUND(SUM(IS!J38:M38),1)=ROUND(IS!N38,1),"OK","ERROR")</f>
        <v>OK</v>
      </c>
      <c r="O38" s="208"/>
      <c r="P38" s="206"/>
      <c r="Q38" s="206"/>
      <c r="R38" s="206"/>
      <c r="S38" s="206"/>
      <c r="T38" s="218" t="str">
        <f>IF(ROUND(SUM(IS!P38:S38),1)=ROUND(IS!T38,1),"OK","ERROR")</f>
        <v>OK</v>
      </c>
      <c r="U38" s="208"/>
      <c r="V38" s="206"/>
      <c r="W38" s="206"/>
      <c r="X38" s="206"/>
      <c r="Y38" s="206"/>
      <c r="Z38" s="218" t="str">
        <f>IF(ROUND(SUM(IS!V38:Y38),1)=ROUND(IS!Z38,1),"OK","ERROR")</f>
        <v>OK</v>
      </c>
      <c r="AA38" s="211"/>
      <c r="AB38" s="206"/>
      <c r="AC38" s="206"/>
      <c r="AD38" s="206"/>
      <c r="AE38" s="206"/>
      <c r="AF38" s="218" t="str">
        <f>IF(ROUND(SUM(IS!AB38:AE38),1)=ROUND(IS!AF38,1),"OK","ERROR")</f>
        <v>OK</v>
      </c>
      <c r="AG38" s="209"/>
      <c r="AH38" s="206"/>
      <c r="AI38" s="206"/>
      <c r="AJ38" s="210"/>
      <c r="AK38" s="210"/>
      <c r="AL38" s="218" t="str">
        <f>IF(ROUND(SUM(IS!AH38:AK38),1)=ROUND(IS!AL38,1),"OK","ERROR")</f>
        <v>ERROR</v>
      </c>
      <c r="AM38" s="222"/>
      <c r="AN38" s="210"/>
      <c r="AO38" s="210"/>
      <c r="AP38" s="210"/>
      <c r="AQ38" s="210"/>
      <c r="AR38" s="218" t="str">
        <f>IF(ROUND(SUM(IS!AN38:AQ38),1)=ROUND(IS!AR38,1),"OK","ERROR")</f>
        <v>OK</v>
      </c>
    </row>
    <row r="39" spans="1:44" ht="14.25" customHeight="1">
      <c r="A39" s="73"/>
      <c r="B39" s="76" t="s">
        <v>606</v>
      </c>
      <c r="D39" s="206"/>
      <c r="E39" s="206"/>
      <c r="F39" s="206"/>
      <c r="G39" s="206"/>
      <c r="H39" s="218" t="str">
        <f>IF(ROUND(SUM(IS!D39:G39),1)=ROUND(IS!H39,1),"OK","ERROR")</f>
        <v>OK</v>
      </c>
      <c r="I39" s="208"/>
      <c r="J39" s="206"/>
      <c r="K39" s="206"/>
      <c r="L39" s="206"/>
      <c r="M39" s="206"/>
      <c r="N39" s="218" t="str">
        <f>IF(ROUND(SUM(IS!J39:M39),1)=ROUND(IS!N39,1),"OK","ERROR")</f>
        <v>OK</v>
      </c>
      <c r="O39" s="208"/>
      <c r="P39" s="206"/>
      <c r="Q39" s="206"/>
      <c r="R39" s="206"/>
      <c r="S39" s="206"/>
      <c r="T39" s="218" t="str">
        <f>IF(ROUND(SUM(IS!P39:S39),1)=ROUND(IS!T39,1),"OK","ERROR")</f>
        <v>OK</v>
      </c>
      <c r="U39" s="208"/>
      <c r="V39" s="206"/>
      <c r="W39" s="206"/>
      <c r="X39" s="206"/>
      <c r="Y39" s="206"/>
      <c r="Z39" s="218" t="str">
        <f>IF(ROUND(SUM(IS!V39:Y39),1)=ROUND(IS!Z39,1),"OK","ERROR")</f>
        <v>OK</v>
      </c>
      <c r="AA39" s="226"/>
      <c r="AB39" s="206"/>
      <c r="AC39" s="206"/>
      <c r="AD39" s="206"/>
      <c r="AE39" s="206"/>
      <c r="AF39" s="218" t="str">
        <f>IF(ROUND(SUM(IS!AB39:AE39),1)=ROUND(IS!AF39,1),"OK","ERROR")</f>
        <v>OK</v>
      </c>
      <c r="AG39" s="227"/>
      <c r="AH39" s="206"/>
      <c r="AI39" s="206"/>
      <c r="AJ39" s="210"/>
      <c r="AK39" s="210"/>
      <c r="AL39" s="218" t="str">
        <f>IF(ROUND(SUM(IS!AH39:AK39),1)=ROUND(IS!AL39,1),"OK","ERROR")</f>
        <v>OK</v>
      </c>
      <c r="AM39" s="226"/>
      <c r="AN39" s="210"/>
      <c r="AO39" s="210"/>
      <c r="AP39" s="210"/>
      <c r="AQ39" s="210"/>
      <c r="AR39" s="218" t="str">
        <f>IF(ROUND(SUM(IS!AN39:AQ39),1)=ROUND(IS!AR39,1),"OK","ERROR")</f>
        <v>OK</v>
      </c>
    </row>
    <row r="40" spans="1:44" ht="14.25" customHeight="1">
      <c r="A40" s="55"/>
      <c r="B40" s="76" t="s">
        <v>607</v>
      </c>
      <c r="D40" s="206"/>
      <c r="E40" s="206"/>
      <c r="F40" s="206"/>
      <c r="G40" s="206"/>
      <c r="H40" s="224" t="str">
        <f>IF(ROUND(SUM(IS!D40:G40),1)=ROUND(IS!H40,1),"OK","ERROR")</f>
        <v>OK</v>
      </c>
      <c r="I40" s="208"/>
      <c r="J40" s="206"/>
      <c r="K40" s="206"/>
      <c r="L40" s="206"/>
      <c r="M40" s="206"/>
      <c r="N40" s="224" t="str">
        <f>IF(ROUND(SUM(IS!J40:M40),1)=ROUND(IS!N40,1),"OK","ERROR")</f>
        <v>OK</v>
      </c>
      <c r="O40" s="208"/>
      <c r="P40" s="206"/>
      <c r="Q40" s="206"/>
      <c r="R40" s="206"/>
      <c r="S40" s="206"/>
      <c r="T40" s="224" t="str">
        <f>IF(ROUND(SUM(IS!P40:S40),1)=ROUND(IS!T40,1),"OK","ERROR")</f>
        <v>OK</v>
      </c>
      <c r="U40" s="208"/>
      <c r="V40" s="206"/>
      <c r="W40" s="206"/>
      <c r="X40" s="206"/>
      <c r="Y40" s="206"/>
      <c r="Z40" s="224" t="str">
        <f>IF(ROUND(SUM(IS!V40:Y40),1)=ROUND(IS!Z40,1),"OK","ERROR")</f>
        <v>OK</v>
      </c>
      <c r="AA40" s="211"/>
      <c r="AB40" s="206"/>
      <c r="AC40" s="206"/>
      <c r="AD40" s="206"/>
      <c r="AE40" s="206"/>
      <c r="AF40" s="224" t="str">
        <f>IF(ROUND(SUM(IS!AB40:AE40),1)=ROUND(IS!AF40,1),"OK","ERROR")</f>
        <v>OK</v>
      </c>
      <c r="AG40" s="209"/>
      <c r="AH40" s="206"/>
      <c r="AI40" s="206"/>
      <c r="AJ40" s="210"/>
      <c r="AK40" s="210"/>
      <c r="AL40" s="224" t="str">
        <f>IF(ROUND(SUM(IS!AH40:AK40),1)=ROUND(IS!AL40,1),"OK","ERROR")</f>
        <v>ERROR</v>
      </c>
      <c r="AM40" s="211"/>
      <c r="AN40" s="210"/>
      <c r="AO40" s="210"/>
      <c r="AP40" s="210"/>
      <c r="AQ40" s="210"/>
      <c r="AR40" s="224" t="str">
        <f>IF(ROUND(SUM(IS!AN40:AQ40),1)=ROUND(IS!AR40,1),"OK","ERROR")</f>
        <v>OK</v>
      </c>
    </row>
    <row r="41" spans="1:44" ht="14.25" customHeight="1">
      <c r="A41" s="73"/>
      <c r="B41" s="79" t="s">
        <v>608</v>
      </c>
      <c r="D41" s="206"/>
      <c r="E41" s="206"/>
      <c r="F41" s="206"/>
      <c r="G41" s="206"/>
      <c r="H41" s="225" t="str">
        <f>IF(ROUND(SUM(IS!D41:G41),1)=ROUND(IS!H41,1),"OK","ERROR")</f>
        <v>OK</v>
      </c>
      <c r="I41" s="208"/>
      <c r="J41" s="206"/>
      <c r="K41" s="206"/>
      <c r="L41" s="206"/>
      <c r="M41" s="206"/>
      <c r="N41" s="225" t="str">
        <f>IF(ROUND(SUM(IS!J41:M41),1)=ROUND(IS!N41,1),"OK","ERROR")</f>
        <v>OK</v>
      </c>
      <c r="O41" s="208"/>
      <c r="P41" s="206"/>
      <c r="Q41" s="206"/>
      <c r="R41" s="206"/>
      <c r="S41" s="206"/>
      <c r="T41" s="225" t="str">
        <f>IF(ROUND(SUM(IS!P41:S41),1)=ROUND(IS!T41,1),"OK","ERROR")</f>
        <v>OK</v>
      </c>
      <c r="U41" s="208"/>
      <c r="V41" s="206"/>
      <c r="W41" s="206"/>
      <c r="X41" s="206"/>
      <c r="Y41" s="206"/>
      <c r="Z41" s="225" t="str">
        <f>IF(ROUND(SUM(IS!V41:Y41),1)=ROUND(IS!Z41,1),"OK","ERROR")</f>
        <v>OK</v>
      </c>
      <c r="AA41" s="230"/>
      <c r="AB41" s="206"/>
      <c r="AC41" s="206"/>
      <c r="AD41" s="206"/>
      <c r="AE41" s="206"/>
      <c r="AF41" s="225" t="str">
        <f>IF(ROUND(SUM(IS!AB41:AE41),1)=ROUND(IS!AF41,1),"OK","ERROR")</f>
        <v>OK</v>
      </c>
      <c r="AG41" s="227"/>
      <c r="AH41" s="206"/>
      <c r="AI41" s="206"/>
      <c r="AJ41" s="210"/>
      <c r="AK41" s="210"/>
      <c r="AL41" s="225" t="str">
        <f>IF(ROUND(SUM(IS!AH41:AK41),1)=ROUND(IS!AL41,1),"OK","ERROR")</f>
        <v>ERROR</v>
      </c>
      <c r="AM41" s="226"/>
      <c r="AN41" s="210"/>
      <c r="AO41" s="210"/>
      <c r="AP41" s="210"/>
      <c r="AQ41" s="210"/>
      <c r="AR41" s="225" t="str">
        <f>IF(ROUND(SUM(IS!AN41:AQ41),1)=ROUND(IS!AR41,1),"OK","ERROR")</f>
        <v>OK</v>
      </c>
    </row>
    <row r="42" spans="1:44" ht="14.25" customHeight="1">
      <c r="A42" s="84"/>
      <c r="B42" s="89" t="s">
        <v>609</v>
      </c>
      <c r="D42" s="206"/>
      <c r="E42" s="206"/>
      <c r="F42" s="206"/>
      <c r="G42" s="206"/>
      <c r="H42" s="225" t="str">
        <f>IF(ROUND(SUM(IS!D42:G42),1)=ROUND(IS!H42,1),"OK","ERROR")</f>
        <v>OK</v>
      </c>
      <c r="I42" s="208"/>
      <c r="J42" s="206"/>
      <c r="K42" s="206"/>
      <c r="L42" s="206"/>
      <c r="M42" s="206"/>
      <c r="N42" s="225" t="str">
        <f>IF(ROUND(SUM(IS!J42:M42),1)=ROUND(IS!N42,1),"OK","ERROR")</f>
        <v>OK</v>
      </c>
      <c r="O42" s="208"/>
      <c r="P42" s="206"/>
      <c r="Q42" s="206"/>
      <c r="R42" s="206"/>
      <c r="S42" s="206"/>
      <c r="T42" s="225" t="str">
        <f>IF(ROUND(SUM(IS!P42:S42),1)=ROUND(IS!T42,1),"OK","ERROR")</f>
        <v>OK</v>
      </c>
      <c r="U42" s="208"/>
      <c r="V42" s="206"/>
      <c r="W42" s="206"/>
      <c r="X42" s="206"/>
      <c r="Y42" s="206"/>
      <c r="Z42" s="225" t="str">
        <f>IF(ROUND(SUM(IS!V42:Y42),1)=ROUND(IS!Z42,1),"OK","ERROR")</f>
        <v>OK</v>
      </c>
      <c r="AA42" s="211"/>
      <c r="AB42" s="206"/>
      <c r="AC42" s="206"/>
      <c r="AD42" s="206"/>
      <c r="AE42" s="206"/>
      <c r="AF42" s="225" t="str">
        <f>IF(ROUND(SUM(IS!AB42:AE42),1)=ROUND(IS!AF42,1),"OK","ERROR")</f>
        <v>OK</v>
      </c>
      <c r="AG42" s="209"/>
      <c r="AH42" s="206"/>
      <c r="AI42" s="206"/>
      <c r="AJ42" s="210"/>
      <c r="AK42" s="210"/>
      <c r="AL42" s="225" t="str">
        <f>IF(ROUND(SUM(IS!AH42:AK42),1)=ROUND(IS!AL42,1),"OK","ERROR")</f>
        <v>ERROR</v>
      </c>
      <c r="AM42" s="211"/>
      <c r="AN42" s="210"/>
      <c r="AO42" s="210"/>
      <c r="AP42" s="210"/>
      <c r="AQ42" s="210"/>
      <c r="AR42" s="225" t="str">
        <f>IF(ROUND(SUM(IS!AN42:AQ42),1)=ROUND(IS!AR42,1),"OK","ERROR")</f>
        <v>OK</v>
      </c>
    </row>
    <row r="43" spans="1:44" ht="14.25" customHeight="1">
      <c r="A43" s="73"/>
      <c r="B43" s="76"/>
      <c r="D43" s="206"/>
      <c r="E43" s="206"/>
      <c r="F43" s="206"/>
      <c r="G43" s="206"/>
      <c r="H43" s="218"/>
      <c r="I43" s="208"/>
      <c r="J43" s="206"/>
      <c r="K43" s="206"/>
      <c r="L43" s="206"/>
      <c r="M43" s="206"/>
      <c r="N43" s="218"/>
      <c r="O43" s="208"/>
      <c r="P43" s="206"/>
      <c r="Q43" s="206"/>
      <c r="R43" s="206"/>
      <c r="S43" s="206"/>
      <c r="T43" s="218"/>
      <c r="U43" s="208"/>
      <c r="V43" s="206"/>
      <c r="W43" s="206"/>
      <c r="X43" s="206"/>
      <c r="Y43" s="206"/>
      <c r="Z43" s="218"/>
      <c r="AA43" s="211"/>
      <c r="AB43" s="206"/>
      <c r="AC43" s="206"/>
      <c r="AD43" s="206"/>
      <c r="AE43" s="206"/>
      <c r="AF43" s="218"/>
      <c r="AG43" s="209"/>
      <c r="AH43" s="206"/>
      <c r="AI43" s="206"/>
      <c r="AJ43" s="210"/>
      <c r="AK43" s="210"/>
      <c r="AL43" s="218"/>
      <c r="AM43" s="211"/>
      <c r="AN43" s="210"/>
      <c r="AO43" s="210"/>
      <c r="AP43" s="210"/>
      <c r="AQ43" s="210"/>
      <c r="AR43" s="218"/>
    </row>
    <row r="44" spans="1:44" ht="14.25" customHeight="1">
      <c r="A44" s="44" t="s">
        <v>39</v>
      </c>
      <c r="B44" s="65" t="s">
        <v>610</v>
      </c>
      <c r="D44" s="206"/>
      <c r="E44" s="206"/>
      <c r="F44" s="206"/>
      <c r="G44" s="206"/>
      <c r="H44" s="218"/>
      <c r="I44" s="208"/>
      <c r="J44" s="206"/>
      <c r="K44" s="206"/>
      <c r="L44" s="206"/>
      <c r="M44" s="206"/>
      <c r="N44" s="218"/>
      <c r="O44" s="208"/>
      <c r="P44" s="206"/>
      <c r="Q44" s="206"/>
      <c r="R44" s="206"/>
      <c r="S44" s="206"/>
      <c r="T44" s="218"/>
      <c r="U44" s="208"/>
      <c r="V44" s="206"/>
      <c r="W44" s="206"/>
      <c r="X44" s="206"/>
      <c r="Y44" s="206"/>
      <c r="Z44" s="218"/>
      <c r="AA44" s="211"/>
      <c r="AB44" s="206"/>
      <c r="AC44" s="206"/>
      <c r="AD44" s="206"/>
      <c r="AE44" s="206"/>
      <c r="AF44" s="218"/>
      <c r="AG44" s="209"/>
      <c r="AH44" s="206"/>
      <c r="AI44" s="206"/>
      <c r="AJ44" s="210"/>
      <c r="AK44" s="210"/>
      <c r="AL44" s="218"/>
      <c r="AM44" s="211"/>
      <c r="AN44" s="210"/>
      <c r="AO44" s="210"/>
      <c r="AP44" s="210"/>
      <c r="AQ44" s="210"/>
      <c r="AR44" s="218"/>
    </row>
    <row r="45" spans="1:44" ht="14.25" customHeight="1">
      <c r="A45" s="84"/>
      <c r="B45" s="70" t="s">
        <v>611</v>
      </c>
      <c r="D45" s="206"/>
      <c r="E45" s="206"/>
      <c r="F45" s="206"/>
      <c r="G45" s="206"/>
      <c r="H45" s="218" t="str">
        <f>IF(ROUND(SUM(IS!D45:G45),1)=ROUND(IS!H45,1),"OK","ERROR")</f>
        <v>OK</v>
      </c>
      <c r="I45" s="208"/>
      <c r="J45" s="206"/>
      <c r="K45" s="206"/>
      <c r="L45" s="206"/>
      <c r="M45" s="206"/>
      <c r="N45" s="218" t="str">
        <f>IF(ROUND(SUM(IS!J45:M45),1)=ROUND(IS!N45,1),"OK","ERROR")</f>
        <v>OK</v>
      </c>
      <c r="O45" s="208"/>
      <c r="P45" s="206"/>
      <c r="Q45" s="206"/>
      <c r="R45" s="206"/>
      <c r="S45" s="206"/>
      <c r="T45" s="218" t="str">
        <f>IF(ROUND(SUM(IS!P45:S45),1)=ROUND(IS!T45,1),"OK","ERROR")</f>
        <v>OK</v>
      </c>
      <c r="U45" s="208"/>
      <c r="V45" s="206"/>
      <c r="W45" s="206"/>
      <c r="X45" s="206"/>
      <c r="Y45" s="206"/>
      <c r="Z45" s="218" t="str">
        <f>IF(ROUND(SUM(IS!V45:Y45),1)=ROUND(IS!Z45,1),"OK","ERROR")</f>
        <v>OK</v>
      </c>
      <c r="AA45" s="222"/>
      <c r="AB45" s="206"/>
      <c r="AC45" s="206"/>
      <c r="AD45" s="206"/>
      <c r="AE45" s="206"/>
      <c r="AF45" s="218" t="str">
        <f>IF(ROUND(SUM(IS!AB45:AE45),1)=ROUND(IS!AF45,1),"OK","ERROR")</f>
        <v>OK</v>
      </c>
      <c r="AG45" s="209"/>
      <c r="AH45" s="206"/>
      <c r="AI45" s="206"/>
      <c r="AJ45" s="210"/>
      <c r="AK45" s="210"/>
      <c r="AL45" s="218" t="str">
        <f>IF(ROUND(SUM(IS!AH45:AK45),1)=ROUND(IS!AL45,1),"OK","ERROR")</f>
        <v>ERROR</v>
      </c>
      <c r="AM45" s="233"/>
      <c r="AN45" s="210"/>
      <c r="AO45" s="210"/>
      <c r="AP45" s="210"/>
      <c r="AQ45" s="210"/>
      <c r="AR45" s="218" t="str">
        <f>IF(ROUND(SUM(IS!AN45:AQ45),1)=ROUND(IS!AR45,1),"OK","ERROR")</f>
        <v>OK</v>
      </c>
    </row>
    <row r="46" spans="1:44" ht="14.25" customHeight="1">
      <c r="A46" s="84"/>
      <c r="B46" s="70" t="s">
        <v>612</v>
      </c>
      <c r="D46" s="206"/>
      <c r="E46" s="206"/>
      <c r="F46" s="206"/>
      <c r="G46" s="206"/>
      <c r="H46" s="218" t="str">
        <f>IF(ROUND(SUM(IS!D46:G46),1)=ROUND(IS!H46,1),"OK","ERROR")</f>
        <v>OK</v>
      </c>
      <c r="I46" s="208"/>
      <c r="J46" s="206"/>
      <c r="K46" s="206"/>
      <c r="L46" s="206"/>
      <c r="M46" s="206"/>
      <c r="N46" s="218" t="str">
        <f>IF(ROUND(SUM(IS!J46:M46),1)=ROUND(IS!N46,1),"OK","ERROR")</f>
        <v>OK</v>
      </c>
      <c r="O46" s="208"/>
      <c r="P46" s="206"/>
      <c r="Q46" s="206"/>
      <c r="R46" s="206"/>
      <c r="S46" s="206"/>
      <c r="T46" s="218" t="str">
        <f>IF(ROUND(SUM(IS!P46:S46),1)=ROUND(IS!T46,1),"OK","ERROR")</f>
        <v>OK</v>
      </c>
      <c r="U46" s="208"/>
      <c r="V46" s="206"/>
      <c r="W46" s="206"/>
      <c r="X46" s="206"/>
      <c r="Y46" s="206"/>
      <c r="Z46" s="218" t="str">
        <f>IF(ROUND(SUM(IS!V46:Y46),1)=ROUND(IS!Z46,1),"OK","ERROR")</f>
        <v>OK</v>
      </c>
      <c r="AA46" s="211"/>
      <c r="AB46" s="206"/>
      <c r="AC46" s="206"/>
      <c r="AD46" s="206"/>
      <c r="AE46" s="206"/>
      <c r="AF46" s="218" t="str">
        <f>IF(ROUND(SUM(IS!AB46:AE46),1)=ROUND(IS!AF46,1),"OK","ERROR")</f>
        <v>OK</v>
      </c>
      <c r="AG46" s="209"/>
      <c r="AH46" s="206"/>
      <c r="AI46" s="206"/>
      <c r="AJ46" s="210"/>
      <c r="AK46" s="210"/>
      <c r="AL46" s="218" t="str">
        <f>IF(ROUND(SUM(IS!AH46:AK46),1)=ROUND(IS!AL46,1),"OK","ERROR")</f>
        <v>OK</v>
      </c>
      <c r="AM46" s="234"/>
      <c r="AN46" s="210"/>
      <c r="AO46" s="210"/>
      <c r="AP46" s="210"/>
      <c r="AQ46" s="210"/>
      <c r="AR46" s="218" t="str">
        <f>IF(ROUND(SUM(IS!AN46:AQ46),1)=ROUND(IS!AR46,1),"OK","ERROR")</f>
        <v>OK</v>
      </c>
    </row>
    <row r="47" spans="1:44" ht="14.25" customHeight="1" thickBot="1">
      <c r="A47" s="73"/>
      <c r="B47" s="70" t="s">
        <v>613</v>
      </c>
      <c r="D47" s="206"/>
      <c r="E47" s="206"/>
      <c r="F47" s="206"/>
      <c r="G47" s="206"/>
      <c r="H47" s="235" t="str">
        <f>IF(ROUND(SUM(IS!D47:G47),1)=ROUND(IS!H47,1),"OK","ERROR")</f>
        <v>OK</v>
      </c>
      <c r="I47" s="208"/>
      <c r="J47" s="206"/>
      <c r="K47" s="206"/>
      <c r="L47" s="206"/>
      <c r="M47" s="206"/>
      <c r="N47" s="235" t="str">
        <f>IF(ROUND(SUM(IS!J47:M47),1)=ROUND(IS!N47,1),"OK","ERROR")</f>
        <v>OK</v>
      </c>
      <c r="O47" s="208"/>
      <c r="P47" s="206"/>
      <c r="Q47" s="206"/>
      <c r="R47" s="206"/>
      <c r="S47" s="206"/>
      <c r="T47" s="235" t="str">
        <f>IF(ROUND(SUM(IS!P47:S47),1)=ROUND(IS!T47,1),"OK","ERROR")</f>
        <v>OK</v>
      </c>
      <c r="U47" s="208"/>
      <c r="V47" s="206"/>
      <c r="W47" s="206"/>
      <c r="X47" s="206"/>
      <c r="Y47" s="206"/>
      <c r="Z47" s="235" t="str">
        <f>IF(ROUND(SUM(IS!V47:Y47),1)=ROUND(IS!Z47,1),"OK","ERROR")</f>
        <v>OK</v>
      </c>
      <c r="AA47" s="211"/>
      <c r="AB47" s="206"/>
      <c r="AC47" s="206"/>
      <c r="AD47" s="206"/>
      <c r="AE47" s="206"/>
      <c r="AF47" s="235" t="str">
        <f>IF(ROUND(SUM(IS!AB47:AE47),1)=ROUND(IS!AF47,1),"OK","ERROR")</f>
        <v>ERROR</v>
      </c>
      <c r="AG47" s="209"/>
      <c r="AH47" s="206"/>
      <c r="AI47" s="206"/>
      <c r="AJ47" s="210"/>
      <c r="AK47" s="210"/>
      <c r="AL47" s="235" t="str">
        <f>IF(ROUND(SUM(IS!AH47:AK47),1)=ROUND(IS!AL47,1),"OK","ERROR")</f>
        <v>ERROR</v>
      </c>
      <c r="AM47" s="234"/>
      <c r="AN47" s="210"/>
      <c r="AO47" s="210"/>
      <c r="AP47" s="210"/>
      <c r="AQ47" s="210"/>
      <c r="AR47" s="235" t="str">
        <f>IF(ROUND(SUM(IS!AN47:AQ47),1)=ROUND(IS!AR47,1),"OK","ERROR")</f>
        <v>OK</v>
      </c>
    </row>
    <row r="49" spans="1:50" ht="14.25" customHeight="1">
      <c r="A49" s="44" t="s">
        <v>39</v>
      </c>
      <c r="B49" s="65" t="s">
        <v>614</v>
      </c>
      <c r="D49" s="206"/>
      <c r="E49" s="206"/>
      <c r="F49" s="206"/>
      <c r="G49" s="206"/>
      <c r="H49" s="218"/>
      <c r="I49" s="208"/>
      <c r="J49" s="206"/>
      <c r="K49" s="206"/>
      <c r="L49" s="206"/>
      <c r="M49" s="206"/>
      <c r="N49" s="218"/>
      <c r="O49" s="208"/>
      <c r="P49" s="206"/>
      <c r="Q49" s="206"/>
      <c r="R49" s="206"/>
      <c r="S49" s="206"/>
      <c r="T49" s="218"/>
      <c r="U49" s="208"/>
      <c r="V49" s="206"/>
      <c r="W49" s="206"/>
      <c r="X49" s="206"/>
      <c r="Y49" s="206"/>
      <c r="Z49" s="218"/>
      <c r="AA49" s="208"/>
      <c r="AB49" s="206"/>
      <c r="AC49" s="206"/>
      <c r="AD49" s="206"/>
      <c r="AE49" s="206"/>
      <c r="AF49" s="218"/>
      <c r="AG49" s="236"/>
      <c r="AH49" s="206"/>
      <c r="AI49" s="206"/>
      <c r="AJ49" s="210"/>
      <c r="AK49" s="210"/>
      <c r="AL49" s="218"/>
      <c r="AM49" s="208"/>
      <c r="AN49" s="210"/>
      <c r="AO49" s="210"/>
      <c r="AP49" s="210"/>
      <c r="AQ49" s="210"/>
      <c r="AR49" s="218"/>
      <c r="AS49" s="208"/>
      <c r="AT49" s="218"/>
      <c r="AU49" s="237"/>
      <c r="AV49" s="218"/>
      <c r="AW49" s="237"/>
      <c r="AX49" s="218"/>
    </row>
    <row r="50" spans="1:50" ht="14.25" customHeight="1">
      <c r="A50" s="73"/>
      <c r="B50" s="70" t="s">
        <v>615</v>
      </c>
      <c r="D50" s="206"/>
      <c r="E50" s="206"/>
      <c r="F50" s="206"/>
      <c r="G50" s="206"/>
      <c r="H50" s="218" t="str">
        <f>IF(ROUND(SUM(IS!D50:G50),1)=ROUND(IS!H50,1),"OK","ERROR")</f>
        <v>OK</v>
      </c>
      <c r="I50" s="208"/>
      <c r="J50" s="206"/>
      <c r="K50" s="206"/>
      <c r="L50" s="206"/>
      <c r="M50" s="206"/>
      <c r="N50" s="218" t="str">
        <f>IF(ROUND(SUM(IS!J50:M50),1)=ROUND(IS!N50,1),"OK","ERROR")</f>
        <v>OK</v>
      </c>
      <c r="O50" s="208"/>
      <c r="P50" s="206"/>
      <c r="Q50" s="206"/>
      <c r="R50" s="206"/>
      <c r="S50" s="206"/>
      <c r="T50" s="218" t="str">
        <f>IF(ROUND(SUM(IS!P50:S50),1)=ROUND(IS!T50,1),"OK","ERROR")</f>
        <v>OK</v>
      </c>
      <c r="U50" s="208"/>
      <c r="V50" s="206"/>
      <c r="W50" s="206"/>
      <c r="X50" s="206"/>
      <c r="Y50" s="206"/>
      <c r="Z50" s="218" t="str">
        <f>IF(ROUND(SUM(IS!V50:Y50),1)=ROUND(IS!Z50,1),"OK","ERROR")</f>
        <v>OK</v>
      </c>
      <c r="AA50" s="226"/>
      <c r="AB50" s="206"/>
      <c r="AC50" s="206"/>
      <c r="AD50" s="206"/>
      <c r="AE50" s="206"/>
      <c r="AF50" s="218" t="str">
        <f>IF(ROUND(SUM(IS!AB50:AE50),1)=ROUND(IS!AF50,1),"OK","ERROR")</f>
        <v>OK</v>
      </c>
      <c r="AG50" s="227"/>
      <c r="AH50" s="206"/>
      <c r="AI50" s="206"/>
      <c r="AJ50" s="210"/>
      <c r="AK50" s="210"/>
      <c r="AL50" s="218" t="str">
        <f>IF(ROUND(SUM(IS!AH50:AK50),1)=ROUND(IS!AL50,1),"OK","ERROR")</f>
        <v>OK</v>
      </c>
      <c r="AM50" s="226"/>
      <c r="AN50" s="210"/>
      <c r="AO50" s="210"/>
      <c r="AP50" s="210"/>
      <c r="AQ50" s="210"/>
      <c r="AR50" s="218" t="str">
        <f>IF(ROUND(SUM(IS!AN50:AQ50),1)=ROUND(IS!AR50,1),"OK","ERROR")</f>
        <v>OK</v>
      </c>
      <c r="AS50" s="226"/>
      <c r="AT50" s="218"/>
      <c r="AU50" s="228"/>
      <c r="AV50" s="218"/>
      <c r="AW50" s="228"/>
      <c r="AX50" s="218"/>
    </row>
    <row r="51" spans="1:50" ht="14.25" customHeight="1">
      <c r="A51" s="55"/>
      <c r="B51" s="70" t="s">
        <v>616</v>
      </c>
      <c r="D51" s="206"/>
      <c r="E51" s="206"/>
      <c r="F51" s="206"/>
      <c r="G51" s="206"/>
      <c r="H51" s="224" t="str">
        <f>IF(ROUND(SUM(IS!D51:G51),1)=ROUND(IS!H51,1),"OK","ERROR")</f>
        <v>OK</v>
      </c>
      <c r="I51" s="208"/>
      <c r="J51" s="206"/>
      <c r="K51" s="206"/>
      <c r="L51" s="206"/>
      <c r="M51" s="206"/>
      <c r="N51" s="224" t="str">
        <f>IF(ROUND(SUM(IS!J51:M51),1)=ROUND(IS!N51,1),"OK","ERROR")</f>
        <v>OK</v>
      </c>
      <c r="O51" s="208"/>
      <c r="P51" s="206"/>
      <c r="Q51" s="206"/>
      <c r="R51" s="206"/>
      <c r="S51" s="206"/>
      <c r="T51" s="224" t="str">
        <f>IF(ROUND(SUM(IS!P51:S51),1)=ROUND(IS!T51,1),"OK","ERROR")</f>
        <v>OK</v>
      </c>
      <c r="U51" s="208"/>
      <c r="V51" s="206"/>
      <c r="W51" s="206"/>
      <c r="X51" s="206"/>
      <c r="Y51" s="206"/>
      <c r="Z51" s="224" t="str">
        <f>IF(ROUND(SUM(IS!V51:Y51),1)=ROUND(IS!Z51,1),"OK","ERROR")</f>
        <v>OK</v>
      </c>
      <c r="AA51" s="208"/>
      <c r="AB51" s="206"/>
      <c r="AC51" s="206"/>
      <c r="AD51" s="206"/>
      <c r="AE51" s="206"/>
      <c r="AF51" s="224" t="str">
        <f>IF(ROUND(SUM(IS!AB51:AE51),1)=ROUND(IS!AF51,1),"OK","ERROR")</f>
        <v>OK</v>
      </c>
      <c r="AG51" s="236"/>
      <c r="AH51" s="206"/>
      <c r="AI51" s="206"/>
      <c r="AJ51" s="210"/>
      <c r="AK51" s="210"/>
      <c r="AL51" s="224" t="str">
        <f>IF(ROUND(SUM(IS!AH51:AK51),1)=ROUND(IS!AL51,1),"OK","ERROR")</f>
        <v>ERROR</v>
      </c>
      <c r="AM51" s="208"/>
      <c r="AN51" s="210"/>
      <c r="AO51" s="210"/>
      <c r="AP51" s="210"/>
      <c r="AQ51" s="210"/>
      <c r="AR51" s="224" t="str">
        <f>IF(ROUND(SUM(IS!AN51:AQ51),1)=ROUND(IS!AR51,1),"OK","ERROR")</f>
        <v>OK</v>
      </c>
      <c r="AS51" s="208"/>
      <c r="AT51" s="224"/>
      <c r="AU51" s="237"/>
      <c r="AV51" s="224"/>
      <c r="AW51" s="237"/>
      <c r="AX51" s="224"/>
    </row>
    <row r="52" spans="1:50" ht="14.25" customHeight="1" thickBot="1">
      <c r="A52" s="73"/>
      <c r="B52" s="76" t="s">
        <v>617</v>
      </c>
      <c r="D52" s="206"/>
      <c r="E52" s="206"/>
      <c r="F52" s="206"/>
      <c r="G52" s="206"/>
      <c r="H52" s="235" t="str">
        <f>IF(ROUND(SUM(IS!D52:G52),1)=ROUND(IS!H52,1),"OK","ERROR")</f>
        <v>OK</v>
      </c>
      <c r="I52" s="208"/>
      <c r="J52" s="206"/>
      <c r="K52" s="206"/>
      <c r="L52" s="206"/>
      <c r="M52" s="206"/>
      <c r="N52" s="235" t="str">
        <f>IF(ROUND(SUM(IS!J52:M52),1)=ROUND(IS!N52,1),"OK","ERROR")</f>
        <v>OK</v>
      </c>
      <c r="O52" s="208"/>
      <c r="P52" s="206"/>
      <c r="Q52" s="206"/>
      <c r="R52" s="206"/>
      <c r="S52" s="206"/>
      <c r="T52" s="235" t="str">
        <f>IF(ROUND(SUM(IS!P52:S52),1)=ROUND(IS!T52,1),"OK","ERROR")</f>
        <v>OK</v>
      </c>
      <c r="U52" s="208"/>
      <c r="V52" s="206"/>
      <c r="W52" s="206"/>
      <c r="X52" s="206"/>
      <c r="Y52" s="206"/>
      <c r="Z52" s="235" t="str">
        <f>IF(ROUND(SUM(IS!V52:Y52),1)=ROUND(IS!Z52,1),"OK","ERROR")</f>
        <v>OK</v>
      </c>
      <c r="AA52" s="208"/>
      <c r="AB52" s="206"/>
      <c r="AC52" s="206"/>
      <c r="AD52" s="206"/>
      <c r="AE52" s="206"/>
      <c r="AF52" s="235" t="str">
        <f>IF(ROUND(SUM(IS!AB52:AE52),1)=ROUND(IS!AF52,1),"OK","ERROR")</f>
        <v>ERROR</v>
      </c>
      <c r="AG52" s="236"/>
      <c r="AH52" s="206"/>
      <c r="AI52" s="206"/>
      <c r="AJ52" s="210"/>
      <c r="AK52" s="210"/>
      <c r="AL52" s="235" t="str">
        <f>IF(ROUND(SUM(IS!AH52:AK52),1)=ROUND(IS!AL52,1),"OK","ERROR")</f>
        <v>ERROR</v>
      </c>
      <c r="AM52" s="208"/>
      <c r="AN52" s="210"/>
      <c r="AO52" s="210"/>
      <c r="AP52" s="210"/>
      <c r="AQ52" s="210"/>
      <c r="AR52" s="235" t="str">
        <f>IF(ROUND(SUM(IS!AN52:AQ52),1)=ROUND(IS!AR52,1),"OK","ERROR")</f>
        <v>OK</v>
      </c>
      <c r="AS52" s="208"/>
      <c r="AT52" s="235"/>
      <c r="AU52" s="237"/>
      <c r="AV52" s="235"/>
      <c r="AW52" s="237"/>
      <c r="AX52" s="235"/>
    </row>
    <row r="53" spans="1:50" ht="14.25" customHeight="1" thickTop="1">
      <c r="A53" s="55"/>
      <c r="B53" s="205"/>
      <c r="D53" s="206"/>
      <c r="E53" s="206"/>
      <c r="F53" s="206"/>
      <c r="G53" s="206"/>
      <c r="H53" s="218"/>
      <c r="I53" s="208"/>
      <c r="J53" s="206"/>
      <c r="K53" s="206"/>
      <c r="L53" s="206"/>
      <c r="M53" s="206"/>
      <c r="N53" s="218"/>
      <c r="O53" s="208"/>
      <c r="P53" s="206"/>
      <c r="Q53" s="206"/>
      <c r="R53" s="206"/>
      <c r="S53" s="206"/>
      <c r="T53" s="218"/>
      <c r="U53" s="208"/>
      <c r="V53" s="206"/>
      <c r="W53" s="206"/>
      <c r="X53" s="206"/>
      <c r="Y53" s="206"/>
      <c r="Z53" s="218"/>
      <c r="AA53" s="208"/>
      <c r="AB53" s="206"/>
      <c r="AC53" s="206"/>
      <c r="AD53" s="206"/>
      <c r="AE53" s="206"/>
      <c r="AF53" s="218"/>
      <c r="AG53" s="236"/>
      <c r="AH53" s="206"/>
      <c r="AI53" s="206"/>
      <c r="AJ53" s="210"/>
      <c r="AK53" s="210"/>
      <c r="AL53" s="218"/>
      <c r="AM53" s="208"/>
      <c r="AN53" s="210"/>
      <c r="AO53" s="210"/>
      <c r="AP53" s="210"/>
      <c r="AQ53" s="210"/>
      <c r="AR53" s="218"/>
      <c r="AS53" s="208"/>
      <c r="AT53" s="218"/>
      <c r="AU53" s="237"/>
      <c r="AV53" s="218"/>
      <c r="AW53" s="237"/>
      <c r="AX53" s="218"/>
    </row>
    <row r="54" spans="1:50" ht="14.25" customHeight="1">
      <c r="A54" s="44" t="s">
        <v>39</v>
      </c>
      <c r="B54" s="65" t="s">
        <v>618</v>
      </c>
      <c r="D54" s="206"/>
      <c r="E54" s="206"/>
      <c r="F54" s="206"/>
      <c r="G54" s="206"/>
      <c r="H54" s="218"/>
      <c r="I54" s="208"/>
      <c r="J54" s="206"/>
      <c r="K54" s="206"/>
      <c r="L54" s="206"/>
      <c r="M54" s="206"/>
      <c r="N54" s="218"/>
      <c r="O54" s="208"/>
      <c r="P54" s="206"/>
      <c r="Q54" s="206"/>
      <c r="R54" s="206"/>
      <c r="S54" s="206"/>
      <c r="T54" s="218"/>
      <c r="U54" s="208"/>
      <c r="V54" s="206"/>
      <c r="W54" s="206"/>
      <c r="X54" s="206"/>
      <c r="Y54" s="206"/>
      <c r="Z54" s="218"/>
      <c r="AA54" s="208"/>
      <c r="AB54" s="206"/>
      <c r="AC54" s="206"/>
      <c r="AD54" s="206"/>
      <c r="AE54" s="206"/>
      <c r="AF54" s="218"/>
      <c r="AG54" s="236"/>
      <c r="AH54" s="206"/>
      <c r="AI54" s="206"/>
      <c r="AJ54" s="210"/>
      <c r="AK54" s="210"/>
      <c r="AL54" s="218"/>
      <c r="AM54" s="208"/>
      <c r="AN54" s="210"/>
      <c r="AO54" s="210"/>
      <c r="AP54" s="210"/>
      <c r="AQ54" s="210"/>
      <c r="AR54" s="218"/>
      <c r="AS54" s="208"/>
      <c r="AT54" s="218"/>
      <c r="AU54" s="237"/>
      <c r="AV54" s="218"/>
      <c r="AW54" s="237"/>
      <c r="AX54" s="218"/>
    </row>
    <row r="55" spans="1:50" ht="14.25" customHeight="1">
      <c r="A55" s="55"/>
      <c r="B55" s="76" t="s">
        <v>619</v>
      </c>
      <c r="D55" s="238"/>
      <c r="E55" s="238"/>
      <c r="F55" s="238"/>
      <c r="G55" s="238"/>
      <c r="H55" s="239" t="str">
        <f>IF(ROUND(AVERAGE(IS!D55:G55),0)-ROUND(IS!H55,0)&lt;0.01*ROUND(IS!H55,0),"OK","ERROR")</f>
        <v>ERROR</v>
      </c>
      <c r="I55" s="240"/>
      <c r="J55" s="238"/>
      <c r="K55" s="238"/>
      <c r="L55" s="238"/>
      <c r="M55" s="238"/>
      <c r="N55" s="239" t="str">
        <f>IF(ROUND(AVERAGE(IS!J55:M55),0)-ROUND(IS!N55,0)&lt;0.01*ROUND(IS!N55,0),"OK","ERROR")</f>
        <v>ERROR</v>
      </c>
      <c r="O55" s="240"/>
      <c r="P55" s="238"/>
      <c r="Q55" s="238"/>
      <c r="R55" s="238"/>
      <c r="S55" s="238"/>
      <c r="T55" s="239" t="str">
        <f>IF(ROUND(AVERAGE(IS!P55:S55),0)-ROUND(IS!T55,0)&lt;0.01*ROUND(IS!T55,0),"OK","ERROR")</f>
        <v>ERROR</v>
      </c>
      <c r="U55" s="240"/>
      <c r="V55" s="238"/>
      <c r="W55" s="238"/>
      <c r="X55" s="238"/>
      <c r="Y55" s="238"/>
      <c r="Z55" s="239" t="str">
        <f>IF(ROUND(AVERAGE(IS!V55:Y55),0)-ROUND(IS!Z55,0)&lt;0.01*ROUND(IS!Z55,0),"OK","ERROR")</f>
        <v>ERROR</v>
      </c>
      <c r="AA55" s="240"/>
      <c r="AB55" s="238"/>
      <c r="AC55" s="238"/>
      <c r="AD55" s="238"/>
      <c r="AE55" s="238"/>
      <c r="AF55" s="239" t="str">
        <f>IF(ROUND(AVERAGE(IS!AB55:AE55),0)-ROUND(IS!AF55,0)&lt;0.01*ROUND(IS!AF55,0),"OK","ERROR")</f>
        <v>ERROR</v>
      </c>
      <c r="AG55" s="241"/>
      <c r="AH55" s="238"/>
      <c r="AI55" s="238"/>
      <c r="AJ55" s="242"/>
      <c r="AK55" s="242"/>
      <c r="AL55" s="239" t="str">
        <f>IF(ROUND(AVERAGE(IS!AH55:AK55),0)-ROUND(IS!AL55,0)&lt;0.01*ROUND(IS!AL55,0),"OK","ERROR")</f>
        <v>ERROR</v>
      </c>
      <c r="AM55" s="240"/>
      <c r="AN55" s="242"/>
      <c r="AO55" s="242"/>
      <c r="AP55" s="242"/>
      <c r="AQ55" s="242"/>
      <c r="AR55" s="239" t="e">
        <f>IF(ROUND(AVERAGE(IS!AN55:AQ55),0)-ROUND(IS!AR55,0)&lt;0.01*ROUND(IS!AR55,0),"OK","ERROR")</f>
        <v>#DIV/0!</v>
      </c>
      <c r="AS55" s="240"/>
      <c r="AT55" s="239"/>
      <c r="AU55" s="243"/>
      <c r="AV55" s="239"/>
      <c r="AW55" s="243"/>
      <c r="AX55" s="239"/>
    </row>
    <row r="56" spans="1:50" ht="14.25" customHeight="1">
      <c r="A56" s="73"/>
      <c r="B56" s="76" t="s">
        <v>620</v>
      </c>
      <c r="D56" s="238"/>
      <c r="E56" s="238"/>
      <c r="F56" s="238"/>
      <c r="G56" s="238"/>
      <c r="H56" s="239" t="str">
        <f>IF(ROUND(AVERAGE(IS!D56:G56),0)-ROUND(IS!H56,0)&lt;0.01*ROUND(IS!H56,0),"OK","ERROR")</f>
        <v>ERROR</v>
      </c>
      <c r="I56" s="240"/>
      <c r="J56" s="238"/>
      <c r="K56" s="238"/>
      <c r="L56" s="238"/>
      <c r="M56" s="238"/>
      <c r="N56" s="239" t="str">
        <f>IF(ROUND(AVERAGE(IS!J56:M56),0)-ROUND(IS!N56,0)&lt;0.01*ROUND(IS!N56,0),"OK","ERROR")</f>
        <v>ERROR</v>
      </c>
      <c r="O56" s="240"/>
      <c r="P56" s="238"/>
      <c r="Q56" s="238"/>
      <c r="R56" s="238"/>
      <c r="S56" s="238"/>
      <c r="T56" s="239" t="str">
        <f>IF(ROUND(AVERAGE(IS!P56:S56),0)-ROUND(IS!T56,0)&lt;0.01*ROUND(IS!T56,0),"OK","ERROR")</f>
        <v>ERROR</v>
      </c>
      <c r="U56" s="240"/>
      <c r="V56" s="238"/>
      <c r="W56" s="238"/>
      <c r="X56" s="238"/>
      <c r="Y56" s="238"/>
      <c r="Z56" s="239" t="str">
        <f>IF(ROUND(AVERAGE(IS!V56:Y56),0)-ROUND(IS!Z56,0)&lt;0.01*ROUND(IS!Z56,0),"OK","ERROR")</f>
        <v>ERROR</v>
      </c>
      <c r="AA56" s="240"/>
      <c r="AB56" s="238"/>
      <c r="AC56" s="238"/>
      <c r="AD56" s="238"/>
      <c r="AE56" s="238"/>
      <c r="AF56" s="239" t="str">
        <f>IF(ROUND(AVERAGE(IS!AB56:AE56),0)-ROUND(IS!AF56,0)&lt;0.01*ROUND(IS!AF56,0),"OK","ERROR")</f>
        <v>ERROR</v>
      </c>
      <c r="AG56" s="241"/>
      <c r="AH56" s="238"/>
      <c r="AI56" s="238"/>
      <c r="AJ56" s="242"/>
      <c r="AK56" s="242"/>
      <c r="AL56" s="239" t="str">
        <f>IF(ROUND(AVERAGE(IS!AH56:AK56),0)-ROUND(IS!AL56,0)&lt;0.01*ROUND(IS!AL56,0),"OK","ERROR")</f>
        <v>ERROR</v>
      </c>
      <c r="AM56" s="240"/>
      <c r="AN56" s="242"/>
      <c r="AO56" s="242"/>
      <c r="AP56" s="242"/>
      <c r="AQ56" s="242"/>
      <c r="AR56" s="239" t="e">
        <f>IF(ROUND(AVERAGE(IS!AN56:AQ56),0)-ROUND(IS!AR56,0)&lt;0.01*ROUND(IS!AR56,0),"OK","ERROR")</f>
        <v>#DIV/0!</v>
      </c>
      <c r="AS56" s="240"/>
      <c r="AT56" s="239"/>
      <c r="AU56" s="243"/>
      <c r="AV56" s="239"/>
      <c r="AW56" s="243"/>
      <c r="AX56" s="239"/>
    </row>
    <row r="57" spans="1:50" ht="14.25" customHeight="1">
      <c r="A57" s="55"/>
      <c r="B57" s="205"/>
      <c r="D57" s="206"/>
      <c r="E57" s="206"/>
      <c r="F57" s="206"/>
      <c r="G57" s="206"/>
      <c r="H57" s="218"/>
      <c r="I57" s="208"/>
      <c r="J57" s="206"/>
      <c r="K57" s="206"/>
      <c r="L57" s="206"/>
      <c r="M57" s="206"/>
      <c r="N57" s="218"/>
      <c r="O57" s="208"/>
      <c r="P57" s="206"/>
      <c r="Q57" s="206"/>
      <c r="R57" s="206"/>
      <c r="S57" s="206"/>
      <c r="T57" s="218"/>
      <c r="U57" s="208"/>
      <c r="V57" s="206"/>
      <c r="W57" s="206"/>
      <c r="X57" s="206"/>
      <c r="Y57" s="206"/>
      <c r="Z57" s="218"/>
      <c r="AA57" s="208"/>
      <c r="AB57" s="206"/>
      <c r="AC57" s="206"/>
      <c r="AD57" s="206"/>
      <c r="AE57" s="206"/>
      <c r="AF57" s="218"/>
      <c r="AG57" s="236"/>
      <c r="AH57" s="206"/>
      <c r="AI57" s="206"/>
      <c r="AJ57" s="210"/>
      <c r="AK57" s="210"/>
      <c r="AL57" s="218"/>
      <c r="AM57" s="208"/>
      <c r="AN57" s="210"/>
      <c r="AO57" s="210"/>
      <c r="AP57" s="210"/>
      <c r="AQ57" s="210"/>
      <c r="AR57" s="218"/>
      <c r="AS57" s="208"/>
      <c r="AT57" s="218"/>
      <c r="AU57" s="237"/>
      <c r="AV57" s="218"/>
      <c r="AW57" s="237"/>
      <c r="AX57" s="218"/>
    </row>
    <row r="58" spans="1:50" ht="14.25" customHeight="1">
      <c r="A58" s="44" t="s">
        <v>39</v>
      </c>
      <c r="B58" s="65" t="s">
        <v>621</v>
      </c>
      <c r="D58" s="206"/>
      <c r="E58" s="206"/>
      <c r="F58" s="206"/>
      <c r="G58" s="206"/>
      <c r="H58" s="218"/>
      <c r="I58" s="208"/>
      <c r="J58" s="206"/>
      <c r="K58" s="206"/>
      <c r="L58" s="206"/>
      <c r="M58" s="206"/>
      <c r="N58" s="218"/>
      <c r="O58" s="208"/>
      <c r="P58" s="206"/>
      <c r="Q58" s="206"/>
      <c r="R58" s="206"/>
      <c r="S58" s="206"/>
      <c r="T58" s="218"/>
      <c r="U58" s="208"/>
      <c r="V58" s="206"/>
      <c r="W58" s="206"/>
      <c r="X58" s="206"/>
      <c r="Y58" s="206"/>
      <c r="Z58" s="218"/>
      <c r="AA58" s="208"/>
      <c r="AB58" s="206"/>
      <c r="AC58" s="206"/>
      <c r="AD58" s="206"/>
      <c r="AE58" s="206"/>
      <c r="AF58" s="218"/>
      <c r="AG58" s="236"/>
      <c r="AH58" s="206"/>
      <c r="AI58" s="206"/>
      <c r="AJ58" s="210"/>
      <c r="AK58" s="210"/>
      <c r="AL58" s="218"/>
      <c r="AM58" s="208"/>
      <c r="AN58" s="210"/>
      <c r="AO58" s="210"/>
      <c r="AP58" s="210"/>
      <c r="AQ58" s="210"/>
      <c r="AR58" s="218"/>
      <c r="AS58" s="208"/>
      <c r="AT58" s="218"/>
      <c r="AU58" s="237"/>
      <c r="AV58" s="218"/>
      <c r="AW58" s="237"/>
      <c r="AX58" s="218"/>
    </row>
    <row r="59" spans="1:50" ht="14.25" customHeight="1">
      <c r="B59" s="70" t="s">
        <v>622</v>
      </c>
      <c r="D59" s="206"/>
      <c r="E59" s="206"/>
      <c r="F59" s="206"/>
      <c r="G59" s="206"/>
      <c r="H59" s="218" t="str">
        <f>IF(ROUND(AVERAGE(IS!D59:G59),0)-ROUND(IS!H59,0)&lt;0.01*ROUND(IS!H59,0),"OK","ERROR")</f>
        <v>ERROR</v>
      </c>
      <c r="I59" s="208"/>
      <c r="J59" s="206"/>
      <c r="K59" s="206"/>
      <c r="L59" s="206"/>
      <c r="M59" s="206"/>
      <c r="N59" s="218" t="str">
        <f>IF(ROUND(AVERAGE(IS!J59:M59),0)-ROUND(IS!N59,0)&lt;0.01*ROUND(IS!N59,0),"OK","ERROR")</f>
        <v>OK</v>
      </c>
      <c r="O59" s="208"/>
      <c r="P59" s="206"/>
      <c r="Q59" s="206"/>
      <c r="R59" s="206"/>
      <c r="S59" s="206"/>
      <c r="T59" s="218" t="str">
        <f>IF(ROUND(AVERAGE(IS!P59:S59),0)-ROUND(IS!T59,0)&lt;0.01*ROUND(IS!T59,0),"OK","ERROR")</f>
        <v>OK</v>
      </c>
      <c r="U59" s="208"/>
      <c r="V59" s="206"/>
      <c r="W59" s="206"/>
      <c r="X59" s="206"/>
      <c r="Y59" s="206"/>
      <c r="Z59" s="218" t="str">
        <f>IF(ROUND(AVERAGE(IS!V59:Y59),0)-ROUND(IS!Z59,0)&lt;0.01*ROUND(IS!Z59,0),"OK","ERROR")</f>
        <v>OK</v>
      </c>
      <c r="AA59" s="208"/>
      <c r="AB59" s="206"/>
      <c r="AC59" s="206"/>
      <c r="AD59" s="206"/>
      <c r="AE59" s="206"/>
      <c r="AF59" s="218" t="str">
        <f>IF(ROUND(AVERAGE(IS!AB59:AE59),0)-ROUND(IS!AF59,0)&lt;0.01*ROUND(IS!AF59,0),"OK","ERROR")</f>
        <v>OK</v>
      </c>
      <c r="AG59" s="236"/>
      <c r="AH59" s="206"/>
      <c r="AI59" s="206"/>
      <c r="AJ59" s="210"/>
      <c r="AK59" s="210"/>
      <c r="AL59" s="218" t="str">
        <f>IF(ROUND(AVERAGE(IS!AH59:AK59),0)-ROUND(IS!AL59,0)&lt;0.01*ROUND(IS!AL59,0),"OK","ERROR")</f>
        <v>ERROR</v>
      </c>
      <c r="AM59" s="208"/>
      <c r="AN59" s="210"/>
      <c r="AO59" s="210"/>
      <c r="AP59" s="210"/>
      <c r="AQ59" s="210"/>
      <c r="AR59" s="218" t="e">
        <f>IF(ROUND(AVERAGE(IS!AN59:AQ59),0)-ROUND(IS!AR59,0)&lt;0.01*ROUND(IS!AR59,0),"OK","ERROR")</f>
        <v>#DIV/0!</v>
      </c>
      <c r="AS59" s="208"/>
      <c r="AT59" s="218"/>
      <c r="AU59" s="237"/>
      <c r="AV59" s="218"/>
      <c r="AW59" s="237"/>
      <c r="AX59" s="218"/>
    </row>
    <row r="60" spans="1:50" ht="14.25" customHeight="1">
      <c r="B60" s="70" t="s">
        <v>623</v>
      </c>
      <c r="D60" s="206"/>
      <c r="E60" s="206"/>
      <c r="F60" s="206"/>
      <c r="G60" s="206"/>
      <c r="H60" s="218" t="str">
        <f>IF(ROUND(AVERAGE(IS!D60:G60),0)-ROUND(IS!H60,0)&lt;0.01*ROUND(IS!H60,0),"OK","ERROR")</f>
        <v>ERROR</v>
      </c>
      <c r="I60" s="208"/>
      <c r="J60" s="206"/>
      <c r="K60" s="206"/>
      <c r="L60" s="206"/>
      <c r="M60" s="206"/>
      <c r="N60" s="218" t="str">
        <f>IF(ROUND(AVERAGE(IS!J60:M60),0)-ROUND(IS!N60,0)&lt;0.01*ROUND(IS!N60,0),"OK","ERROR")</f>
        <v>OK</v>
      </c>
      <c r="O60" s="208"/>
      <c r="P60" s="206"/>
      <c r="Q60" s="206"/>
      <c r="R60" s="206"/>
      <c r="S60" s="206"/>
      <c r="T60" s="218" t="str">
        <f>IF(ROUND(AVERAGE(IS!P60:S60),0)-ROUND(IS!T60,0)&lt;0.01*ROUND(IS!T60,0),"OK","ERROR")</f>
        <v>OK</v>
      </c>
      <c r="U60" s="208"/>
      <c r="V60" s="206"/>
      <c r="W60" s="206"/>
      <c r="X60" s="206"/>
      <c r="Y60" s="206"/>
      <c r="Z60" s="218" t="str">
        <f>IF(ROUND(AVERAGE(IS!V60:Y60),0)-ROUND(IS!Z60,0)&lt;0.01*ROUND(IS!Z60,0),"OK","ERROR")</f>
        <v>OK</v>
      </c>
      <c r="AA60" s="208"/>
      <c r="AB60" s="206"/>
      <c r="AC60" s="206"/>
      <c r="AD60" s="206"/>
      <c r="AE60" s="206"/>
      <c r="AF60" s="218" t="str">
        <f>IF(ROUND(AVERAGE(IS!AB60:AE60),0)-ROUND(IS!AF60,0)&lt;0.01*ROUND(IS!AF60,0),"OK","ERROR")</f>
        <v>OK</v>
      </c>
      <c r="AG60" s="236"/>
      <c r="AH60" s="206"/>
      <c r="AI60" s="206"/>
      <c r="AJ60" s="210"/>
      <c r="AK60" s="210"/>
      <c r="AL60" s="218" t="str">
        <f>IF(ROUND(AVERAGE(IS!AH60:AK60),0)-ROUND(IS!AL60,0)&lt;0.01*ROUND(IS!AL60,0),"OK","ERROR")</f>
        <v>ERROR</v>
      </c>
      <c r="AM60" s="208"/>
      <c r="AN60" s="210"/>
      <c r="AO60" s="210"/>
      <c r="AP60" s="210"/>
      <c r="AQ60" s="210"/>
      <c r="AR60" s="218" t="e">
        <f>IF(ROUND(AVERAGE(IS!AN60:AQ60),0)-ROUND(IS!AR60,0)&lt;0.01*ROUND(IS!AR60,0),"OK","ERROR")</f>
        <v>#DIV/0!</v>
      </c>
      <c r="AS60" s="208"/>
      <c r="AT60" s="218"/>
      <c r="AU60" s="237"/>
      <c r="AV60" s="218"/>
      <c r="AW60" s="237"/>
      <c r="AX60" s="218"/>
    </row>
    <row r="62" spans="1:50" s="41" customFormat="1" ht="15" customHeight="1">
      <c r="B62" s="159" t="s">
        <v>700</v>
      </c>
      <c r="C62" s="18"/>
      <c r="D62" s="200">
        <f>F62</f>
        <v>2020</v>
      </c>
      <c r="E62" s="200">
        <f>F62</f>
        <v>2020</v>
      </c>
      <c r="F62" s="200">
        <v>2020</v>
      </c>
      <c r="G62" s="200">
        <f>F62</f>
        <v>2020</v>
      </c>
      <c r="H62" s="200">
        <f>F62</f>
        <v>2020</v>
      </c>
      <c r="I62" s="18"/>
      <c r="J62" s="200">
        <f>L62</f>
        <v>2021</v>
      </c>
      <c r="K62" s="200">
        <f>L62</f>
        <v>2021</v>
      </c>
      <c r="L62" s="200">
        <v>2021</v>
      </c>
      <c r="M62" s="200">
        <f>L62</f>
        <v>2021</v>
      </c>
      <c r="N62" s="200">
        <f>L62</f>
        <v>2021</v>
      </c>
      <c r="O62" s="167"/>
      <c r="P62" s="200">
        <f>R62</f>
        <v>2022</v>
      </c>
      <c r="Q62" s="200">
        <f>R62</f>
        <v>2022</v>
      </c>
      <c r="R62" s="200">
        <v>2022</v>
      </c>
      <c r="S62" s="200">
        <f>R62</f>
        <v>2022</v>
      </c>
      <c r="T62" s="200">
        <f>R62</f>
        <v>2022</v>
      </c>
      <c r="U62" s="167"/>
      <c r="V62" s="200">
        <f>X62</f>
        <v>2023</v>
      </c>
      <c r="W62" s="200">
        <f>X62</f>
        <v>2023</v>
      </c>
      <c r="X62" s="200">
        <v>2023</v>
      </c>
      <c r="Y62" s="200">
        <f>X62</f>
        <v>2023</v>
      </c>
      <c r="Z62" s="200">
        <f>X62</f>
        <v>2023</v>
      </c>
      <c r="AA62" s="168"/>
      <c r="AB62" s="200">
        <f>AD62</f>
        <v>2024</v>
      </c>
      <c r="AC62" s="200">
        <f>AD62</f>
        <v>2024</v>
      </c>
      <c r="AD62" s="200">
        <v>2024</v>
      </c>
      <c r="AE62" s="200">
        <f>AD62</f>
        <v>2024</v>
      </c>
      <c r="AF62" s="200">
        <f>AD62</f>
        <v>2024</v>
      </c>
      <c r="AG62" s="168"/>
      <c r="AH62" s="200">
        <f>AJ62</f>
        <v>2025</v>
      </c>
      <c r="AI62" s="200">
        <f>AJ62</f>
        <v>2025</v>
      </c>
      <c r="AJ62" s="201">
        <v>2025</v>
      </c>
      <c r="AK62" s="200">
        <f>AJ62</f>
        <v>2025</v>
      </c>
      <c r="AL62" s="200">
        <f>AJ62</f>
        <v>2025</v>
      </c>
      <c r="AM62" s="169"/>
      <c r="AN62" s="200">
        <f>AP62</f>
        <v>2025</v>
      </c>
      <c r="AO62" s="200">
        <f>AP62</f>
        <v>2025</v>
      </c>
      <c r="AP62" s="201">
        <v>2025</v>
      </c>
      <c r="AQ62" s="200">
        <f>AP62</f>
        <v>2025</v>
      </c>
      <c r="AR62" s="200">
        <f>AP62</f>
        <v>2025</v>
      </c>
      <c r="AS62" s="18"/>
      <c r="AT62" s="160"/>
      <c r="AU62" s="18"/>
      <c r="AV62" s="161"/>
      <c r="AW62" s="18"/>
      <c r="AX62" s="161"/>
    </row>
    <row r="63" spans="1:50" s="41" customFormat="1" ht="15" customHeight="1">
      <c r="B63" s="162"/>
      <c r="C63" s="18"/>
      <c r="D63" s="950">
        <v>2020</v>
      </c>
      <c r="E63" s="950"/>
      <c r="F63" s="950"/>
      <c r="G63" s="950"/>
      <c r="H63" s="950"/>
      <c r="I63" s="167"/>
      <c r="J63" s="950">
        <f>D63+1</f>
        <v>2021</v>
      </c>
      <c r="K63" s="950"/>
      <c r="L63" s="950"/>
      <c r="M63" s="950"/>
      <c r="N63" s="950"/>
      <c r="O63" s="167"/>
      <c r="P63" s="950">
        <f>J63+1</f>
        <v>2022</v>
      </c>
      <c r="Q63" s="950"/>
      <c r="R63" s="950"/>
      <c r="S63" s="950"/>
      <c r="T63" s="950"/>
      <c r="U63" s="167"/>
      <c r="V63" s="950">
        <f>P63+1</f>
        <v>2023</v>
      </c>
      <c r="W63" s="950"/>
      <c r="X63" s="950"/>
      <c r="Y63" s="950"/>
      <c r="Z63" s="950"/>
      <c r="AA63" s="167"/>
      <c r="AB63" s="950">
        <f>V63+1</f>
        <v>2024</v>
      </c>
      <c r="AC63" s="950"/>
      <c r="AD63" s="950"/>
      <c r="AE63" s="950"/>
      <c r="AF63" s="950"/>
      <c r="AG63" s="167"/>
      <c r="AH63" s="949">
        <f>AB63+1</f>
        <v>2025</v>
      </c>
      <c r="AI63" s="949"/>
      <c r="AJ63" s="949"/>
      <c r="AK63" s="949"/>
      <c r="AL63" s="949"/>
      <c r="AM63" s="167"/>
      <c r="AN63" s="949">
        <f>AH63+1</f>
        <v>2026</v>
      </c>
      <c r="AO63" s="949"/>
      <c r="AP63" s="949"/>
      <c r="AQ63" s="949"/>
      <c r="AR63" s="949"/>
      <c r="AS63" s="169"/>
      <c r="AT63" s="164">
        <f>AN63+1</f>
        <v>2027</v>
      </c>
      <c r="AU63" s="165"/>
      <c r="AV63" s="164">
        <f>+AT63+1</f>
        <v>2028</v>
      </c>
      <c r="AW63" s="165"/>
      <c r="AX63" s="164">
        <f>+AV63+1</f>
        <v>2029</v>
      </c>
    </row>
    <row r="64" spans="1:50" s="41" customFormat="1" ht="14.25" customHeight="1">
      <c r="B64" s="162"/>
      <c r="C64" s="18"/>
      <c r="D64" s="166" t="s">
        <v>197</v>
      </c>
      <c r="E64" s="166" t="s">
        <v>198</v>
      </c>
      <c r="F64" s="166" t="s">
        <v>199</v>
      </c>
      <c r="G64" s="166" t="s">
        <v>200</v>
      </c>
      <c r="H64" s="166" t="s">
        <v>201</v>
      </c>
      <c r="I64" s="18"/>
      <c r="J64" s="166" t="s">
        <v>197</v>
      </c>
      <c r="K64" s="166" t="s">
        <v>198</v>
      </c>
      <c r="L64" s="166" t="s">
        <v>199</v>
      </c>
      <c r="M64" s="166" t="s">
        <v>200</v>
      </c>
      <c r="N64" s="166" t="s">
        <v>201</v>
      </c>
      <c r="O64" s="163"/>
      <c r="P64" s="166" t="s">
        <v>197</v>
      </c>
      <c r="Q64" s="166" t="s">
        <v>198</v>
      </c>
      <c r="R64" s="166" t="s">
        <v>199</v>
      </c>
      <c r="S64" s="166" t="s">
        <v>200</v>
      </c>
      <c r="T64" s="166" t="s">
        <v>201</v>
      </c>
      <c r="U64" s="163"/>
      <c r="V64" s="166" t="s">
        <v>197</v>
      </c>
      <c r="W64" s="166" t="s">
        <v>198</v>
      </c>
      <c r="X64" s="166" t="s">
        <v>199</v>
      </c>
      <c r="Y64" s="166" t="s">
        <v>200</v>
      </c>
      <c r="Z64" s="166" t="s">
        <v>201</v>
      </c>
      <c r="AA64" s="163"/>
      <c r="AB64" s="166" t="s">
        <v>197</v>
      </c>
      <c r="AC64" s="166" t="s">
        <v>198</v>
      </c>
      <c r="AD64" s="166" t="s">
        <v>199</v>
      </c>
      <c r="AE64" s="166" t="s">
        <v>200</v>
      </c>
      <c r="AF64" s="166" t="s">
        <v>201</v>
      </c>
      <c r="AG64" s="163"/>
      <c r="AH64" s="166" t="s">
        <v>197</v>
      </c>
      <c r="AI64" s="166" t="s">
        <v>198</v>
      </c>
      <c r="AJ64" s="166" t="s">
        <v>199</v>
      </c>
      <c r="AK64" s="166" t="s">
        <v>200</v>
      </c>
      <c r="AL64" s="166" t="s">
        <v>201</v>
      </c>
      <c r="AM64" s="163"/>
      <c r="AN64" s="166" t="s">
        <v>197</v>
      </c>
      <c r="AO64" s="166" t="s">
        <v>198</v>
      </c>
      <c r="AP64" s="166" t="s">
        <v>199</v>
      </c>
      <c r="AQ64" s="166" t="s">
        <v>200</v>
      </c>
      <c r="AR64" s="166" t="s">
        <v>201</v>
      </c>
      <c r="AS64" s="163"/>
      <c r="AT64" s="166" t="s">
        <v>201</v>
      </c>
      <c r="AU64" s="163"/>
      <c r="AV64" s="166" t="s">
        <v>201</v>
      </c>
      <c r="AW64" s="163"/>
      <c r="AX64" s="166" t="s">
        <v>201</v>
      </c>
    </row>
    <row r="67" spans="1:50" ht="14.25" customHeight="1">
      <c r="A67" s="44" t="s">
        <v>39</v>
      </c>
      <c r="B67" s="65" t="s">
        <v>588</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209</v>
      </c>
      <c r="D68" s="215" t="str">
        <f>IF(ROUND(SUM(IS!D13:D17),0)=IS!D18,"OK","ERROR")</f>
        <v>ERROR</v>
      </c>
      <c r="E68" s="215" t="str">
        <f>IF(ROUND(SUM(IS!E13:E17),0)=IS!E18,"OK","ERROR")</f>
        <v>ERROR</v>
      </c>
      <c r="F68" s="215" t="str">
        <f>IF(ROUND(SUM(IS!F13:F17),0)=IS!F18,"OK","ERROR")</f>
        <v>ERROR</v>
      </c>
      <c r="G68" s="215" t="str">
        <f>IF(ROUND(SUM(IS!G13:G17),0)=IS!G18,"OK","ERROR")</f>
        <v>ERROR</v>
      </c>
      <c r="H68" s="216" t="str">
        <f>IF(ROUND(SUM(IS!H13:H17),0)=IS!H18,"OK","ERROR")</f>
        <v>OK</v>
      </c>
      <c r="I68" s="208"/>
      <c r="J68" s="215" t="str">
        <f>IF(ROUND(SUM(IS!J13:J17),0)=IS!J18,"OK","ERROR")</f>
        <v>ERROR</v>
      </c>
      <c r="K68" s="215" t="str">
        <f>IF(ROUND(SUM(IS!K13:K17),0)=IS!K18,"OK","ERROR")</f>
        <v>ERROR</v>
      </c>
      <c r="L68" s="215" t="str">
        <f>IF(ROUND(SUM(IS!L13:L17),0)=IS!L18,"OK","ERROR")</f>
        <v>ERROR</v>
      </c>
      <c r="M68" s="215" t="str">
        <f>IF(ROUND(SUM(IS!M13:M17),0)=IS!M18,"OK","ERROR")</f>
        <v>ERROR</v>
      </c>
      <c r="N68" s="216" t="str">
        <f>IF(ROUND(SUM(IS!N13:N17),0)=IS!N18,"OK","ERROR")</f>
        <v>OK</v>
      </c>
      <c r="O68" s="207"/>
      <c r="P68" s="215" t="str">
        <f>IF(ROUND(SUM(IS!P13:P17),0)=IS!P18,"OK","ERROR")</f>
        <v>ERROR</v>
      </c>
      <c r="Q68" s="215" t="str">
        <f>IF(ROUND(SUM(IS!Q13:Q17),0)=IS!Q18,"OK","ERROR")</f>
        <v>ERROR</v>
      </c>
      <c r="R68" s="215" t="str">
        <f>IF(ROUND(SUM(IS!R13:R17),0)=IS!R18,"OK","ERROR")</f>
        <v>ERROR</v>
      </c>
      <c r="S68" s="215" t="str">
        <f>IF(ROUND(SUM(IS!S13:S17),0)=IS!S18,"OK","ERROR")</f>
        <v>ERROR</v>
      </c>
      <c r="T68" s="216" t="str">
        <f>IF(ROUND(SUM(IS!T13:T17),0)=IS!T18,"OK","ERROR")</f>
        <v>ERROR</v>
      </c>
      <c r="U68" s="207"/>
      <c r="V68" s="215" t="str">
        <f>IF(ROUND(SUM(IS!V13:V17),0)=IS!V18,"OK","ERROR")</f>
        <v>ERROR</v>
      </c>
      <c r="W68" s="215" t="str">
        <f>IF(ROUND(SUM(IS!W13:W17),0)=IS!W18,"OK","ERROR")</f>
        <v>ERROR</v>
      </c>
      <c r="X68" s="215" t="str">
        <f>IF(ROUND(SUM(IS!X13:X17),0)=IS!X18,"OK","ERROR")</f>
        <v>ERROR</v>
      </c>
      <c r="Y68" s="215" t="str">
        <f>IF(ROUND(SUM(IS!Y13:Y17),0)=IS!Y18,"OK","ERROR")</f>
        <v>ERROR</v>
      </c>
      <c r="Z68" s="216" t="str">
        <f>IF(ROUND(SUM(IS!Z13:Z17),0)=IS!Z18,"OK","ERROR")</f>
        <v>ERROR</v>
      </c>
      <c r="AA68" s="207"/>
      <c r="AB68" s="215" t="str">
        <f>IF(ROUND(SUM(IS!AB13:AB17),0)=IS!AB18,"OK","ERROR")</f>
        <v>ERROR</v>
      </c>
      <c r="AC68" s="215" t="str">
        <f>IF(ROUND(SUM(IS!AC13:AC17),0)=IS!AC18,"OK","ERROR")</f>
        <v>ERROR</v>
      </c>
      <c r="AD68" s="215" t="str">
        <f>IF(ROUND(SUM(IS!AD13:AD17),0)=IS!AD18,"OK","ERROR")</f>
        <v>ERROR</v>
      </c>
      <c r="AE68" s="215" t="str">
        <f>IF(ROUND(SUM(IS!AE13:AE17),0)=IS!AE18,"OK","ERROR")</f>
        <v>ERROR</v>
      </c>
      <c r="AF68" s="216" t="str">
        <f>IF(ROUND(SUM(IS!AF13:AF17),0)=IS!AF18,"OK","ERROR")</f>
        <v>ERROR</v>
      </c>
      <c r="AG68" s="209"/>
      <c r="AH68" s="215" t="str">
        <f>IF(ROUND(SUM(IS!AH13:AH17),0)=IS!AH18,"OK","ERROR")</f>
        <v>OK</v>
      </c>
      <c r="AI68" s="215" t="str">
        <f>IF(ROUND(SUM(IS!AI13:AI17),0)=IS!AI18,"OK","ERROR")</f>
        <v>OK</v>
      </c>
      <c r="AJ68" s="215" t="str">
        <f>IF(ROUND(SUM(IS!AJ13:AJ17),0)=IS!AJ18,"OK","ERROR")</f>
        <v>ERROR</v>
      </c>
      <c r="AK68" s="215" t="str">
        <f>IF(ROUND(SUM(IS!AK13:AK17),0)=IS!AK18,"OK","ERROR")</f>
        <v>ERROR</v>
      </c>
      <c r="AL68" s="216" t="str">
        <f>IF(ROUND(SUM(IS!AL13:AL17),0)=IS!AL18,"OK","ERROR")</f>
        <v>ERROR</v>
      </c>
      <c r="AM68" s="211"/>
      <c r="AN68" s="215" t="str">
        <f>IF(ROUND(SUM(IS!AN13:AN17),0)=IS!AN18,"OK","ERROR")</f>
        <v>ERROR</v>
      </c>
      <c r="AO68" s="215" t="str">
        <f>IF(ROUND(SUM(IS!AO13:AO17),0)=IS!AO18,"OK","ERROR")</f>
        <v>ERROR</v>
      </c>
      <c r="AP68" s="215" t="str">
        <f>IF(ROUND(SUM(IS!AP13:AP17),0)=IS!AP18,"OK","ERROR")</f>
        <v>ERROR</v>
      </c>
      <c r="AQ68" s="215" t="str">
        <f>IF(ROUND(SUM(IS!AQ13:AQ17),0)=IS!AQ18,"OK","ERROR")</f>
        <v>ERROR</v>
      </c>
      <c r="AR68" s="216" t="str">
        <f>IF(ROUND(SUM(IS!AR13:AR17),0)=IS!AR18,"OK","ERROR")</f>
        <v>ERROR</v>
      </c>
      <c r="AS68" s="211"/>
      <c r="AT68" s="216" t="str">
        <f>IF(ROUND(SUM(IS!AT13:AT17),0)=IS!AT18,"OK","ERROR")</f>
        <v>ERROR</v>
      </c>
      <c r="AU68" s="213"/>
      <c r="AV68" s="216" t="str">
        <f>IF(ROUND(SUM(IS!AV13:AV17),0)=IS!AV18,"OK","ERROR")</f>
        <v>ERROR</v>
      </c>
      <c r="AW68" s="213"/>
      <c r="AX68" s="216" t="str">
        <f>IF(ROUND(SUM(IS!AX13:AX17),0)=IS!AX18,"OK","ERROR")</f>
        <v>ERROR</v>
      </c>
    </row>
    <row r="69" spans="1:50" ht="14.25" customHeight="1">
      <c r="A69" s="55"/>
      <c r="B69" s="64"/>
      <c r="D69" s="206"/>
      <c r="E69" s="206"/>
      <c r="F69" s="206"/>
      <c r="G69" s="206"/>
      <c r="H69" s="207"/>
      <c r="I69" s="208"/>
      <c r="J69" s="206"/>
      <c r="K69" s="206"/>
      <c r="L69" s="206"/>
      <c r="M69" s="206"/>
      <c r="N69" s="207"/>
      <c r="O69" s="207"/>
      <c r="P69" s="206"/>
      <c r="Q69" s="206"/>
      <c r="R69" s="206"/>
      <c r="S69" s="206"/>
      <c r="T69" s="207"/>
      <c r="U69" s="207"/>
      <c r="V69" s="206"/>
      <c r="W69" s="206"/>
      <c r="X69" s="206"/>
      <c r="Y69" s="206"/>
      <c r="Z69" s="207"/>
      <c r="AA69" s="207"/>
      <c r="AB69" s="206"/>
      <c r="AC69" s="206"/>
      <c r="AD69" s="206"/>
      <c r="AE69" s="206"/>
      <c r="AF69" s="207"/>
      <c r="AG69" s="209"/>
      <c r="AH69" s="206"/>
      <c r="AI69" s="206"/>
      <c r="AJ69" s="206"/>
      <c r="AK69" s="206"/>
      <c r="AL69" s="207"/>
      <c r="AM69" s="211"/>
      <c r="AN69" s="206"/>
      <c r="AO69" s="206"/>
      <c r="AP69" s="206"/>
      <c r="AQ69" s="206"/>
      <c r="AR69" s="207"/>
      <c r="AS69" s="211"/>
      <c r="AT69" s="207"/>
      <c r="AU69" s="213"/>
      <c r="AV69" s="207"/>
      <c r="AW69" s="213"/>
      <c r="AX69" s="207"/>
    </row>
    <row r="70" spans="1:50" ht="14.25" customHeight="1">
      <c r="A70" s="44" t="s">
        <v>39</v>
      </c>
      <c r="B70" s="65" t="s">
        <v>590</v>
      </c>
      <c r="D70" s="206"/>
      <c r="E70" s="206"/>
      <c r="F70" s="206"/>
      <c r="G70" s="206"/>
      <c r="H70" s="218"/>
      <c r="I70" s="208"/>
      <c r="J70" s="206"/>
      <c r="K70" s="206"/>
      <c r="L70" s="206"/>
      <c r="M70" s="206"/>
      <c r="N70" s="218"/>
      <c r="O70" s="208"/>
      <c r="P70" s="206"/>
      <c r="Q70" s="206"/>
      <c r="R70" s="206"/>
      <c r="S70" s="206"/>
      <c r="T70" s="218"/>
      <c r="U70" s="208"/>
      <c r="V70" s="206"/>
      <c r="W70" s="206"/>
      <c r="X70" s="206"/>
      <c r="Y70" s="206"/>
      <c r="Z70" s="218"/>
      <c r="AA70" s="211"/>
      <c r="AB70" s="206"/>
      <c r="AC70" s="206"/>
      <c r="AD70" s="206"/>
      <c r="AE70" s="206"/>
      <c r="AF70" s="218"/>
      <c r="AG70" s="209"/>
      <c r="AH70" s="206"/>
      <c r="AI70" s="206"/>
      <c r="AJ70" s="206"/>
      <c r="AK70" s="206"/>
      <c r="AL70" s="218"/>
      <c r="AM70" s="219"/>
      <c r="AN70" s="206"/>
      <c r="AO70" s="206"/>
      <c r="AP70" s="206"/>
      <c r="AQ70" s="206"/>
      <c r="AR70" s="218"/>
      <c r="AS70" s="219"/>
      <c r="AT70" s="218"/>
      <c r="AU70" s="221"/>
      <c r="AV70" s="218"/>
      <c r="AW70" s="221"/>
      <c r="AX70" s="218"/>
    </row>
    <row r="71" spans="1:50" ht="14.25" customHeight="1">
      <c r="A71" s="73"/>
      <c r="B71" s="79" t="s">
        <v>245</v>
      </c>
      <c r="D71" s="206" t="str">
        <f>IF(ROUND(IS!D18,0)-ROUND(SUM(IS!D21:D22),0)=ROUND(IS!D24,0),"OK","ERROR")</f>
        <v>ERROR</v>
      </c>
      <c r="E71" s="206" t="str">
        <f>IF(ROUND(IS!E18,0)-ROUND(SUM(IS!E21:E22),0)=ROUND(IS!E24,0),"OK","ERROR")</f>
        <v>ERROR</v>
      </c>
      <c r="F71" s="206" t="str">
        <f>IF(ROUND(IS!F18,0)-ROUND(SUM(IS!F21:F22),0)=ROUND(IS!F24,0),"OK","ERROR")</f>
        <v>ERROR</v>
      </c>
      <c r="G71" s="206" t="str">
        <f>IF(ROUND(IS!G18,0)-ROUND(SUM(IS!G21:G22),0)=ROUND(IS!G24,0),"OK","ERROR")</f>
        <v>ERROR</v>
      </c>
      <c r="H71" s="225" t="str">
        <f>IF(ROUND(IS!H18,0)-ROUND(SUM(IS!H21:H22),0)=ROUND(IS!H24,0),"OK","ERROR")</f>
        <v>ERROR</v>
      </c>
      <c r="I71" s="208"/>
      <c r="J71" s="206" t="str">
        <f>IF(ROUND(IS!J18,0)-ROUND(SUM(IS!J21:J22),0)=ROUND(IS!J24,0),"OK","ERROR")</f>
        <v>ERROR</v>
      </c>
      <c r="K71" s="206" t="str">
        <f>IF(ROUND(IS!K18,0)-ROUND(SUM(IS!K21:K22),0)=ROUND(IS!K24,0),"OK","ERROR")</f>
        <v>ERROR</v>
      </c>
      <c r="L71" s="206" t="str">
        <f>IF(ROUND(IS!L18,0)-ROUND(SUM(IS!L21:L22),0)=ROUND(IS!L24,0),"OK","ERROR")</f>
        <v>ERROR</v>
      </c>
      <c r="M71" s="206" t="str">
        <f>IF(ROUND(IS!M18,0)-ROUND(SUM(IS!M21:M22),0)=ROUND(IS!M24,0),"OK","ERROR")</f>
        <v>ERROR</v>
      </c>
      <c r="N71" s="225" t="str">
        <f>IF(ROUND(IS!N18,0)-ROUND(SUM(IS!N21:N22),0)=ROUND(IS!N24,0),"OK","ERROR")</f>
        <v>ERROR</v>
      </c>
      <c r="O71" s="208"/>
      <c r="P71" s="206" t="str">
        <f>IF(ROUND(IS!P18,0)-ROUND(SUM(IS!P21:P22),0)=ROUND(IS!P24,0),"OK","ERROR")</f>
        <v>OK</v>
      </c>
      <c r="Q71" s="206" t="str">
        <f>IF(ROUND(IS!Q18,0)-ROUND(SUM(IS!Q21:Q22),0)=ROUND(IS!Q24,0),"OK","ERROR")</f>
        <v>OK</v>
      </c>
      <c r="R71" s="206" t="str">
        <f>IF(ROUND(IS!R18,0)-ROUND(SUM(IS!R21:R22),0)=ROUND(IS!R24,0),"OK","ERROR")</f>
        <v>OK</v>
      </c>
      <c r="S71" s="206" t="str">
        <f>IF(ROUND(IS!S18,0)-ROUND(SUM(IS!S21:S22),0)=ROUND(IS!S24,0),"OK","ERROR")</f>
        <v>OK</v>
      </c>
      <c r="T71" s="225" t="str">
        <f>IF(ROUND(IS!T18,0)-ROUND(SUM(IS!T21:T22),0)=ROUND(IS!T24,0),"OK","ERROR")</f>
        <v>OK</v>
      </c>
      <c r="U71" s="208"/>
      <c r="V71" s="206" t="str">
        <f>IF(ROUND(IS!V18,0)-ROUND(SUM(IS!V21:V22),0)=ROUND(IS!V24,0),"OK","ERROR")</f>
        <v>OK</v>
      </c>
      <c r="W71" s="206" t="str">
        <f>IF(ROUND(IS!W18,0)-ROUND(SUM(IS!W21:W22),0)=ROUND(IS!W24,0),"OK","ERROR")</f>
        <v>OK</v>
      </c>
      <c r="X71" s="206" t="str">
        <f>IF(ROUND(IS!X18,0)-ROUND(SUM(IS!X21:X22),0)=ROUND(IS!X24,0),"OK","ERROR")</f>
        <v>OK</v>
      </c>
      <c r="Y71" s="206" t="str">
        <f>IF(ROUND(IS!Y18,0)-ROUND(SUM(IS!Y21:Y22),0)=ROUND(IS!Y24,0),"OK","ERROR")</f>
        <v>OK</v>
      </c>
      <c r="Z71" s="225" t="str">
        <f>IF(ROUND(IS!Z18,0)-ROUND(SUM(IS!Z21:Z22),0)=ROUND(IS!Z24,0),"OK","ERROR")</f>
        <v>OK</v>
      </c>
      <c r="AA71" s="211"/>
      <c r="AB71" s="206" t="str">
        <f>IF(ROUND(IS!AB18,0)-ROUND(SUM(IS!AB21:AB22),0)=ROUND(IS!AB24,0),"OK","ERROR")</f>
        <v>OK</v>
      </c>
      <c r="AC71" s="206" t="str">
        <f>IF(ROUND(IS!AC18,0)-ROUND(SUM(IS!AC21:AC22),0)=ROUND(IS!AC24,0),"OK","ERROR")</f>
        <v>OK</v>
      </c>
      <c r="AD71" s="206" t="str">
        <f>IF(ROUND(IS!AD18,0)-ROUND(SUM(IS!AD21:AD22),0)=ROUND(IS!AD24,0),"OK","ERROR")</f>
        <v>OK</v>
      </c>
      <c r="AE71" s="206" t="str">
        <f>IF(ROUND(IS!AE18,0)-ROUND(SUM(IS!AE21:AE22),0)=ROUND(IS!AE24,0),"OK","ERROR")</f>
        <v>OK</v>
      </c>
      <c r="AF71" s="225" t="str">
        <f>IF(ROUND(IS!AF18,0)-ROUND(SUM(IS!AF21:AF22),0)=ROUND(IS!AF24,0),"OK","ERROR")</f>
        <v>OK</v>
      </c>
      <c r="AG71" s="209"/>
      <c r="AH71" s="206" t="str">
        <f>IF(ROUND(IS!AH18,0)-ROUND(SUM(IS!AH21:AH22),0)=ROUND(IS!AH24,0),"OK","ERROR")</f>
        <v>OK</v>
      </c>
      <c r="AI71" s="206" t="str">
        <f>IF(ROUND(IS!AI18,0)-ROUND(SUM(IS!AI21:AI22),0)=ROUND(IS!AI24,0),"OK","ERROR")</f>
        <v>OK</v>
      </c>
      <c r="AJ71" s="206" t="str">
        <f>IF(ROUND(IS!AJ18,0)-ROUND(SUM(IS!AJ21:AJ22),0)=ROUND(IS!AJ24,0),"OK","ERROR")</f>
        <v>ERROR</v>
      </c>
      <c r="AK71" s="206" t="str">
        <f>IF(ROUND(IS!AK18,0)-ROUND(SUM(IS!AK21:AK22),0)=ROUND(IS!AK24,0),"OK","ERROR")</f>
        <v>OK</v>
      </c>
      <c r="AL71" s="225" t="str">
        <f>IF(ROUND(IS!AL18,0)-ROUND(SUM(IS!AL21:AL22),0)=ROUND(IS!AL24,0),"OK","ERROR")</f>
        <v>OK</v>
      </c>
      <c r="AM71" s="222"/>
      <c r="AN71" s="206" t="str">
        <f>IF(ROUND(IS!AN18,0)-ROUND(SUM(IS!AN21:AN22),0)=ROUND(IS!AN24,0),"OK","ERROR")</f>
        <v>ERROR</v>
      </c>
      <c r="AO71" s="206" t="str">
        <f>IF(ROUND(IS!AO18,0)-ROUND(SUM(IS!AO21:AO22),0)=ROUND(IS!AO24,0),"OK","ERROR")</f>
        <v>ERROR</v>
      </c>
      <c r="AP71" s="206" t="str">
        <f>IF(ROUND(IS!AP18,0)-ROUND(SUM(IS!AP21:AP22),0)=ROUND(IS!AP24,0),"OK","ERROR")</f>
        <v>ERROR</v>
      </c>
      <c r="AQ71" s="206" t="str">
        <f>IF(ROUND(IS!AQ18,0)-ROUND(SUM(IS!AQ21:AQ22),0)=ROUND(IS!AQ24,0),"OK","ERROR")</f>
        <v>ERROR</v>
      </c>
      <c r="AR71" s="225" t="str">
        <f>IF(ROUND(IS!AR18,0)-ROUND(SUM(IS!AR21:AR22),0)=ROUND(IS!AR24,0),"OK","ERROR")</f>
        <v>ERROR</v>
      </c>
      <c r="AS71" s="222"/>
      <c r="AT71" s="225" t="str">
        <f>IF(ROUND(IS!AT18,0)-ROUND(SUM(IS!AT21:AT22),0)=ROUND(IS!AT24,0),"OK","ERROR")</f>
        <v>ERROR</v>
      </c>
      <c r="AU71" s="223"/>
      <c r="AV71" s="225" t="str">
        <f>IF(ROUND(IS!AV18,0)-ROUND(SUM(IS!AV21:AV22),0)=ROUND(IS!AV24,0),"OK","ERROR")</f>
        <v>ERROR</v>
      </c>
      <c r="AW71" s="223"/>
      <c r="AX71" s="225" t="str">
        <f>IF(ROUND(IS!AX18,0)-ROUND(SUM(IS!AX21:AX22),0)=ROUND(IS!AX24,0),"OK","ERROR")</f>
        <v>ERROR</v>
      </c>
    </row>
    <row r="72" spans="1:50" ht="14.25" customHeight="1">
      <c r="A72" s="55"/>
      <c r="B72" s="80"/>
      <c r="D72" s="206"/>
      <c r="E72" s="206"/>
      <c r="F72" s="206"/>
      <c r="G72" s="206"/>
      <c r="H72" s="218"/>
      <c r="I72" s="208"/>
      <c r="J72" s="206"/>
      <c r="K72" s="206"/>
      <c r="L72" s="206"/>
      <c r="M72" s="206"/>
      <c r="N72" s="218"/>
      <c r="O72" s="208"/>
      <c r="P72" s="206"/>
      <c r="Q72" s="206"/>
      <c r="R72" s="206"/>
      <c r="S72" s="206"/>
      <c r="T72" s="218"/>
      <c r="U72" s="208"/>
      <c r="V72" s="206"/>
      <c r="W72" s="206"/>
      <c r="X72" s="206"/>
      <c r="Y72" s="206"/>
      <c r="Z72" s="218"/>
      <c r="AA72" s="211"/>
      <c r="AB72" s="206"/>
      <c r="AC72" s="206"/>
      <c r="AD72" s="206"/>
      <c r="AE72" s="206"/>
      <c r="AF72" s="218"/>
      <c r="AG72" s="209"/>
      <c r="AH72" s="206"/>
      <c r="AI72" s="206"/>
      <c r="AJ72" s="206"/>
      <c r="AK72" s="206"/>
      <c r="AL72" s="218"/>
      <c r="AM72" s="222"/>
      <c r="AN72" s="206"/>
      <c r="AO72" s="206"/>
      <c r="AP72" s="206"/>
      <c r="AQ72" s="206"/>
      <c r="AR72" s="218"/>
      <c r="AS72" s="222"/>
      <c r="AT72" s="218"/>
      <c r="AU72" s="223"/>
      <c r="AV72" s="218"/>
      <c r="AW72" s="223"/>
      <c r="AX72" s="218"/>
    </row>
    <row r="73" spans="1:50" ht="14.25" customHeight="1">
      <c r="A73" s="44" t="s">
        <v>39</v>
      </c>
      <c r="B73" s="65" t="s">
        <v>594</v>
      </c>
      <c r="D73" s="206"/>
      <c r="E73" s="206"/>
      <c r="F73" s="206"/>
      <c r="G73" s="206"/>
      <c r="H73" s="218"/>
      <c r="I73" s="208"/>
      <c r="J73" s="206"/>
      <c r="K73" s="206"/>
      <c r="L73" s="206"/>
      <c r="M73" s="206"/>
      <c r="N73" s="218"/>
      <c r="O73" s="208"/>
      <c r="P73" s="206"/>
      <c r="Q73" s="206"/>
      <c r="R73" s="206"/>
      <c r="S73" s="206"/>
      <c r="T73" s="218"/>
      <c r="U73" s="208"/>
      <c r="V73" s="206"/>
      <c r="W73" s="206"/>
      <c r="X73" s="206"/>
      <c r="Y73" s="206"/>
      <c r="Z73" s="218"/>
      <c r="AA73" s="226"/>
      <c r="AB73" s="206"/>
      <c r="AC73" s="206"/>
      <c r="AD73" s="206"/>
      <c r="AE73" s="206"/>
      <c r="AF73" s="218"/>
      <c r="AG73" s="227"/>
      <c r="AH73" s="206"/>
      <c r="AI73" s="206"/>
      <c r="AJ73" s="206"/>
      <c r="AK73" s="206"/>
      <c r="AL73" s="218"/>
      <c r="AM73" s="226"/>
      <c r="AN73" s="206"/>
      <c r="AO73" s="206"/>
      <c r="AP73" s="206"/>
      <c r="AQ73" s="206"/>
      <c r="AR73" s="218"/>
      <c r="AS73" s="226"/>
      <c r="AT73" s="218"/>
      <c r="AU73" s="228"/>
      <c r="AV73" s="218"/>
      <c r="AW73" s="228"/>
      <c r="AX73" s="218"/>
    </row>
    <row r="74" spans="1:50" ht="14.25" customHeight="1">
      <c r="A74" s="55"/>
      <c r="B74" s="79" t="s">
        <v>601</v>
      </c>
      <c r="D74" s="206" t="str">
        <f>IF(ROUND(IS!D24,0)-ROUND(SUM(IS!D31:D32),0)=ROUND(IS!D33,0),"OK","ERROR")</f>
        <v>ERROR</v>
      </c>
      <c r="E74" s="206" t="str">
        <f>IF(ROUND(IS!E24,0)-ROUND(SUM(IS!E31:E32),0)=ROUND(IS!E33,0),"OK","ERROR")</f>
        <v>ERROR</v>
      </c>
      <c r="F74" s="206" t="str">
        <f>IF(ROUND(IS!F24,0)-ROUND(SUM(IS!F31:F32),0)=ROUND(IS!F33,0),"OK","ERROR")</f>
        <v>ERROR</v>
      </c>
      <c r="G74" s="206" t="str">
        <f>IF(ROUND(IS!G24,0)-ROUND(SUM(IS!G31:G32),0)=ROUND(IS!G33,0),"OK","ERROR")</f>
        <v>ERROR</v>
      </c>
      <c r="H74" s="224" t="str">
        <f>IF(ROUND(IS!H24,0)-ROUND(SUM(IS!H31:H32),0)=ROUND(IS!H33,0),"OK","ERROR")</f>
        <v>ERROR</v>
      </c>
      <c r="I74" s="208"/>
      <c r="J74" s="206" t="str">
        <f>IF(ROUND(IS!J24,0)-ROUND(SUM(IS!J31:J32),0)=ROUND(IS!J33,0),"OK","ERROR")</f>
        <v>ERROR</v>
      </c>
      <c r="K74" s="206" t="str">
        <f>IF(ROUND(IS!K24,0)-ROUND(SUM(IS!K31:K32),0)=ROUND(IS!K33,0),"OK","ERROR")</f>
        <v>ERROR</v>
      </c>
      <c r="L74" s="206" t="str">
        <f>IF(ROUND(IS!L24,0)-ROUND(SUM(IS!L31:L32),0)=ROUND(IS!L33,0),"OK","ERROR")</f>
        <v>ERROR</v>
      </c>
      <c r="M74" s="206" t="str">
        <f>IF(ROUND(IS!M24,0)-ROUND(SUM(IS!M31:M32),0)=ROUND(IS!M33,0),"OK","ERROR")</f>
        <v>ERROR</v>
      </c>
      <c r="N74" s="224" t="str">
        <f>IF(ROUND(IS!N24,0)-ROUND(SUM(IS!N31:N32),0)=ROUND(IS!N33,0),"OK","ERROR")</f>
        <v>ERROR</v>
      </c>
      <c r="O74" s="208"/>
      <c r="P74" s="206" t="str">
        <f>IF(ROUND(IS!P24,0)-ROUND(SUM(IS!P31:P32),0)=ROUND(IS!P33,0),"OK","ERROR")</f>
        <v>ERROR</v>
      </c>
      <c r="Q74" s="206" t="str">
        <f>IF(ROUND(IS!Q24,0)-ROUND(SUM(IS!Q31:Q32),0)=ROUND(IS!Q33,0),"OK","ERROR")</f>
        <v>ERROR</v>
      </c>
      <c r="R74" s="206" t="str">
        <f>IF(ROUND(IS!R24,0)-ROUND(SUM(IS!R31:R32),0)=ROUND(IS!R33,0),"OK","ERROR")</f>
        <v>ERROR</v>
      </c>
      <c r="S74" s="206" t="str">
        <f>IF(ROUND(IS!S24,0)-ROUND(SUM(IS!S31:S32),0)=ROUND(IS!S33,0),"OK","ERROR")</f>
        <v>ERROR</v>
      </c>
      <c r="T74" s="224" t="str">
        <f>IF(ROUND(IS!T24,0)-ROUND(SUM(IS!T31:T32),0)=ROUND(IS!T33,0),"OK","ERROR")</f>
        <v>ERROR</v>
      </c>
      <c r="U74" s="208"/>
      <c r="V74" s="206" t="str">
        <f>IF(ROUND(IS!V24,0)-ROUND(SUM(IS!V31:V32),0)=ROUND(IS!V33,0),"OK","ERROR")</f>
        <v>ERROR</v>
      </c>
      <c r="W74" s="206" t="str">
        <f>IF(ROUND(IS!W24,0)-ROUND(SUM(IS!W31:W32),0)=ROUND(IS!W33,0),"OK","ERROR")</f>
        <v>ERROR</v>
      </c>
      <c r="X74" s="206" t="str">
        <f>IF(ROUND(IS!X24,0)-ROUND(SUM(IS!X31:X32),0)=ROUND(IS!X33,0),"OK","ERROR")</f>
        <v>ERROR</v>
      </c>
      <c r="Y74" s="206" t="str">
        <f>IF(ROUND(IS!Y24,0)-ROUND(SUM(IS!Y31:Y32),0)=ROUND(IS!Y33,0),"OK","ERROR")</f>
        <v>ERROR</v>
      </c>
      <c r="Z74" s="224" t="str">
        <f>IF(ROUND(IS!Z24,0)-ROUND(SUM(IS!Z31:Z32),0)=ROUND(IS!Z33,0),"OK","ERROR")</f>
        <v>ERROR</v>
      </c>
      <c r="AA74" s="211"/>
      <c r="AB74" s="206" t="str">
        <f>IF(ROUND(IS!AB24,0)-ROUND(SUM(IS!AB31:AB32),0)=ROUND(IS!AB33,0),"OK","ERROR")</f>
        <v>ERROR</v>
      </c>
      <c r="AC74" s="206" t="str">
        <f>IF(ROUND(IS!AC24,0)-ROUND(SUM(IS!AC31:AC32),0)=ROUND(IS!AC33,0),"OK","ERROR")</f>
        <v>ERROR</v>
      </c>
      <c r="AD74" s="206" t="str">
        <f>IF(ROUND(IS!AD24,0)-ROUND(SUM(IS!AD31:AD32),0)=ROUND(IS!AD33,0),"OK","ERROR")</f>
        <v>ERROR</v>
      </c>
      <c r="AE74" s="206" t="str">
        <f>IF(ROUND(IS!AE24,0)-ROUND(SUM(IS!AE31:AE32),0)=ROUND(IS!AE33,0),"OK","ERROR")</f>
        <v>ERROR</v>
      </c>
      <c r="AF74" s="224" t="str">
        <f>IF(ROUND(IS!AF24,0)-ROUND(SUM(IS!AF31:AF32),0)=ROUND(IS!AF33,0),"OK","ERROR")</f>
        <v>ERROR</v>
      </c>
      <c r="AG74" s="209"/>
      <c r="AH74" s="206" t="str">
        <f>IF(ROUND(IS!AH24,0)-ROUND(SUM(IS!AH31:AH32),0)=ROUND(IS!AH33,0),"OK","ERROR")</f>
        <v>ERROR</v>
      </c>
      <c r="AI74" s="206" t="str">
        <f>IF(ROUND(IS!AI24,0)-ROUND(SUM(IS!AI31:AI32),0)=ROUND(IS!AI33,0),"OK","ERROR")</f>
        <v>ERROR</v>
      </c>
      <c r="AJ74" s="206" t="str">
        <f>IF(ROUND(IS!AJ24,0)-ROUND(SUM(IS!AJ31:AJ32),0)=ROUND(IS!AJ33,0),"OK","ERROR")</f>
        <v>ERROR</v>
      </c>
      <c r="AK74" s="206" t="str">
        <f>IF(ROUND(IS!AK24,0)-ROUND(SUM(IS!AK31:AK32),0)=ROUND(IS!AK33,0),"OK","ERROR")</f>
        <v>ERROR</v>
      </c>
      <c r="AL74" s="224" t="str">
        <f>IF(ROUND(IS!AL24,0)-ROUND(SUM(IS!AL31:AL32),0)=ROUND(IS!AL33,0),"OK","ERROR")</f>
        <v>ERROR</v>
      </c>
      <c r="AM74" s="222"/>
      <c r="AN74" s="206" t="str">
        <f>IF(ROUND(IS!AN24,0)-ROUND(SUM(IS!AN31:AN32),0)=ROUND(IS!AN33,0),"OK","ERROR")</f>
        <v>ERROR</v>
      </c>
      <c r="AO74" s="206" t="str">
        <f>IF(ROUND(IS!AO24,0)-ROUND(SUM(IS!AO31:AO32),0)=ROUND(IS!AO33,0),"OK","ERROR")</f>
        <v>ERROR</v>
      </c>
      <c r="AP74" s="206" t="str">
        <f>IF(ROUND(IS!AP24,0)-ROUND(SUM(IS!AP31:AP32),0)=ROUND(IS!AP33,0),"OK","ERROR")</f>
        <v>ERROR</v>
      </c>
      <c r="AQ74" s="206" t="str">
        <f>IF(ROUND(IS!AQ24,0)-ROUND(SUM(IS!AQ31:AQ32),0)=ROUND(IS!AQ33,0),"OK","ERROR")</f>
        <v>ERROR</v>
      </c>
      <c r="AR74" s="224" t="str">
        <f>IF(ROUND(IS!AR24,0)-ROUND(SUM(IS!AR31:AR32),0)=ROUND(IS!AR33,0),"OK","ERROR")</f>
        <v>ERROR</v>
      </c>
      <c r="AS74" s="222"/>
      <c r="AT74" s="224" t="str">
        <f>IF(ROUND(IS!AT24,0)-ROUND(SUM(IS!AT31:AT32),0)=ROUND(IS!AT33,0),"OK","ERROR")</f>
        <v>ERROR</v>
      </c>
      <c r="AU74" s="223"/>
      <c r="AV74" s="224" t="str">
        <f>IF(ROUND(IS!AV24,0)-ROUND(SUM(IS!AV31:AV32),0)=ROUND(IS!AV33,0),"OK","ERROR")</f>
        <v>ERROR</v>
      </c>
      <c r="AW74" s="223"/>
      <c r="AX74" s="224" t="str">
        <f>IF(ROUND(IS!AX24,0)-ROUND(SUM(IS!AX31:AX32),0)=ROUND(IS!AX33,0),"OK","ERROR")</f>
        <v>ERROR</v>
      </c>
    </row>
    <row r="75" spans="1:50" ht="14.25" customHeight="1">
      <c r="A75" s="73"/>
      <c r="B75" s="73"/>
      <c r="D75" s="206"/>
      <c r="E75" s="206"/>
      <c r="F75" s="206"/>
      <c r="G75" s="206"/>
      <c r="H75" s="218"/>
      <c r="I75" s="208"/>
      <c r="J75" s="206"/>
      <c r="K75" s="206"/>
      <c r="L75" s="206"/>
      <c r="M75" s="206"/>
      <c r="N75" s="218"/>
      <c r="O75" s="208"/>
      <c r="P75" s="206"/>
      <c r="Q75" s="206"/>
      <c r="R75" s="206"/>
      <c r="S75" s="206"/>
      <c r="T75" s="218"/>
      <c r="U75" s="208"/>
      <c r="V75" s="206"/>
      <c r="W75" s="206"/>
      <c r="X75" s="206"/>
      <c r="Y75" s="206"/>
      <c r="Z75" s="218"/>
      <c r="AA75" s="226"/>
      <c r="AB75" s="206"/>
      <c r="AC75" s="206"/>
      <c r="AD75" s="206"/>
      <c r="AE75" s="206"/>
      <c r="AF75" s="218"/>
      <c r="AG75" s="227"/>
      <c r="AH75" s="206"/>
      <c r="AI75" s="206"/>
      <c r="AJ75" s="206"/>
      <c r="AK75" s="206"/>
      <c r="AL75" s="218"/>
      <c r="AM75" s="231"/>
      <c r="AN75" s="206"/>
      <c r="AO75" s="206"/>
      <c r="AP75" s="206"/>
      <c r="AQ75" s="206"/>
      <c r="AR75" s="218"/>
      <c r="AS75" s="231"/>
      <c r="AT75" s="218"/>
      <c r="AU75" s="232"/>
      <c r="AV75" s="218"/>
      <c r="AW75" s="232"/>
      <c r="AX75" s="218"/>
    </row>
    <row r="76" spans="1:50" ht="14.25" customHeight="1">
      <c r="A76" s="44" t="s">
        <v>39</v>
      </c>
      <c r="B76" s="65" t="s">
        <v>602</v>
      </c>
      <c r="D76" s="206"/>
      <c r="E76" s="206"/>
      <c r="F76" s="206"/>
      <c r="G76" s="206"/>
      <c r="H76" s="218"/>
      <c r="I76" s="208"/>
      <c r="J76" s="206"/>
      <c r="K76" s="206"/>
      <c r="L76" s="206"/>
      <c r="M76" s="206"/>
      <c r="N76" s="218"/>
      <c r="O76" s="208"/>
      <c r="P76" s="206"/>
      <c r="Q76" s="206"/>
      <c r="R76" s="206"/>
      <c r="S76" s="206"/>
      <c r="T76" s="218"/>
      <c r="U76" s="208"/>
      <c r="V76" s="206"/>
      <c r="W76" s="206"/>
      <c r="X76" s="206"/>
      <c r="Y76" s="206"/>
      <c r="Z76" s="218"/>
      <c r="AA76" s="211"/>
      <c r="AB76" s="206"/>
      <c r="AC76" s="206"/>
      <c r="AD76" s="206"/>
      <c r="AE76" s="206"/>
      <c r="AF76" s="218"/>
      <c r="AG76" s="209"/>
      <c r="AH76" s="206"/>
      <c r="AI76" s="206"/>
      <c r="AJ76" s="206"/>
      <c r="AK76" s="206"/>
      <c r="AL76" s="218"/>
      <c r="AM76" s="222"/>
      <c r="AN76" s="206"/>
      <c r="AO76" s="206"/>
      <c r="AP76" s="206"/>
      <c r="AQ76" s="206"/>
      <c r="AR76" s="218"/>
      <c r="AS76" s="222"/>
      <c r="AT76" s="218"/>
      <c r="AU76" s="223"/>
      <c r="AV76" s="218"/>
      <c r="AW76" s="223"/>
      <c r="AX76" s="218"/>
    </row>
    <row r="77" spans="1:50" ht="14.25" customHeight="1">
      <c r="A77" s="84"/>
      <c r="B77" s="89" t="s">
        <v>609</v>
      </c>
      <c r="D77" s="206" t="str">
        <f>IF(ROUND(IS!D33,0)-ROUND(IS!D41,0)=ROUND(IS!D42,0),"OK","ERROR")</f>
        <v>OK</v>
      </c>
      <c r="E77" s="206" t="str">
        <f>IF(ROUND(IS!E33,0)-ROUND(IS!E41,0)=ROUND(IS!E42,0),"OK","ERROR")</f>
        <v>OK</v>
      </c>
      <c r="F77" s="206" t="str">
        <f>IF(ROUND(IS!F33,0)-ROUND(IS!F41,0)=ROUND(IS!F42,0),"OK","ERROR")</f>
        <v>OK</v>
      </c>
      <c r="G77" s="206" t="str">
        <f>IF(ROUND(IS!G33,0)-ROUND(IS!G41,0)=ROUND(IS!G42,0),"OK","ERROR")</f>
        <v>OK</v>
      </c>
      <c r="H77" s="225" t="str">
        <f>IF(ROUND(IS!H33,0)-ROUND(IS!H41,0)=ROUND(IS!H42,0),"OK","ERROR")</f>
        <v>OK</v>
      </c>
      <c r="I77" s="208"/>
      <c r="J77" s="206" t="str">
        <f>IF(ROUND(IS!J33,0)-ROUND(IS!J41,0)=ROUND(IS!J42,0),"OK","ERROR")</f>
        <v>OK</v>
      </c>
      <c r="K77" s="206" t="str">
        <f>IF(ROUND(IS!K33,0)-ROUND(IS!K41,0)=ROUND(IS!K42,0),"OK","ERROR")</f>
        <v>OK</v>
      </c>
      <c r="L77" s="206" t="str">
        <f>IF(ROUND(IS!L33,0)-ROUND(IS!L41,0)=ROUND(IS!L42,0),"OK","ERROR")</f>
        <v>OK</v>
      </c>
      <c r="M77" s="206" t="str">
        <f>IF(ROUND(IS!M33,0)-ROUND(IS!M41,0)=ROUND(IS!M42,0),"OK","ERROR")</f>
        <v>OK</v>
      </c>
      <c r="N77" s="225" t="str">
        <f>IF(ROUND(IS!N33,0)-ROUND(IS!N41,0)=ROUND(IS!N42,0),"OK","ERROR")</f>
        <v>OK</v>
      </c>
      <c r="O77" s="208"/>
      <c r="P77" s="206" t="str">
        <f>IF(ROUND(IS!P33,0)-ROUND(IS!P41,0)=ROUND(IS!P42,0),"OK","ERROR")</f>
        <v>OK</v>
      </c>
      <c r="Q77" s="206" t="str">
        <f>IF(ROUND(IS!Q33,0)-ROUND(IS!Q41,0)=ROUND(IS!Q42,0),"OK","ERROR")</f>
        <v>OK</v>
      </c>
      <c r="R77" s="206" t="str">
        <f>IF(ROUND(IS!R33,0)-ROUND(IS!R41,0)=ROUND(IS!R42,0),"OK","ERROR")</f>
        <v>OK</v>
      </c>
      <c r="S77" s="206" t="str">
        <f>IF(ROUND(IS!S33,0)-ROUND(IS!S41,0)=ROUND(IS!S42,0),"OK","ERROR")</f>
        <v>OK</v>
      </c>
      <c r="T77" s="225" t="str">
        <f>IF(ROUND(IS!T33,0)-ROUND(IS!T41,0)=ROUND(IS!T42,0),"OK","ERROR")</f>
        <v>OK</v>
      </c>
      <c r="U77" s="208"/>
      <c r="V77" s="206" t="str">
        <f>IF(ROUND(IS!V33,0)-ROUND(IS!V41,0)=ROUND(IS!V42,0),"OK","ERROR")</f>
        <v>OK</v>
      </c>
      <c r="W77" s="206" t="str">
        <f>IF(ROUND(IS!W33,0)-ROUND(IS!W41,0)=ROUND(IS!W42,0),"OK","ERROR")</f>
        <v>OK</v>
      </c>
      <c r="X77" s="206" t="str">
        <f>IF(ROUND(IS!X33,0)-ROUND(IS!X41,0)=ROUND(IS!X42,0),"OK","ERROR")</f>
        <v>OK</v>
      </c>
      <c r="Y77" s="206" t="str">
        <f>IF(ROUND(IS!Y33,0)-ROUND(IS!Y41,0)=ROUND(IS!Y42,0),"OK","ERROR")</f>
        <v>OK</v>
      </c>
      <c r="Z77" s="225" t="str">
        <f>IF(ROUND(IS!Z33,0)-ROUND(IS!Z41,0)=ROUND(IS!Z42,0),"OK","ERROR")</f>
        <v>OK</v>
      </c>
      <c r="AA77" s="211"/>
      <c r="AB77" s="206" t="str">
        <f>IF(ROUND(IS!AB33,0)-ROUND(IS!AB41,0)=ROUND(IS!AB42,0),"OK","ERROR")</f>
        <v>OK</v>
      </c>
      <c r="AC77" s="206" t="str">
        <f>IF(ROUND(IS!AC33,0)-ROUND(IS!AC41,0)=ROUND(IS!AC42,0),"OK","ERROR")</f>
        <v>OK</v>
      </c>
      <c r="AD77" s="206" t="str">
        <f>IF(ROUND(IS!AD33,0)-ROUND(IS!AD41,0)=ROUND(IS!AD42,0),"OK","ERROR")</f>
        <v>OK</v>
      </c>
      <c r="AE77" s="206" t="str">
        <f>IF(ROUND(IS!AE33,0)-ROUND(IS!AE41,0)=ROUND(IS!AE42,0),"OK","ERROR")</f>
        <v>OK</v>
      </c>
      <c r="AF77" s="225" t="str">
        <f>IF(ROUND(IS!AF33,0)-ROUND(IS!AF41,0)=ROUND(IS!AF42,0),"OK","ERROR")</f>
        <v>OK</v>
      </c>
      <c r="AG77" s="209"/>
      <c r="AH77" s="206" t="str">
        <f>IF(ROUND(IS!AH33,0)-ROUND(IS!AH41,0)=ROUND(IS!AH42,0),"OK","ERROR")</f>
        <v>OK</v>
      </c>
      <c r="AI77" s="206" t="str">
        <f>IF(ROUND(IS!AI33,0)-ROUND(IS!AI41,0)=ROUND(IS!AI42,0),"OK","ERROR")</f>
        <v>OK</v>
      </c>
      <c r="AJ77" s="206" t="str">
        <f>IF(ROUND(IS!AJ33,0)-ROUND(IS!AJ41,0)=ROUND(IS!AJ42,0),"OK","ERROR")</f>
        <v>OK</v>
      </c>
      <c r="AK77" s="206" t="str">
        <f>IF(ROUND(IS!AK33,0)-ROUND(IS!AK41,0)=ROUND(IS!AK42,0),"OK","ERROR")</f>
        <v>OK</v>
      </c>
      <c r="AL77" s="225" t="str">
        <f>IF(ROUND(IS!AL33,0)-ROUND(IS!AL41,0)=ROUND(IS!AL42,0),"OK","ERROR")</f>
        <v>OK</v>
      </c>
      <c r="AM77" s="211"/>
      <c r="AN77" s="206" t="str">
        <f>IF(ROUND(IS!AN33,0)-ROUND(IS!AN41,0)=ROUND(IS!AN42,0),"OK","ERROR")</f>
        <v>OK</v>
      </c>
      <c r="AO77" s="206" t="str">
        <f>IF(ROUND(IS!AO33,0)-ROUND(IS!AO41,0)=ROUND(IS!AO42,0),"OK","ERROR")</f>
        <v>OK</v>
      </c>
      <c r="AP77" s="206" t="str">
        <f>IF(ROUND(IS!AP33,0)-ROUND(IS!AP41,0)=ROUND(IS!AP42,0),"OK","ERROR")</f>
        <v>OK</v>
      </c>
      <c r="AQ77" s="206" t="str">
        <f>IF(ROUND(IS!AQ33,0)-ROUND(IS!AQ41,0)=ROUND(IS!AQ42,0),"OK","ERROR")</f>
        <v>OK</v>
      </c>
      <c r="AR77" s="225" t="str">
        <f>IF(ROUND(IS!AR33,0)-ROUND(IS!AR41,0)=ROUND(IS!AR42,0),"OK","ERROR")</f>
        <v>OK</v>
      </c>
      <c r="AS77" s="211"/>
      <c r="AT77" s="225" t="str">
        <f>IF(ROUND(IS!AT33,0)-ROUND(IS!AT41,0)=ROUND(IS!AT42,0),"OK","ERROR")</f>
        <v>OK</v>
      </c>
      <c r="AU77" s="213"/>
      <c r="AV77" s="225" t="str">
        <f>IF(ROUND(IS!AV33,0)-ROUND(IS!AV41,0)=ROUND(IS!AV42,0),"OK","ERROR")</f>
        <v>OK</v>
      </c>
      <c r="AW77" s="213"/>
      <c r="AX77" s="225" t="str">
        <f>IF(ROUND(IS!AX33,0)-ROUND(IS!AX41,0)=ROUND(IS!AX42,0),"OK","ERROR")</f>
        <v>OK</v>
      </c>
    </row>
    <row r="78" spans="1:50" ht="14.25" customHeight="1">
      <c r="A78" s="73"/>
      <c r="B78" s="76"/>
      <c r="D78" s="206"/>
      <c r="E78" s="206"/>
      <c r="F78" s="206"/>
      <c r="G78" s="206"/>
      <c r="H78" s="218"/>
      <c r="I78" s="208"/>
      <c r="J78" s="206"/>
      <c r="K78" s="206"/>
      <c r="L78" s="206"/>
      <c r="M78" s="206"/>
      <c r="N78" s="218"/>
      <c r="O78" s="208"/>
      <c r="P78" s="206"/>
      <c r="Q78" s="206"/>
      <c r="R78" s="206"/>
      <c r="S78" s="206"/>
      <c r="T78" s="218"/>
      <c r="U78" s="208"/>
      <c r="V78" s="206"/>
      <c r="W78" s="206"/>
      <c r="X78" s="206"/>
      <c r="Y78" s="206"/>
      <c r="Z78" s="218"/>
      <c r="AA78" s="211"/>
      <c r="AB78" s="206"/>
      <c r="AC78" s="206"/>
      <c r="AD78" s="206"/>
      <c r="AE78" s="206"/>
      <c r="AF78" s="218"/>
      <c r="AG78" s="209"/>
      <c r="AH78" s="206"/>
      <c r="AI78" s="206"/>
      <c r="AJ78" s="206"/>
      <c r="AK78" s="206"/>
      <c r="AL78" s="218"/>
      <c r="AM78" s="211"/>
      <c r="AN78" s="206"/>
      <c r="AO78" s="206"/>
      <c r="AP78" s="206"/>
      <c r="AQ78" s="206"/>
      <c r="AR78" s="218"/>
      <c r="AS78" s="211"/>
      <c r="AT78" s="218"/>
      <c r="AU78" s="213"/>
      <c r="AV78" s="218"/>
      <c r="AW78" s="213"/>
      <c r="AX78" s="218"/>
    </row>
    <row r="79" spans="1:50" ht="14.25" customHeight="1">
      <c r="A79" s="44" t="s">
        <v>39</v>
      </c>
      <c r="B79" s="65" t="s">
        <v>610</v>
      </c>
      <c r="D79" s="206"/>
      <c r="E79" s="206"/>
      <c r="F79" s="206"/>
      <c r="G79" s="206"/>
      <c r="H79" s="218"/>
      <c r="I79" s="208"/>
      <c r="J79" s="206"/>
      <c r="K79" s="206"/>
      <c r="L79" s="206"/>
      <c r="M79" s="206"/>
      <c r="N79" s="218"/>
      <c r="O79" s="208"/>
      <c r="P79" s="206"/>
      <c r="Q79" s="206"/>
      <c r="R79" s="206"/>
      <c r="S79" s="206"/>
      <c r="T79" s="218"/>
      <c r="U79" s="208"/>
      <c r="V79" s="206"/>
      <c r="W79" s="206"/>
      <c r="X79" s="206"/>
      <c r="Y79" s="206"/>
      <c r="Z79" s="218"/>
      <c r="AA79" s="211"/>
      <c r="AB79" s="206"/>
      <c r="AC79" s="206"/>
      <c r="AD79" s="206"/>
      <c r="AE79" s="206"/>
      <c r="AF79" s="218"/>
      <c r="AG79" s="209"/>
      <c r="AH79" s="206"/>
      <c r="AI79" s="206"/>
      <c r="AJ79" s="206"/>
      <c r="AK79" s="206"/>
      <c r="AL79" s="218"/>
      <c r="AM79" s="211"/>
      <c r="AN79" s="206"/>
      <c r="AO79" s="206"/>
      <c r="AP79" s="206"/>
      <c r="AQ79" s="206"/>
      <c r="AR79" s="218"/>
      <c r="AS79" s="211"/>
      <c r="AT79" s="218"/>
      <c r="AU79" s="213"/>
      <c r="AV79" s="218"/>
      <c r="AW79" s="213"/>
      <c r="AX79" s="218"/>
    </row>
    <row r="80" spans="1:50" ht="14.25" customHeight="1" thickBot="1">
      <c r="A80" s="73"/>
      <c r="B80" s="70" t="s">
        <v>613</v>
      </c>
      <c r="D80" s="206" t="str">
        <f>IF(ROUND(IS!D42,0)-ROUND(SUM(IS!D45:D46),0)=ROUND(IS!D47,0),"OK","ERROR")</f>
        <v>ERROR</v>
      </c>
      <c r="E80" s="206" t="str">
        <f>IF(ROUND(IS!E42,0)-ROUND(SUM(IS!E45:E46),0)=ROUND(IS!E47,0),"OK","ERROR")</f>
        <v>ERROR</v>
      </c>
      <c r="F80" s="206" t="str">
        <f>IF(ROUND(IS!F42,0)-ROUND(SUM(IS!F45:F46),0)=ROUND(IS!F47,0),"OK","ERROR")</f>
        <v>ERROR</v>
      </c>
      <c r="G80" s="206" t="str">
        <f>IF(ROUND(IS!G42,0)-ROUND(SUM(IS!G45:G46),0)=ROUND(IS!G47,0),"OK","ERROR")</f>
        <v>ERROR</v>
      </c>
      <c r="H80" s="235" t="str">
        <f>IF(ROUND(IS!H42,0)-ROUND(SUM(IS!H45:H46),0)=ROUND(IS!H47,0),"OK","ERROR")</f>
        <v>ERROR</v>
      </c>
      <c r="I80" s="208"/>
      <c r="J80" s="206" t="str">
        <f>IF(ROUND(IS!J42,0)-ROUND(SUM(IS!J45:J46),0)=ROUND(IS!J47,0),"OK","ERROR")</f>
        <v>ERROR</v>
      </c>
      <c r="K80" s="206" t="str">
        <f>IF(ROUND(IS!K42,0)-ROUND(SUM(IS!K45:K46),0)=ROUND(IS!K47,0),"OK","ERROR")</f>
        <v>ERROR</v>
      </c>
      <c r="L80" s="206" t="str">
        <f>IF(ROUND(IS!L42,0)-ROUND(SUM(IS!L45:L46),0)=ROUND(IS!L47,0),"OK","ERROR")</f>
        <v>ERROR</v>
      </c>
      <c r="M80" s="206" t="str">
        <f>IF(ROUND(IS!M42,0)-ROUND(SUM(IS!M45:M46),0)=ROUND(IS!M47,0),"OK","ERROR")</f>
        <v>ERROR</v>
      </c>
      <c r="N80" s="235" t="str">
        <f>IF(ROUND(IS!N42,0)-ROUND(SUM(IS!N45:N46),0)=ROUND(IS!N47,0),"OK","ERROR")</f>
        <v>ERROR</v>
      </c>
      <c r="O80" s="208"/>
      <c r="P80" s="206" t="str">
        <f>IF(ROUND(IS!P42,0)-ROUND(SUM(IS!P45:P46),0)=ROUND(IS!P47,0),"OK","ERROR")</f>
        <v>ERROR</v>
      </c>
      <c r="Q80" s="206" t="str">
        <f>IF(ROUND(IS!Q42,0)-ROUND(SUM(IS!Q45:Q46),0)=ROUND(IS!Q47,0),"OK","ERROR")</f>
        <v>ERROR</v>
      </c>
      <c r="R80" s="206" t="str">
        <f>IF(ROUND(IS!R42,0)-ROUND(SUM(IS!R45:R46),0)=ROUND(IS!R47,0),"OK","ERROR")</f>
        <v>OK</v>
      </c>
      <c r="S80" s="206" t="str">
        <f>IF(ROUND(IS!S42,0)-ROUND(SUM(IS!S45:S46),0)=ROUND(IS!S47,0),"OK","ERROR")</f>
        <v>ERROR</v>
      </c>
      <c r="T80" s="235" t="str">
        <f>IF(ROUND(IS!T42,0)-ROUND(SUM(IS!T45:T46),0)=ROUND(IS!T47,0),"OK","ERROR")</f>
        <v>ERROR</v>
      </c>
      <c r="U80" s="208"/>
      <c r="V80" s="206" t="str">
        <f>IF(ROUND(IS!V42,0)-ROUND(SUM(IS!V45:V46),0)=ROUND(IS!V47,0),"OK","ERROR")</f>
        <v>OK</v>
      </c>
      <c r="W80" s="206" t="str">
        <f>IF(ROUND(IS!W42,0)-ROUND(SUM(IS!W45:W46),0)=ROUND(IS!W47,0),"OK","ERROR")</f>
        <v>OK</v>
      </c>
      <c r="X80" s="206" t="str">
        <f>IF(ROUND(IS!X42,0)-ROUND(SUM(IS!X45:X46),0)=ROUND(IS!X47,0),"OK","ERROR")</f>
        <v>OK</v>
      </c>
      <c r="Y80" s="206" t="str">
        <f>IF(ROUND(IS!Y42,0)-ROUND(SUM(IS!Y45:Y46),0)=ROUND(IS!Y47,0),"OK","ERROR")</f>
        <v>ERROR</v>
      </c>
      <c r="Z80" s="235" t="str">
        <f>IF(ROUND(IS!Z42,0)-ROUND(SUM(IS!Z45:Z46),0)=ROUND(IS!Z47,0),"OK","ERROR")</f>
        <v>ERROR</v>
      </c>
      <c r="AA80" s="211"/>
      <c r="AB80" s="206" t="str">
        <f>IF(ROUND(IS!AB42,0)-ROUND(SUM(IS!AB45:AB46),0)=ROUND(IS!AB47,0),"OK","ERROR")</f>
        <v>OK</v>
      </c>
      <c r="AC80" s="206" t="str">
        <f>IF(ROUND(IS!AC42,0)-ROUND(SUM(IS!AC45:AC46),0)=ROUND(IS!AC47,0),"OK","ERROR")</f>
        <v>ERROR</v>
      </c>
      <c r="AD80" s="206" t="str">
        <f>IF(ROUND(IS!AD42,0)-ROUND(SUM(IS!AD45:AD46),0)=ROUND(IS!AD47,0),"OK","ERROR")</f>
        <v>OK</v>
      </c>
      <c r="AE80" s="206" t="str">
        <f>IF(ROUND(IS!AE42,0)-ROUND(SUM(IS!AE45:AE46),0)=ROUND(IS!AE47,0),"OK","ERROR")</f>
        <v>ERROR</v>
      </c>
      <c r="AF80" s="235" t="str">
        <f>IF(ROUND(IS!AF42,0)-ROUND(SUM(IS!AF45:AF46),0)=ROUND(IS!AF47,0),"OK","ERROR")</f>
        <v>ERROR</v>
      </c>
      <c r="AG80" s="209"/>
      <c r="AH80" s="206" t="str">
        <f>IF(ROUND(IS!AH42,0)-ROUND(SUM(IS!AH45:AH46),0)=ROUND(IS!AH47,0),"OK","ERROR")</f>
        <v>OK</v>
      </c>
      <c r="AI80" s="206" t="str">
        <f>IF(ROUND(IS!AI42,0)-ROUND(SUM(IS!AI45:AI46),0)=ROUND(IS!AI47,0),"OK","ERROR")</f>
        <v>OK</v>
      </c>
      <c r="AJ80" s="206" t="str">
        <f>IF(ROUND(IS!AJ42,0)-ROUND(SUM(IS!AJ45:AJ46),0)=ROUND(IS!AJ47,0),"OK","ERROR")</f>
        <v>OK</v>
      </c>
      <c r="AK80" s="206" t="str">
        <f>IF(ROUND(IS!AK42,0)-ROUND(SUM(IS!AK45:AK46),0)=ROUND(IS!AK47,0),"OK","ERROR")</f>
        <v>OK</v>
      </c>
      <c r="AL80" s="235" t="str">
        <f>IF(ROUND(IS!AL42,0)-ROUND(SUM(IS!AL45:AL46),0)=ROUND(IS!AL47,0),"OK","ERROR")</f>
        <v>OK</v>
      </c>
      <c r="AM80" s="234"/>
      <c r="AN80" s="206" t="str">
        <f>IF(ROUND(IS!AN42,0)-ROUND(SUM(IS!AN45:AN46),0)=ROUND(IS!AN47,0),"OK","ERROR")</f>
        <v>OK</v>
      </c>
      <c r="AO80" s="206" t="str">
        <f>IF(ROUND(IS!AO42,0)-ROUND(SUM(IS!AO45:AO46),0)=ROUND(IS!AO47,0),"OK","ERROR")</f>
        <v>OK</v>
      </c>
      <c r="AP80" s="206" t="str">
        <f>IF(ROUND(IS!AP42,0)-ROUND(SUM(IS!AP45:AP46),0)=ROUND(IS!AP47,0),"OK","ERROR")</f>
        <v>OK</v>
      </c>
      <c r="AQ80" s="206" t="str">
        <f>IF(ROUND(IS!AQ42,0)-ROUND(SUM(IS!AQ45:AQ46),0)=ROUND(IS!AQ47,0),"OK","ERROR")</f>
        <v>OK</v>
      </c>
      <c r="AR80" s="235" t="str">
        <f>IF(ROUND(IS!AR42,0)-ROUND(SUM(IS!AR45:AR46),0)=ROUND(IS!AR47,0),"OK","ERROR")</f>
        <v>OK</v>
      </c>
      <c r="AS80" s="211"/>
      <c r="AT80" s="235" t="str">
        <f>IF(ROUND(IS!AT42,0)-ROUND(SUM(IS!AT45:AT46),0)=ROUND(IS!AT47,0),"OK","ERROR")</f>
        <v>OK</v>
      </c>
      <c r="AU80" s="213"/>
      <c r="AV80" s="235" t="str">
        <f>IF(ROUND(IS!AV42,0)-ROUND(SUM(IS!AV45:AV46),0)=ROUND(IS!AV47,0),"OK","ERROR")</f>
        <v>OK</v>
      </c>
      <c r="AW80" s="213"/>
      <c r="AX80" s="235" t="str">
        <f>IF(ROUND(IS!AX42,0)-ROUND(SUM(IS!AX45:AX46),0)=ROUND(IS!AX47,0),"OK","ERROR")</f>
        <v>OK</v>
      </c>
    </row>
    <row r="82" spans="1:50" ht="14.25" customHeight="1">
      <c r="A82" s="44" t="s">
        <v>39</v>
      </c>
      <c r="B82" s="65" t="s">
        <v>614</v>
      </c>
      <c r="D82" s="206"/>
      <c r="E82" s="206"/>
      <c r="F82" s="206"/>
      <c r="G82" s="206"/>
      <c r="H82" s="218"/>
      <c r="I82" s="208"/>
      <c r="J82" s="206"/>
      <c r="K82" s="206"/>
      <c r="L82" s="206"/>
      <c r="M82" s="206"/>
      <c r="N82" s="218"/>
      <c r="O82" s="208"/>
      <c r="P82" s="206"/>
      <c r="Q82" s="206"/>
      <c r="R82" s="206"/>
      <c r="S82" s="206"/>
      <c r="T82" s="218"/>
      <c r="U82" s="208"/>
      <c r="V82" s="206"/>
      <c r="W82" s="206"/>
      <c r="X82" s="206"/>
      <c r="Y82" s="206"/>
      <c r="Z82" s="218"/>
      <c r="AA82" s="208"/>
      <c r="AB82" s="206"/>
      <c r="AC82" s="206"/>
      <c r="AD82" s="206"/>
      <c r="AE82" s="206"/>
      <c r="AF82" s="218"/>
      <c r="AG82" s="236"/>
      <c r="AH82" s="206"/>
      <c r="AI82" s="206"/>
      <c r="AJ82" s="206"/>
      <c r="AK82" s="206"/>
      <c r="AL82" s="218"/>
      <c r="AM82" s="208"/>
      <c r="AN82" s="206"/>
      <c r="AO82" s="206"/>
      <c r="AP82" s="206"/>
      <c r="AQ82" s="206"/>
      <c r="AR82" s="218"/>
      <c r="AS82" s="208"/>
      <c r="AT82" s="218"/>
      <c r="AU82" s="237"/>
      <c r="AV82" s="218"/>
      <c r="AW82" s="237"/>
      <c r="AX82" s="218"/>
    </row>
    <row r="83" spans="1:50" ht="14.25" customHeight="1" thickBot="1">
      <c r="A83" s="73"/>
      <c r="B83" s="76" t="s">
        <v>617</v>
      </c>
      <c r="D83" s="206" t="str">
        <f>IF(ROUND(IS!D47,0)-ROUND(SUM(IS!D50:D51),0)=ROUND(IS!D52,0),"OK","ERROR")</f>
        <v>OK</v>
      </c>
      <c r="E83" s="206" t="str">
        <f>IF(ROUND(IS!E47,0)-ROUND(SUM(IS!E50:E51),0)=ROUND(IS!E52,0),"OK","ERROR")</f>
        <v>OK</v>
      </c>
      <c r="F83" s="206" t="str">
        <f>IF(ROUND(IS!F47,0)-ROUND(SUM(IS!F50:F51),0)=ROUND(IS!F52,0),"OK","ERROR")</f>
        <v>OK</v>
      </c>
      <c r="G83" s="206" t="str">
        <f>IF(ROUND(IS!G47,0)-ROUND(SUM(IS!G50:G51),0)=ROUND(IS!G52,0),"OK","ERROR")</f>
        <v>ERROR</v>
      </c>
      <c r="H83" s="235" t="str">
        <f>IF(ROUND(IS!H47,0)-ROUND(SUM(IS!H50:H51),0)=ROUND(IS!H52,0),"OK","ERROR")</f>
        <v>ERROR</v>
      </c>
      <c r="I83" s="208"/>
      <c r="J83" s="206" t="str">
        <f>IF(ROUND(IS!J47,0)-ROUND(SUM(IS!J50:J51),0)=ROUND(IS!J52,0),"OK","ERROR")</f>
        <v>OK</v>
      </c>
      <c r="K83" s="206" t="str">
        <f>IF(ROUND(IS!K47,0)-ROUND(SUM(IS!K50:K51),0)=ROUND(IS!K52,0),"OK","ERROR")</f>
        <v>OK</v>
      </c>
      <c r="L83" s="206" t="str">
        <f>IF(ROUND(IS!L47,0)-ROUND(SUM(IS!L50:L51),0)=ROUND(IS!L52,0),"OK","ERROR")</f>
        <v>OK</v>
      </c>
      <c r="M83" s="206" t="str">
        <f>IF(ROUND(IS!M47,0)-ROUND(SUM(IS!M50:M51),0)=ROUND(IS!M52,0),"OK","ERROR")</f>
        <v>ERROR</v>
      </c>
      <c r="N83" s="235" t="str">
        <f>IF(ROUND(IS!N47,0)-ROUND(SUM(IS!N50:N51),0)=ROUND(IS!N52,0),"OK","ERROR")</f>
        <v>ERROR</v>
      </c>
      <c r="O83" s="208"/>
      <c r="P83" s="206" t="str">
        <f>IF(ROUND(IS!P47,0)-ROUND(SUM(IS!P50:P51),0)=ROUND(IS!P52,0),"OK","ERROR")</f>
        <v>OK</v>
      </c>
      <c r="Q83" s="206" t="str">
        <f>IF(ROUND(IS!Q47,0)-ROUND(SUM(IS!Q50:Q51),0)=ROUND(IS!Q52,0),"OK","ERROR")</f>
        <v>OK</v>
      </c>
      <c r="R83" s="206" t="str">
        <f>IF(ROUND(IS!R47,0)-ROUND(SUM(IS!R50:R51),0)=ROUND(IS!R52,0),"OK","ERROR")</f>
        <v>OK</v>
      </c>
      <c r="S83" s="206" t="str">
        <f>IF(ROUND(IS!S47,0)-ROUND(SUM(IS!S50:S51),0)=ROUND(IS!S52,0),"OK","ERROR")</f>
        <v>ERROR</v>
      </c>
      <c r="T83" s="235" t="str">
        <f>IF(ROUND(IS!T47,0)-ROUND(SUM(IS!T50:T51),0)=ROUND(IS!T52,0),"OK","ERROR")</f>
        <v>ERROR</v>
      </c>
      <c r="U83" s="208"/>
      <c r="V83" s="206" t="str">
        <f>IF(ROUND(IS!V47,0)-ROUND(SUM(IS!V50:V51),0)=ROUND(IS!V52,0),"OK","ERROR")</f>
        <v>OK</v>
      </c>
      <c r="W83" s="206" t="str">
        <f>IF(ROUND(IS!W47,0)-ROUND(SUM(IS!W50:W51),0)=ROUND(IS!W52,0),"OK","ERROR")</f>
        <v>OK</v>
      </c>
      <c r="X83" s="206" t="str">
        <f>IF(ROUND(IS!X47,0)-ROUND(SUM(IS!X50:X51),0)=ROUND(IS!X52,0),"OK","ERROR")</f>
        <v>OK</v>
      </c>
      <c r="Y83" s="206" t="str">
        <f>IF(ROUND(IS!Y47,0)-ROUND(SUM(IS!Y50:Y51),0)=ROUND(IS!Y52,0),"OK","ERROR")</f>
        <v>ERROR</v>
      </c>
      <c r="Z83" s="235" t="str">
        <f>IF(ROUND(IS!Z47,0)-ROUND(SUM(IS!Z50:Z51),0)=ROUND(IS!Z52,0),"OK","ERROR")</f>
        <v>ERROR</v>
      </c>
      <c r="AA83" s="208"/>
      <c r="AB83" s="206" t="str">
        <f>IF(ROUND(IS!AB47,0)-ROUND(SUM(IS!AB50:AB51),0)=ROUND(IS!AB52,0),"OK","ERROR")</f>
        <v>OK</v>
      </c>
      <c r="AC83" s="206" t="str">
        <f>IF(ROUND(IS!AC47,0)-ROUND(SUM(IS!AC50:AC51),0)=ROUND(IS!AC52,0),"OK","ERROR")</f>
        <v>ERROR</v>
      </c>
      <c r="AD83" s="206" t="str">
        <f>IF(ROUND(IS!AD47,0)-ROUND(SUM(IS!AD50:AD51),0)=ROUND(IS!AD52,0),"OK","ERROR")</f>
        <v>OK</v>
      </c>
      <c r="AE83" s="206" t="str">
        <f>IF(ROUND(IS!AE47,0)-ROUND(SUM(IS!AE50:AE51),0)=ROUND(IS!AE52,0),"OK","ERROR")</f>
        <v>ERROR</v>
      </c>
      <c r="AF83" s="235" t="str">
        <f>IF(ROUND(IS!AF47,0)-ROUND(SUM(IS!AF50:AF51),0)=ROUND(IS!AF52,0),"OK","ERROR")</f>
        <v>ERROR</v>
      </c>
      <c r="AG83" s="236"/>
      <c r="AH83" s="206" t="str">
        <f>IF(ROUND(IS!AH47,0)-ROUND(SUM(IS!AH50:AH51),0)=ROUND(IS!AH52,0),"OK","ERROR")</f>
        <v>OK</v>
      </c>
      <c r="AI83" s="206" t="str">
        <f>IF(ROUND(IS!AI47,0)-ROUND(SUM(IS!AI50:AI51),0)=ROUND(IS!AI52,0),"OK","ERROR")</f>
        <v>OK</v>
      </c>
      <c r="AJ83" s="206" t="str">
        <f>IF(ROUND(IS!AJ47,0)-ROUND(SUM(IS!AJ50:AJ51),0)=ROUND(IS!AJ52,0),"OK","ERROR")</f>
        <v>OK</v>
      </c>
      <c r="AK83" s="206" t="str">
        <f>IF(ROUND(IS!AK47,0)-ROUND(SUM(IS!AK50:AK51),0)=ROUND(IS!AK52,0),"OK","ERROR")</f>
        <v>OK</v>
      </c>
      <c r="AL83" s="235" t="str">
        <f>IF(ROUND(IS!AL47,0)-ROUND(SUM(IS!AL50:AL51),0)=ROUND(IS!AL52,0),"OK","ERROR")</f>
        <v>OK</v>
      </c>
      <c r="AM83" s="208"/>
      <c r="AN83" s="206" t="str">
        <f>IF(ROUND(IS!AN47,0)-ROUND(SUM(IS!AN50:AN51),0)=ROUND(IS!AN52,0),"OK","ERROR")</f>
        <v>OK</v>
      </c>
      <c r="AO83" s="206" t="str">
        <f>IF(ROUND(IS!AO47,0)-ROUND(SUM(IS!AO50:AO51),0)=ROUND(IS!AO52,0),"OK","ERROR")</f>
        <v>OK</v>
      </c>
      <c r="AP83" s="206" t="str">
        <f>IF(ROUND(IS!AP47,0)-ROUND(SUM(IS!AP50:AP51),0)=ROUND(IS!AP52,0),"OK","ERROR")</f>
        <v>OK</v>
      </c>
      <c r="AQ83" s="206" t="str">
        <f>IF(ROUND(IS!AQ47,0)-ROUND(SUM(IS!AQ50:AQ51),0)=ROUND(IS!AQ52,0),"OK","ERROR")</f>
        <v>OK</v>
      </c>
      <c r="AR83" s="235" t="str">
        <f>IF(ROUND(IS!AR47,0)-ROUND(SUM(IS!AR50:AR51),0)=ROUND(IS!AR52,0),"OK","ERROR")</f>
        <v>OK</v>
      </c>
      <c r="AS83" s="208"/>
      <c r="AT83" s="235" t="str">
        <f>IF(ROUND(IS!AT47,0)-ROUND(SUM(IS!AT50:AT51),0)=ROUND(IS!AT52,0),"OK","ERROR")</f>
        <v>OK</v>
      </c>
      <c r="AU83" s="237"/>
      <c r="AV83" s="235" t="str">
        <f>IF(ROUND(IS!AV47,0)-ROUND(SUM(IS!AV50:AV51),0)=ROUND(IS!AV52,0),"OK","ERROR")</f>
        <v>OK</v>
      </c>
      <c r="AW83" s="237"/>
      <c r="AX83" s="235" t="str">
        <f>IF(ROUND(IS!AX47,0)-ROUND(SUM(IS!AX50:AX51),0)=ROUND(IS!AX52,0),"OK","ERROR")</f>
        <v>OK</v>
      </c>
    </row>
    <row r="84" spans="1:50" ht="14.25" customHeight="1" thickTop="1">
      <c r="A84" s="55"/>
      <c r="D84" s="206"/>
      <c r="E84" s="206"/>
      <c r="F84" s="206"/>
      <c r="G84" s="206"/>
      <c r="H84" s="218"/>
      <c r="I84" s="208"/>
      <c r="J84" s="206"/>
      <c r="K84" s="206"/>
      <c r="L84" s="206"/>
      <c r="M84" s="206"/>
      <c r="N84" s="218"/>
      <c r="O84" s="208"/>
      <c r="P84" s="206"/>
      <c r="Q84" s="206"/>
      <c r="R84" s="206"/>
      <c r="S84" s="206"/>
      <c r="T84" s="218"/>
      <c r="U84" s="208"/>
      <c r="V84" s="206"/>
      <c r="W84" s="206"/>
      <c r="X84" s="206"/>
      <c r="Y84" s="206"/>
      <c r="Z84" s="218"/>
      <c r="AA84" s="208"/>
      <c r="AB84" s="206"/>
      <c r="AC84" s="206"/>
      <c r="AD84" s="206"/>
      <c r="AE84" s="206"/>
      <c r="AF84" s="218"/>
      <c r="AG84" s="236"/>
      <c r="AH84" s="206"/>
      <c r="AI84" s="206"/>
      <c r="AJ84" s="206"/>
      <c r="AK84" s="206"/>
      <c r="AL84" s="218"/>
      <c r="AM84" s="208"/>
      <c r="AN84" s="206"/>
      <c r="AO84" s="206"/>
      <c r="AP84" s="206"/>
      <c r="AQ84" s="206"/>
      <c r="AR84" s="218"/>
      <c r="AS84" s="208"/>
      <c r="AT84" s="218"/>
      <c r="AU84" s="237"/>
      <c r="AV84" s="218"/>
      <c r="AW84" s="237"/>
      <c r="AX84" s="218"/>
    </row>
    <row r="85" spans="1:50" ht="14.25" customHeight="1">
      <c r="A85" s="44" t="s">
        <v>39</v>
      </c>
      <c r="B85" s="65" t="s">
        <v>618</v>
      </c>
      <c r="D85" s="206"/>
      <c r="E85" s="206"/>
      <c r="F85" s="206"/>
      <c r="G85" s="206"/>
      <c r="H85" s="218"/>
      <c r="I85" s="208"/>
      <c r="J85" s="206"/>
      <c r="K85" s="206"/>
      <c r="L85" s="206"/>
      <c r="M85" s="206"/>
      <c r="N85" s="218"/>
      <c r="O85" s="208"/>
      <c r="P85" s="206"/>
      <c r="Q85" s="206"/>
      <c r="R85" s="206"/>
      <c r="S85" s="206"/>
      <c r="T85" s="218"/>
      <c r="U85" s="208"/>
      <c r="V85" s="206"/>
      <c r="W85" s="206"/>
      <c r="X85" s="206"/>
      <c r="Y85" s="206"/>
      <c r="Z85" s="218"/>
      <c r="AA85" s="208"/>
      <c r="AB85" s="206"/>
      <c r="AC85" s="206"/>
      <c r="AD85" s="206"/>
      <c r="AE85" s="206"/>
      <c r="AF85" s="218"/>
      <c r="AG85" s="236"/>
      <c r="AH85" s="206"/>
      <c r="AI85" s="206"/>
      <c r="AJ85" s="206"/>
      <c r="AK85" s="206"/>
      <c r="AL85" s="218"/>
      <c r="AM85" s="208"/>
      <c r="AN85" s="206"/>
      <c r="AO85" s="206"/>
      <c r="AP85" s="206"/>
      <c r="AQ85" s="206"/>
      <c r="AR85" s="218"/>
      <c r="AS85" s="208"/>
      <c r="AT85" s="218"/>
      <c r="AU85" s="237"/>
      <c r="AV85" s="218"/>
      <c r="AW85" s="237"/>
      <c r="AX85" s="218"/>
    </row>
    <row r="86" spans="1:50" ht="14.25" customHeight="1">
      <c r="A86" s="55"/>
      <c r="B86" s="76" t="s">
        <v>619</v>
      </c>
      <c r="D86" s="238" t="str">
        <f>IF(ROUND(IS!D52/IS!D59,1)=ROUND(IS!D55,1),"OK","ERROR")</f>
        <v>OK</v>
      </c>
      <c r="E86" s="238" t="str">
        <f>IF(ROUND(IS!E52/IS!E59,1)=ROUND(IS!E55,1),"OK","ERROR")</f>
        <v>OK</v>
      </c>
      <c r="F86" s="238" t="str">
        <f>IF(ROUND(IS!F52/IS!F59,1)=ROUND(IS!F55,1),"OK","ERROR")</f>
        <v>OK</v>
      </c>
      <c r="G86" s="238" t="str">
        <f>IF(ROUND(IS!G52/IS!G59,1)=ROUND(IS!G55,1),"OK","ERROR")</f>
        <v>ERROR</v>
      </c>
      <c r="H86" s="239" t="str">
        <f>IF(ROUND(IS!H52/IS!H59,1)=ROUND(IS!H55,1),"OK","ERROR")</f>
        <v>ERROR</v>
      </c>
      <c r="I86" s="240"/>
      <c r="J86" s="238" t="str">
        <f>IF(ROUND(IS!J52/IS!J59,1)=ROUND(IS!J55,1),"OK","ERROR")</f>
        <v>OK</v>
      </c>
      <c r="K86" s="238" t="str">
        <f>IF(ROUND(IS!K52/IS!K59,1)=ROUND(IS!K55,1),"OK","ERROR")</f>
        <v>OK</v>
      </c>
      <c r="L86" s="238" t="str">
        <f>IF(ROUND(IS!L52/IS!L59,1)=ROUND(IS!L55,1),"OK","ERROR")</f>
        <v>OK</v>
      </c>
      <c r="M86" s="238" t="str">
        <f>IF(ROUND(IS!M52/IS!M59,1)=ROUND(IS!M55,1),"OK","ERROR")</f>
        <v>ERROR</v>
      </c>
      <c r="N86" s="239" t="str">
        <f>IF(ROUND(IS!N52/IS!N59,1)=ROUND(IS!N55,1),"OK","ERROR")</f>
        <v>ERROR</v>
      </c>
      <c r="O86" s="240"/>
      <c r="P86" s="238" t="str">
        <f>IF(ROUND(IS!P52/IS!P59,1)=ROUND(IS!P55,1),"OK","ERROR")</f>
        <v>OK</v>
      </c>
      <c r="Q86" s="238" t="str">
        <f>IF(ROUND(IS!Q52/IS!Q59,1)=ROUND(IS!Q55,1),"OK","ERROR")</f>
        <v>OK</v>
      </c>
      <c r="R86" s="238" t="str">
        <f>IF(ROUND(IS!R52/IS!R59,1)=ROUND(IS!R55,1),"OK","ERROR")</f>
        <v>OK</v>
      </c>
      <c r="S86" s="238" t="str">
        <f>IF(ROUND(IS!S52/IS!S59,1)=ROUND(IS!S55,1),"OK","ERROR")</f>
        <v>ERROR</v>
      </c>
      <c r="T86" s="239" t="str">
        <f>IF(ROUND(IS!T52/IS!T59,1)=ROUND(IS!T55,1),"OK","ERROR")</f>
        <v>ERROR</v>
      </c>
      <c r="U86" s="240"/>
      <c r="V86" s="238" t="str">
        <f>IF(ROUND(IS!V52/IS!V59,1)=ROUND(IS!V55,1),"OK","ERROR")</f>
        <v>OK</v>
      </c>
      <c r="W86" s="238" t="str">
        <f>IF(ROUND(IS!W52/IS!W59,1)=ROUND(IS!W55,1),"OK","ERROR")</f>
        <v>OK</v>
      </c>
      <c r="X86" s="238" t="str">
        <f>IF(ROUND(IS!X52/IS!X59,1)=ROUND(IS!X55,1),"OK","ERROR")</f>
        <v>OK</v>
      </c>
      <c r="Y86" s="238" t="str">
        <f>IF(ROUND(IS!Y52/IS!Y59,1)=ROUND(IS!Y55,1),"OK","ERROR")</f>
        <v>ERROR</v>
      </c>
      <c r="Z86" s="239" t="str">
        <f>IF(ROUND(IS!Z52/IS!Z59,1)=ROUND(IS!Z55,1),"OK","ERROR")</f>
        <v>ERROR</v>
      </c>
      <c r="AA86" s="240"/>
      <c r="AB86" s="238" t="str">
        <f>IF(ROUND(IS!AB52/IS!AB59,1)=ROUND(IS!AB55,1),"OK","ERROR")</f>
        <v>OK</v>
      </c>
      <c r="AC86" s="238" t="str">
        <f>IF(ROUND(IS!AC52/IS!AC59,1)=ROUND(IS!AC55,1),"OK","ERROR")</f>
        <v>OK</v>
      </c>
      <c r="AD86" s="238" t="str">
        <f>IF(ROUND(IS!AD52/IS!AD59,1)=ROUND(IS!AD55,1),"OK","ERROR")</f>
        <v>OK</v>
      </c>
      <c r="AE86" s="238" t="str">
        <f>IF(ROUND(IS!AE52/IS!AE59,1)=ROUND(IS!AE55,1),"OK","ERROR")</f>
        <v>ERROR</v>
      </c>
      <c r="AF86" s="239" t="str">
        <f>IF(ROUND(IS!AF52/IS!AF59,1)=ROUND(IS!AF55,1),"OK","ERROR")</f>
        <v>ERROR</v>
      </c>
      <c r="AG86" s="241"/>
      <c r="AH86" s="238" t="str">
        <f>IF(ROUND(IS!AH52/IS!AH59,1)=ROUND(IS!AH55,1),"OK","ERROR")</f>
        <v>OK</v>
      </c>
      <c r="AI86" s="238" t="str">
        <f>IF(ROUND(IS!AI52/IS!AI59,1)=ROUND(IS!AI55,1),"OK","ERROR")</f>
        <v>OK</v>
      </c>
      <c r="AJ86" s="238" t="e">
        <f>IF(ROUND(IS!AJ52/IS!AJ59,1)=ROUND(IS!AJ55,1),"OK","ERROR")</f>
        <v>#DIV/0!</v>
      </c>
      <c r="AK86" s="238" t="e">
        <f>IF(ROUND(IS!AK52/IS!AK59,1)=ROUND(IS!AK55,1),"OK","ERROR")</f>
        <v>#DIV/0!</v>
      </c>
      <c r="AL86" s="239" t="e">
        <f>IF(ROUND(IS!AL52/IS!AL59,1)=ROUND(IS!AL55,1),"OK","ERROR")</f>
        <v>#DIV/0!</v>
      </c>
      <c r="AM86" s="240"/>
      <c r="AN86" s="238" t="e">
        <f>IF(ROUND(IS!AN52/IS!AN59,1)=ROUND(IS!AN55,1),"OK","ERROR")</f>
        <v>#DIV/0!</v>
      </c>
      <c r="AO86" s="238" t="e">
        <f>IF(ROUND(IS!AO52/IS!AO59,1)=ROUND(IS!AO55,1),"OK","ERROR")</f>
        <v>#DIV/0!</v>
      </c>
      <c r="AP86" s="238" t="e">
        <f>IF(ROUND(IS!AP52/IS!AP59,1)=ROUND(IS!AP55,1),"OK","ERROR")</f>
        <v>#DIV/0!</v>
      </c>
      <c r="AQ86" s="238" t="e">
        <f>IF(ROUND(IS!AQ52/IS!AQ59,1)=ROUND(IS!AQ55,1),"OK","ERROR")</f>
        <v>#DIV/0!</v>
      </c>
      <c r="AR86" s="239" t="e">
        <f>IF(ROUND(IS!AR52/IS!AR59,1)=ROUND(IS!AR55,1),"OK","ERROR")</f>
        <v>#DIV/0!</v>
      </c>
      <c r="AS86" s="240"/>
      <c r="AT86" s="239" t="e">
        <f>IF(ROUND(IS!AT52/IS!AT59,1)=ROUND(IS!AT55,1),"OK","ERROR")</f>
        <v>#DIV/0!</v>
      </c>
      <c r="AU86" s="243"/>
      <c r="AV86" s="239" t="e">
        <f>IF(ROUND(IS!AV52/IS!AV59,1)=ROUND(IS!AV55,1),"OK","ERROR")</f>
        <v>#DIV/0!</v>
      </c>
      <c r="AW86" s="243"/>
      <c r="AX86" s="239" t="e">
        <f>IF(ROUND(IS!AX52/IS!AX59,1)=ROUND(IS!AX55,1),"OK","ERROR")</f>
        <v>#DIV/0!</v>
      </c>
    </row>
    <row r="87" spans="1:50" ht="14.25" customHeight="1">
      <c r="A87" s="73"/>
      <c r="B87" s="76" t="s">
        <v>620</v>
      </c>
      <c r="D87" s="238" t="str">
        <f>IF(ROUND(IS!D52/IS!D60,1)=ROUND(IS!D56,1),"OK","ERROR")</f>
        <v>OK</v>
      </c>
      <c r="E87" s="238" t="str">
        <f>IF(ROUND(IS!E52/IS!E60,1)=ROUND(IS!E56,1),"OK","ERROR")</f>
        <v>OK</v>
      </c>
      <c r="F87" s="238" t="str">
        <f>IF(ROUND(IS!F52/IS!F60,1)=ROUND(IS!F56,1),"OK","ERROR")</f>
        <v>OK</v>
      </c>
      <c r="G87" s="238" t="str">
        <f>IF(ROUND(IS!G52/IS!G60,1)=ROUND(IS!G56,1),"OK","ERROR")</f>
        <v>ERROR</v>
      </c>
      <c r="H87" s="239" t="str">
        <f>IF(ROUND(IS!H52/IS!H60,1)=ROUND(IS!H56,1),"OK","ERROR")</f>
        <v>ERROR</v>
      </c>
      <c r="I87" s="240"/>
      <c r="J87" s="238" t="str">
        <f>IF(ROUND(IS!J52/IS!J60,1)=ROUND(IS!J56,1),"OK","ERROR")</f>
        <v>OK</v>
      </c>
      <c r="K87" s="238" t="str">
        <f>IF(ROUND(IS!K52/IS!K60,1)=ROUND(IS!K56,1),"OK","ERROR")</f>
        <v>OK</v>
      </c>
      <c r="L87" s="238" t="str">
        <f>IF(ROUND(IS!L52/IS!L60,1)=ROUND(IS!L56,1),"OK","ERROR")</f>
        <v>OK</v>
      </c>
      <c r="M87" s="238" t="str">
        <f>IF(ROUND(IS!M52/IS!M60,1)=ROUND(IS!M56,1),"OK","ERROR")</f>
        <v>ERROR</v>
      </c>
      <c r="N87" s="239" t="str">
        <f>IF(ROUND(IS!N52/IS!N60,1)=ROUND(IS!N56,1),"OK","ERROR")</f>
        <v>ERROR</v>
      </c>
      <c r="O87" s="240"/>
      <c r="P87" s="238" t="str">
        <f>IF(ROUND(IS!P52/IS!P60,1)=ROUND(IS!P56,1),"OK","ERROR")</f>
        <v>OK</v>
      </c>
      <c r="Q87" s="238" t="str">
        <f>IF(ROUND(IS!Q52/IS!Q60,1)=ROUND(IS!Q56,1),"OK","ERROR")</f>
        <v>OK</v>
      </c>
      <c r="R87" s="238" t="str">
        <f>IF(ROUND(IS!R52/IS!R60,1)=ROUND(IS!R56,1),"OK","ERROR")</f>
        <v>OK</v>
      </c>
      <c r="S87" s="238" t="str">
        <f>IF(ROUND(IS!S52/IS!S60,1)=ROUND(IS!S56,1),"OK","ERROR")</f>
        <v>ERROR</v>
      </c>
      <c r="T87" s="239" t="str">
        <f>IF(ROUND(IS!T52/IS!T60,1)=ROUND(IS!T56,1),"OK","ERROR")</f>
        <v>ERROR</v>
      </c>
      <c r="U87" s="240"/>
      <c r="V87" s="238" t="str">
        <f>IF(ROUND(IS!V52/IS!V60,1)=ROUND(IS!V56,1),"OK","ERROR")</f>
        <v>OK</v>
      </c>
      <c r="W87" s="238" t="str">
        <f>IF(ROUND(IS!W52/IS!W60,1)=ROUND(IS!W56,1),"OK","ERROR")</f>
        <v>OK</v>
      </c>
      <c r="X87" s="238" t="str">
        <f>IF(ROUND(IS!X52/IS!X60,1)=ROUND(IS!X56,1),"OK","ERROR")</f>
        <v>OK</v>
      </c>
      <c r="Y87" s="238" t="str">
        <f>IF(ROUND(IS!Y52/IS!Y60,1)=ROUND(IS!Y56,1),"OK","ERROR")</f>
        <v>ERROR</v>
      </c>
      <c r="Z87" s="239" t="str">
        <f>IF(ROUND(IS!Z52/IS!Z60,1)=ROUND(IS!Z56,1),"OK","ERROR")</f>
        <v>ERROR</v>
      </c>
      <c r="AA87" s="240"/>
      <c r="AB87" s="238" t="str">
        <f>IF(ROUND(IS!AB52/IS!AB60,1)=ROUND(IS!AB56,1),"OK","ERROR")</f>
        <v>OK</v>
      </c>
      <c r="AC87" s="238" t="str">
        <f>IF(ROUND(IS!AC52/IS!AC60,1)=ROUND(IS!AC56,1),"OK","ERROR")</f>
        <v>OK</v>
      </c>
      <c r="AD87" s="238" t="str">
        <f>IF(ROUND(IS!AD52/IS!AD60,1)=ROUND(IS!AD56,1),"OK","ERROR")</f>
        <v>OK</v>
      </c>
      <c r="AE87" s="238" t="str">
        <f>IF(ROUND(IS!AE52/IS!AE60,1)=ROUND(IS!AE56,1),"OK","ERROR")</f>
        <v>ERROR</v>
      </c>
      <c r="AF87" s="239" t="str">
        <f>IF(ROUND(IS!AF52/IS!AF60,1)=ROUND(IS!AF56,1),"OK","ERROR")</f>
        <v>ERROR</v>
      </c>
      <c r="AG87" s="241"/>
      <c r="AH87" s="238" t="str">
        <f>IF(ROUND(IS!AH52/IS!AH60,1)=ROUND(IS!AH56,1),"OK","ERROR")</f>
        <v>OK</v>
      </c>
      <c r="AI87" s="238" t="str">
        <f>IF(ROUND(IS!AI52/IS!AI60,1)=ROUND(IS!AI56,1),"OK","ERROR")</f>
        <v>OK</v>
      </c>
      <c r="AJ87" s="238" t="e">
        <f>IF(ROUND(IS!AJ52/IS!AJ60,1)=ROUND(IS!AJ56,1),"OK","ERROR")</f>
        <v>#DIV/0!</v>
      </c>
      <c r="AK87" s="238" t="e">
        <f>IF(ROUND(IS!AK52/IS!AK60,1)=ROUND(IS!AK56,1),"OK","ERROR")</f>
        <v>#DIV/0!</v>
      </c>
      <c r="AL87" s="239" t="e">
        <f>IF(ROUND(IS!AL52/IS!AL60,1)=ROUND(IS!AL56,1),"OK","ERROR")</f>
        <v>#DIV/0!</v>
      </c>
      <c r="AM87" s="240"/>
      <c r="AN87" s="238" t="e">
        <f>IF(ROUND(IS!AN52/IS!AN60,1)=ROUND(IS!AN56,1),"OK","ERROR")</f>
        <v>#DIV/0!</v>
      </c>
      <c r="AO87" s="238" t="e">
        <f>IF(ROUND(IS!AO52/IS!AO60,1)=ROUND(IS!AO56,1),"OK","ERROR")</f>
        <v>#DIV/0!</v>
      </c>
      <c r="AP87" s="238" t="e">
        <f>IF(ROUND(IS!AP52/IS!AP60,1)=ROUND(IS!AP56,1),"OK","ERROR")</f>
        <v>#DIV/0!</v>
      </c>
      <c r="AQ87" s="238" t="e">
        <f>IF(ROUND(IS!AQ52/IS!AQ60,1)=ROUND(IS!AQ56,1),"OK","ERROR")</f>
        <v>#DIV/0!</v>
      </c>
      <c r="AR87" s="239" t="e">
        <f>IF(ROUND(IS!AR52/IS!AR60,1)=ROUND(IS!AR56,1),"OK","ERROR")</f>
        <v>#DIV/0!</v>
      </c>
      <c r="AS87" s="240"/>
      <c r="AT87" s="239" t="e">
        <f>IF(ROUND(IS!AT52/IS!AT60,1)=ROUND(IS!AT56,1),"OK","ERROR")</f>
        <v>#DIV/0!</v>
      </c>
      <c r="AU87" s="243"/>
      <c r="AV87" s="239" t="e">
        <f>IF(ROUND(IS!AV52/IS!AV60,1)=ROUND(IS!AV56,1),"OK","ERROR")</f>
        <v>#DIV/0!</v>
      </c>
      <c r="AW87" s="243"/>
      <c r="AX87" s="239" t="e">
        <f>IF(ROUND(IS!AX52/IS!AX60,1)=ROUND(IS!AX56,1),"OK","ERROR")</f>
        <v>#DIV/0!</v>
      </c>
    </row>
    <row r="89" spans="1:50" s="41" customFormat="1" ht="15" customHeight="1">
      <c r="B89" s="159" t="s">
        <v>701</v>
      </c>
      <c r="C89" s="18"/>
      <c r="D89" s="200">
        <f>F89</f>
        <v>2020</v>
      </c>
      <c r="E89" s="200">
        <f>F89</f>
        <v>2020</v>
      </c>
      <c r="F89" s="200">
        <v>2020</v>
      </c>
      <c r="G89" s="200">
        <f>F89</f>
        <v>2020</v>
      </c>
      <c r="H89" s="200">
        <f>F89</f>
        <v>2020</v>
      </c>
      <c r="I89" s="18"/>
      <c r="J89" s="200">
        <f>L89</f>
        <v>2021</v>
      </c>
      <c r="K89" s="200">
        <f>L89</f>
        <v>2021</v>
      </c>
      <c r="L89" s="200">
        <v>2021</v>
      </c>
      <c r="M89" s="200">
        <f>L89</f>
        <v>2021</v>
      </c>
      <c r="N89" s="200">
        <f>L89</f>
        <v>2021</v>
      </c>
      <c r="O89" s="167"/>
      <c r="P89" s="200">
        <f>R89</f>
        <v>2022</v>
      </c>
      <c r="Q89" s="200">
        <f>R89</f>
        <v>2022</v>
      </c>
      <c r="R89" s="200">
        <v>2022</v>
      </c>
      <c r="S89" s="200">
        <f>R89</f>
        <v>2022</v>
      </c>
      <c r="T89" s="200">
        <f>R89</f>
        <v>2022</v>
      </c>
      <c r="U89" s="167"/>
      <c r="V89" s="200">
        <f>X89</f>
        <v>2023</v>
      </c>
      <c r="W89" s="200">
        <f>X89</f>
        <v>2023</v>
      </c>
      <c r="X89" s="200">
        <v>2023</v>
      </c>
      <c r="Y89" s="200">
        <f>X89</f>
        <v>2023</v>
      </c>
      <c r="Z89" s="200">
        <f>X89</f>
        <v>2023</v>
      </c>
      <c r="AA89" s="168"/>
      <c r="AB89" s="200">
        <f>AD89</f>
        <v>2024</v>
      </c>
      <c r="AC89" s="200">
        <f>AD89</f>
        <v>2024</v>
      </c>
      <c r="AD89" s="200">
        <v>2024</v>
      </c>
      <c r="AE89" s="200">
        <f>AD89</f>
        <v>2024</v>
      </c>
      <c r="AF89" s="200">
        <f>AD89</f>
        <v>2024</v>
      </c>
      <c r="AG89" s="168"/>
      <c r="AH89" s="200">
        <f>AJ89</f>
        <v>2025</v>
      </c>
      <c r="AI89" s="200">
        <f>AJ89</f>
        <v>2025</v>
      </c>
      <c r="AJ89" s="201">
        <v>2025</v>
      </c>
      <c r="AK89" s="200">
        <f>AJ89</f>
        <v>2025</v>
      </c>
      <c r="AL89" s="200">
        <f>AJ89</f>
        <v>2025</v>
      </c>
      <c r="AM89" s="169"/>
      <c r="AN89" s="200">
        <f>AP89</f>
        <v>2025</v>
      </c>
      <c r="AO89" s="200">
        <f>AP89</f>
        <v>2025</v>
      </c>
      <c r="AP89" s="201">
        <v>2025</v>
      </c>
      <c r="AQ89" s="200">
        <f>AP89</f>
        <v>2025</v>
      </c>
      <c r="AR89" s="200">
        <f>AP89</f>
        <v>2025</v>
      </c>
      <c r="AS89" s="18"/>
      <c r="AT89" s="160"/>
      <c r="AU89" s="18"/>
      <c r="AV89" s="161"/>
      <c r="AW89" s="18"/>
      <c r="AX89" s="161"/>
    </row>
    <row r="90" spans="1:50" s="41" customFormat="1" ht="15" customHeight="1">
      <c r="B90" s="162"/>
      <c r="C90" s="18"/>
      <c r="D90" s="950">
        <v>2020</v>
      </c>
      <c r="E90" s="950"/>
      <c r="F90" s="950"/>
      <c r="G90" s="950"/>
      <c r="H90" s="950"/>
      <c r="I90" s="167"/>
      <c r="J90" s="950">
        <f>D90+1</f>
        <v>2021</v>
      </c>
      <c r="K90" s="950"/>
      <c r="L90" s="950"/>
      <c r="M90" s="950"/>
      <c r="N90" s="950"/>
      <c r="O90" s="167"/>
      <c r="P90" s="950">
        <f>J90+1</f>
        <v>2022</v>
      </c>
      <c r="Q90" s="950"/>
      <c r="R90" s="950"/>
      <c r="S90" s="950"/>
      <c r="T90" s="950"/>
      <c r="U90" s="167"/>
      <c r="V90" s="950">
        <f>P90+1</f>
        <v>2023</v>
      </c>
      <c r="W90" s="950"/>
      <c r="X90" s="950"/>
      <c r="Y90" s="950"/>
      <c r="Z90" s="950"/>
      <c r="AA90" s="167"/>
      <c r="AB90" s="950">
        <f>V90+1</f>
        <v>2024</v>
      </c>
      <c r="AC90" s="950"/>
      <c r="AD90" s="950"/>
      <c r="AE90" s="950"/>
      <c r="AF90" s="950"/>
      <c r="AG90" s="167"/>
      <c r="AH90" s="949">
        <f>AB90+1</f>
        <v>2025</v>
      </c>
      <c r="AI90" s="949"/>
      <c r="AJ90" s="949"/>
      <c r="AK90" s="949"/>
      <c r="AL90" s="949"/>
      <c r="AM90" s="167"/>
      <c r="AN90" s="949">
        <f>AH90+1</f>
        <v>2026</v>
      </c>
      <c r="AO90" s="949"/>
      <c r="AP90" s="949"/>
      <c r="AQ90" s="949"/>
      <c r="AR90" s="949"/>
      <c r="AS90" s="169"/>
      <c r="AT90" s="164">
        <f>AN90+1</f>
        <v>2027</v>
      </c>
      <c r="AU90" s="165"/>
      <c r="AV90" s="164">
        <f>+AT90+1</f>
        <v>2028</v>
      </c>
      <c r="AW90" s="165"/>
      <c r="AX90" s="164">
        <f>+AV90+1</f>
        <v>2029</v>
      </c>
    </row>
    <row r="91" spans="1:50" s="41" customFormat="1" ht="15" customHeight="1">
      <c r="B91" s="162"/>
      <c r="C91" s="18"/>
      <c r="D91" s="166" t="s">
        <v>197</v>
      </c>
      <c r="E91" s="166" t="s">
        <v>198</v>
      </c>
      <c r="F91" s="166" t="s">
        <v>199</v>
      </c>
      <c r="G91" s="166" t="s">
        <v>200</v>
      </c>
      <c r="H91" s="166" t="s">
        <v>201</v>
      </c>
      <c r="I91" s="18"/>
      <c r="J91" s="166" t="s">
        <v>197</v>
      </c>
      <c r="K91" s="166" t="s">
        <v>198</v>
      </c>
      <c r="L91" s="166" t="s">
        <v>199</v>
      </c>
      <c r="M91" s="166" t="s">
        <v>200</v>
      </c>
      <c r="N91" s="166" t="s">
        <v>201</v>
      </c>
      <c r="O91" s="163"/>
      <c r="P91" s="166" t="s">
        <v>197</v>
      </c>
      <c r="Q91" s="166" t="s">
        <v>198</v>
      </c>
      <c r="R91" s="166" t="s">
        <v>199</v>
      </c>
      <c r="S91" s="166" t="s">
        <v>200</v>
      </c>
      <c r="T91" s="166" t="s">
        <v>201</v>
      </c>
      <c r="U91" s="163"/>
      <c r="V91" s="166" t="s">
        <v>197</v>
      </c>
      <c r="W91" s="166" t="s">
        <v>198</v>
      </c>
      <c r="X91" s="166" t="s">
        <v>199</v>
      </c>
      <c r="Y91" s="166" t="s">
        <v>200</v>
      </c>
      <c r="Z91" s="166" t="s">
        <v>201</v>
      </c>
      <c r="AA91" s="163"/>
      <c r="AB91" s="166" t="s">
        <v>197</v>
      </c>
      <c r="AC91" s="166" t="s">
        <v>198</v>
      </c>
      <c r="AD91" s="166" t="s">
        <v>199</v>
      </c>
      <c r="AE91" s="166" t="s">
        <v>200</v>
      </c>
      <c r="AF91" s="166" t="s">
        <v>201</v>
      </c>
      <c r="AG91" s="163"/>
      <c r="AH91" s="166" t="s">
        <v>197</v>
      </c>
      <c r="AI91" s="166" t="s">
        <v>198</v>
      </c>
      <c r="AJ91" s="166" t="s">
        <v>199</v>
      </c>
      <c r="AK91" s="166" t="s">
        <v>200</v>
      </c>
      <c r="AL91" s="166" t="s">
        <v>201</v>
      </c>
      <c r="AM91" s="163"/>
      <c r="AN91" s="166" t="s">
        <v>197</v>
      </c>
      <c r="AO91" s="166" t="s">
        <v>198</v>
      </c>
      <c r="AP91" s="166" t="s">
        <v>199</v>
      </c>
      <c r="AQ91" s="166" t="s">
        <v>200</v>
      </c>
      <c r="AR91" s="166" t="s">
        <v>201</v>
      </c>
      <c r="AS91" s="163"/>
      <c r="AT91" s="166" t="s">
        <v>201</v>
      </c>
      <c r="AU91" s="163"/>
      <c r="AV91" s="166" t="s">
        <v>201</v>
      </c>
      <c r="AW91" s="163"/>
      <c r="AX91" s="166" t="s">
        <v>201</v>
      </c>
    </row>
    <row r="92" spans="1:50" s="41" customFormat="1" ht="3.95" customHeight="1">
      <c r="A92" s="43"/>
      <c r="B92" s="174"/>
      <c r="C92" s="35"/>
      <c r="D92" s="175"/>
      <c r="E92" s="175"/>
      <c r="F92" s="175"/>
      <c r="G92" s="175"/>
      <c r="H92" s="175"/>
      <c r="I92" s="35"/>
      <c r="J92" s="175"/>
      <c r="K92" s="175"/>
      <c r="L92" s="175"/>
      <c r="M92" s="175"/>
      <c r="N92" s="175"/>
      <c r="O92" s="176"/>
      <c r="P92" s="175"/>
      <c r="Q92" s="175"/>
      <c r="R92" s="175"/>
      <c r="S92" s="175"/>
      <c r="T92" s="175"/>
      <c r="U92" s="176"/>
      <c r="V92" s="175"/>
      <c r="W92" s="175"/>
      <c r="X92" s="175"/>
      <c r="Y92" s="175"/>
      <c r="Z92" s="175"/>
      <c r="AA92" s="176"/>
      <c r="AB92" s="175"/>
      <c r="AC92" s="175"/>
      <c r="AD92" s="175"/>
      <c r="AE92" s="175"/>
      <c r="AF92" s="175"/>
      <c r="AG92" s="176"/>
      <c r="AH92" s="175"/>
      <c r="AI92" s="175"/>
      <c r="AJ92" s="175"/>
      <c r="AK92" s="175"/>
      <c r="AL92" s="177"/>
      <c r="AM92" s="178"/>
      <c r="AN92" s="177"/>
      <c r="AO92" s="177"/>
      <c r="AP92" s="177"/>
      <c r="AQ92" s="177"/>
      <c r="AR92" s="177"/>
      <c r="AS92" s="178"/>
      <c r="AT92" s="177"/>
      <c r="AU92" s="178"/>
      <c r="AV92" s="177"/>
      <c r="AW92" s="178"/>
      <c r="AX92" s="177"/>
    </row>
    <row r="93" spans="1:50" s="41" customFormat="1" ht="3.95" customHeight="1">
      <c r="A93" s="43"/>
      <c r="B93" s="170"/>
      <c r="C93" s="19"/>
      <c r="D93" s="171"/>
      <c r="E93" s="171"/>
      <c r="F93" s="171"/>
      <c r="G93" s="171"/>
      <c r="H93" s="171"/>
      <c r="I93" s="19"/>
      <c r="J93" s="171"/>
      <c r="K93" s="171"/>
      <c r="L93" s="171"/>
      <c r="M93" s="171"/>
      <c r="N93" s="171"/>
      <c r="O93" s="172"/>
      <c r="P93" s="171"/>
      <c r="Q93" s="171"/>
      <c r="R93" s="171"/>
      <c r="S93" s="171"/>
      <c r="T93" s="171"/>
      <c r="U93" s="172"/>
      <c r="V93" s="171"/>
      <c r="W93" s="171"/>
      <c r="X93" s="171"/>
      <c r="Y93" s="171"/>
      <c r="Z93" s="171"/>
      <c r="AA93" s="172"/>
      <c r="AB93" s="171"/>
      <c r="AC93" s="171"/>
      <c r="AD93" s="171"/>
      <c r="AE93" s="171"/>
      <c r="AF93" s="171"/>
      <c r="AG93" s="202"/>
      <c r="AH93" s="171"/>
      <c r="AI93" s="171"/>
      <c r="AJ93" s="171"/>
      <c r="AK93" s="171"/>
      <c r="AL93" s="173"/>
      <c r="AM93" s="34"/>
      <c r="AN93" s="173"/>
      <c r="AO93" s="173"/>
      <c r="AP93" s="173"/>
      <c r="AQ93" s="173"/>
      <c r="AR93" s="173"/>
      <c r="AS93" s="34"/>
      <c r="AT93" s="173"/>
      <c r="AU93" s="34"/>
      <c r="AV93" s="173"/>
      <c r="AW93" s="34"/>
      <c r="AX93" s="173"/>
    </row>
    <row r="94" spans="1:50" s="41" customFormat="1" ht="15" customHeight="1">
      <c r="A94" s="44"/>
      <c r="B94" s="104" t="s">
        <v>627</v>
      </c>
      <c r="C94" s="17"/>
      <c r="D94" s="206"/>
      <c r="E94" s="206"/>
      <c r="F94" s="206"/>
      <c r="G94" s="206"/>
      <c r="H94" s="214"/>
      <c r="I94" s="246"/>
      <c r="J94" s="247"/>
      <c r="K94" s="247"/>
      <c r="L94" s="247"/>
      <c r="M94" s="247"/>
      <c r="N94" s="248"/>
      <c r="O94" s="248"/>
      <c r="P94" s="247"/>
      <c r="Q94" s="247"/>
      <c r="R94" s="247"/>
      <c r="S94" s="247"/>
      <c r="T94" s="248"/>
      <c r="U94" s="248"/>
      <c r="V94" s="247"/>
      <c r="W94" s="247"/>
      <c r="X94" s="247"/>
      <c r="Y94" s="247"/>
      <c r="Z94" s="248"/>
      <c r="AA94" s="248"/>
      <c r="AB94" s="249"/>
      <c r="AC94" s="249"/>
      <c r="AD94" s="249"/>
      <c r="AE94" s="249"/>
      <c r="AF94" s="248"/>
      <c r="AG94" s="250"/>
      <c r="AH94" s="251"/>
      <c r="AI94" s="251"/>
      <c r="AJ94" s="251"/>
      <c r="AK94" s="251"/>
      <c r="AL94" s="248"/>
      <c r="AM94" s="252"/>
      <c r="AN94" s="251"/>
      <c r="AO94" s="251"/>
      <c r="AP94" s="251"/>
      <c r="AQ94" s="251"/>
      <c r="AR94" s="248"/>
      <c r="AS94" s="252"/>
      <c r="AT94" s="248"/>
      <c r="AU94" s="252"/>
      <c r="AV94" s="248"/>
      <c r="AW94" s="253"/>
      <c r="AX94" s="253"/>
    </row>
    <row r="95" spans="1:50" s="111" customFormat="1" ht="15" customHeight="1">
      <c r="B95" s="112"/>
      <c r="C95" s="113"/>
      <c r="D95" s="206"/>
      <c r="E95" s="206"/>
      <c r="F95" s="206"/>
      <c r="G95" s="206"/>
      <c r="H95" s="214"/>
      <c r="I95" s="254"/>
      <c r="J95" s="247"/>
      <c r="K95" s="247"/>
      <c r="L95" s="247"/>
      <c r="M95" s="247"/>
      <c r="N95" s="248"/>
      <c r="O95" s="254"/>
      <c r="P95" s="247"/>
      <c r="Q95" s="247"/>
      <c r="R95" s="247"/>
      <c r="S95" s="247"/>
      <c r="T95" s="248"/>
      <c r="U95" s="254"/>
      <c r="V95" s="247"/>
      <c r="W95" s="247"/>
      <c r="X95" s="247"/>
      <c r="Y95" s="247"/>
      <c r="Z95" s="248"/>
      <c r="AA95" s="255"/>
      <c r="AB95" s="249"/>
      <c r="AC95" s="249"/>
      <c r="AD95" s="249"/>
      <c r="AE95" s="249"/>
      <c r="AF95" s="248"/>
      <c r="AG95" s="256"/>
      <c r="AH95" s="257"/>
      <c r="AI95" s="257"/>
      <c r="AJ95" s="257"/>
      <c r="AK95" s="257"/>
      <c r="AL95" s="248"/>
      <c r="AM95" s="258"/>
      <c r="AN95" s="257"/>
      <c r="AO95" s="257"/>
      <c r="AP95" s="257"/>
      <c r="AQ95" s="257"/>
      <c r="AR95" s="248"/>
      <c r="AS95" s="258"/>
      <c r="AT95" s="248"/>
      <c r="AU95" s="258"/>
      <c r="AV95" s="248"/>
      <c r="AW95" s="259"/>
      <c r="AX95" s="259"/>
    </row>
    <row r="96" spans="1:50" s="41" customFormat="1" ht="15" customHeight="1">
      <c r="A96" s="44" t="s">
        <v>39</v>
      </c>
      <c r="B96" s="112" t="s">
        <v>628</v>
      </c>
      <c r="C96" s="17"/>
      <c r="D96" s="206"/>
      <c r="E96" s="206"/>
      <c r="F96" s="206"/>
      <c r="G96" s="206"/>
      <c r="H96" s="218"/>
      <c r="I96" s="246"/>
      <c r="J96" s="260"/>
      <c r="K96" s="260"/>
      <c r="L96" s="260"/>
      <c r="M96" s="260"/>
      <c r="N96" s="248"/>
      <c r="O96" s="246"/>
      <c r="P96" s="260"/>
      <c r="Q96" s="260"/>
      <c r="R96" s="260"/>
      <c r="S96" s="260"/>
      <c r="T96" s="248"/>
      <c r="U96" s="246"/>
      <c r="V96" s="260"/>
      <c r="W96" s="260"/>
      <c r="X96" s="260"/>
      <c r="Y96" s="260"/>
      <c r="Z96" s="248"/>
      <c r="AA96" s="261"/>
      <c r="AB96" s="262"/>
      <c r="AC96" s="262"/>
      <c r="AD96" s="262"/>
      <c r="AE96" s="262"/>
      <c r="AF96" s="248"/>
      <c r="AG96" s="263"/>
      <c r="AH96" s="264"/>
      <c r="AI96" s="264"/>
      <c r="AJ96" s="264"/>
      <c r="AK96" s="264"/>
      <c r="AL96" s="248"/>
      <c r="AM96" s="265"/>
      <c r="AN96" s="264"/>
      <c r="AO96" s="264"/>
      <c r="AP96" s="264"/>
      <c r="AQ96" s="264"/>
      <c r="AR96" s="248"/>
      <c r="AS96" s="265"/>
      <c r="AT96" s="248"/>
      <c r="AU96" s="265"/>
      <c r="AV96" s="248"/>
      <c r="AW96" s="253"/>
      <c r="AX96" s="253"/>
    </row>
    <row r="97" spans="1:50" s="41" customFormat="1" ht="15" customHeight="1">
      <c r="A97" s="44"/>
      <c r="B97" s="125" t="s">
        <v>629</v>
      </c>
      <c r="C97" s="17"/>
      <c r="D97" s="206" t="str">
        <f>IF(ROUND(BS!D15,0)=ROUND(SUM(BS!D16:D17),0),"OK","ERROR")</f>
        <v>OK</v>
      </c>
      <c r="E97" s="206" t="str">
        <f>IF(ROUND(BS!E15,0)=ROUND(SUM(BS!E16:E17),0),"OK","ERROR")</f>
        <v>OK</v>
      </c>
      <c r="F97" s="206" t="str">
        <f>IF(ROUND(BS!F15,0)=ROUND(SUM(BS!F16:F17),0),"OK","ERROR")</f>
        <v>OK</v>
      </c>
      <c r="G97" s="206" t="str">
        <f>IF(ROUND(BS!G15,0)=ROUND(SUM(BS!G16:G17),0),"OK","ERROR")</f>
        <v>OK</v>
      </c>
      <c r="H97" s="218" t="str">
        <f>IF(ROUND(BS!H15,0)=ROUND(SUM(BS!H16:H17),0),"OK","ERROR")</f>
        <v>OK</v>
      </c>
      <c r="I97" s="246"/>
      <c r="J97" s="206" t="str">
        <f>IF(ROUND(BS!J15,0)=ROUND(SUM(BS!J16:J17),0),"OK","ERROR")</f>
        <v>OK</v>
      </c>
      <c r="K97" s="206" t="str">
        <f>IF(ROUND(BS!K15,0)=ROUND(SUM(BS!K16:K17),0),"OK","ERROR")</f>
        <v>OK</v>
      </c>
      <c r="L97" s="206" t="str">
        <f>IF(ROUND(BS!L15,0)=ROUND(SUM(BS!L16:L17),0),"OK","ERROR")</f>
        <v>OK</v>
      </c>
      <c r="M97" s="206" t="str">
        <f>IF(ROUND(BS!M15,0)=ROUND(SUM(BS!M16:M17),0),"OK","ERROR")</f>
        <v>OK</v>
      </c>
      <c r="N97" s="218" t="str">
        <f>IF(ROUND(BS!N15,0)=ROUND(SUM(BS!N16:N17),0),"OK","ERROR")</f>
        <v>OK</v>
      </c>
      <c r="O97" s="246"/>
      <c r="P97" s="206" t="str">
        <f>IF(ROUND(BS!P15,0)=ROUND(SUM(BS!P16:P17),0),"OK","ERROR")</f>
        <v>OK</v>
      </c>
      <c r="Q97" s="206" t="str">
        <f>IF(ROUND(BS!Q15,0)=ROUND(SUM(BS!Q16:Q17),0),"OK","ERROR")</f>
        <v>OK</v>
      </c>
      <c r="R97" s="206" t="str">
        <f>IF(ROUND(BS!R15,0)=ROUND(SUM(BS!R16:R17),0),"OK","ERROR")</f>
        <v>OK</v>
      </c>
      <c r="S97" s="206" t="str">
        <f>IF(ROUND(BS!S15,0)=ROUND(SUM(BS!S16:S17),0),"OK","ERROR")</f>
        <v>OK</v>
      </c>
      <c r="T97" s="218" t="str">
        <f>IF(ROUND(BS!T15,0)=ROUND(SUM(BS!T16:T17),0),"OK","ERROR")</f>
        <v>OK</v>
      </c>
      <c r="U97" s="246"/>
      <c r="V97" s="206" t="str">
        <f>IF(ROUND(BS!V15,0)=ROUND(SUM(BS!V16:V17),0),"OK","ERROR")</f>
        <v>OK</v>
      </c>
      <c r="W97" s="206" t="str">
        <f>IF(ROUND(BS!W15,0)=ROUND(SUM(BS!W16:W17),0),"OK","ERROR")</f>
        <v>OK</v>
      </c>
      <c r="X97" s="206" t="str">
        <f>IF(ROUND(BS!X15,0)=ROUND(SUM(BS!X16:X17),0),"OK","ERROR")</f>
        <v>OK</v>
      </c>
      <c r="Y97" s="206" t="str">
        <f>IF(ROUND(BS!Y15,0)=ROUND(SUM(BS!Y16:Y17),0),"OK","ERROR")</f>
        <v>OK</v>
      </c>
      <c r="Z97" s="218" t="str">
        <f>IF(ROUND(BS!Z15,0)=ROUND(SUM(BS!Z16:Z17),0),"OK","ERROR")</f>
        <v>OK</v>
      </c>
      <c r="AA97" s="261"/>
      <c r="AB97" s="206" t="str">
        <f>IF(ROUND(BS!AB15,0)=ROUND(SUM(BS!AB16:AB17),0),"OK","ERROR")</f>
        <v>OK</v>
      </c>
      <c r="AC97" s="206" t="str">
        <f>IF(ROUND(BS!AC15,0)=ROUND(SUM(BS!AC16:AC17),0),"OK","ERROR")</f>
        <v>OK</v>
      </c>
      <c r="AD97" s="206" t="str">
        <f>IF(ROUND(BS!AD15,0)=ROUND(SUM(BS!AD16:AD17),0),"OK","ERROR")</f>
        <v>OK</v>
      </c>
      <c r="AE97" s="206" t="str">
        <f>IF(ROUND(BS!AE15,0)=ROUND(SUM(BS!AE16:AE17),0),"OK","ERROR")</f>
        <v>OK</v>
      </c>
      <c r="AF97" s="218" t="str">
        <f>IF(ROUND(BS!AF15,0)=ROUND(SUM(BS!AF16:AF17),0),"OK","ERROR")</f>
        <v>OK</v>
      </c>
      <c r="AG97" s="263"/>
      <c r="AH97" s="206" t="str">
        <f>IF(ROUND(BS!AH15,0)=ROUND(SUM(BS!AH16:AH17),0),"OK","ERROR")</f>
        <v>OK</v>
      </c>
      <c r="AI97" s="206" t="str">
        <f>IF(ROUND(BS!AI15,0)=ROUND(SUM(BS!AI16:AI17),0),"OK","ERROR")</f>
        <v>OK</v>
      </c>
      <c r="AJ97" s="206" t="str">
        <f>IF(ROUND(BS!AJ15,0)=ROUND(SUM(BS!AJ16:AJ17),0),"OK","ERROR")</f>
        <v>OK</v>
      </c>
      <c r="AK97" s="206" t="str">
        <f>IF(ROUND(BS!AK15,0)=ROUND(SUM(BS!AK16:AK17),0),"OK","ERROR")</f>
        <v>OK</v>
      </c>
      <c r="AL97" s="218" t="str">
        <f>IF(ROUND(BS!AL15,0)=ROUND(SUM(BS!AL16:AL17),0),"OK","ERROR")</f>
        <v>OK</v>
      </c>
      <c r="AM97" s="265"/>
      <c r="AN97" s="206" t="str">
        <f>IF(ROUND(BS!AN15,0)=ROUND(SUM(BS!AN16:AN17),0),"OK","ERROR")</f>
        <v>OK</v>
      </c>
      <c r="AO97" s="206" t="str">
        <f>IF(ROUND(BS!AO15,0)=ROUND(SUM(BS!AO16:AO17),0),"OK","ERROR")</f>
        <v>OK</v>
      </c>
      <c r="AP97" s="206" t="str">
        <f>IF(ROUND(BS!AP15,0)=ROUND(SUM(BS!AP16:AP17),0),"OK","ERROR")</f>
        <v>OK</v>
      </c>
      <c r="AQ97" s="206" t="str">
        <f>IF(ROUND(BS!AQ15,0)=ROUND(SUM(BS!AQ16:AQ17),0),"OK","ERROR")</f>
        <v>OK</v>
      </c>
      <c r="AR97" s="218" t="str">
        <f>IF(ROUND(BS!AR15,0)=ROUND(SUM(BS!AR16:AR17),0),"OK","ERROR")</f>
        <v>OK</v>
      </c>
      <c r="AS97" s="265"/>
      <c r="AT97" s="218" t="str">
        <f>IF(ROUND(BS!AT15,0)=ROUND(SUM(BS!AT16:AT17),0),"OK","ERROR")</f>
        <v>OK</v>
      </c>
      <c r="AU97" s="265"/>
      <c r="AV97" s="218" t="str">
        <f>IF(ROUND(BS!AV15,0)=ROUND(SUM(BS!AV16:AV17),0),"OK","ERROR")</f>
        <v>OK</v>
      </c>
      <c r="AW97" s="253"/>
      <c r="AX97" s="218" t="str">
        <f>IF(ROUND(BS!AX15,0)=ROUND(SUM(BS!AX16:AX17),0),"OK","ERROR")</f>
        <v>OK</v>
      </c>
    </row>
    <row r="98" spans="1:50" s="133" customFormat="1" ht="15" customHeight="1">
      <c r="A98" s="84"/>
      <c r="B98" s="59" t="s">
        <v>634</v>
      </c>
      <c r="C98" s="26"/>
      <c r="D98" s="215" t="str">
        <f>IF(ROUND(BS!D21,0)=ROUND(SUM(BS!D16:D20),0),"OK","ERROR")</f>
        <v>OK</v>
      </c>
      <c r="E98" s="215" t="str">
        <f>IF(ROUND(BS!E21,0)=ROUND(SUM(BS!E16:E20),0),"OK","ERROR")</f>
        <v>OK</v>
      </c>
      <c r="F98" s="215" t="str">
        <f>IF(ROUND(BS!F21,0)=ROUND(SUM(BS!F16:F20),0),"OK","ERROR")</f>
        <v>OK</v>
      </c>
      <c r="G98" s="215" t="str">
        <f>IF(ROUND(BS!G21,0)=ROUND(SUM(BS!G16:G20),0),"OK","ERROR")</f>
        <v>OK</v>
      </c>
      <c r="H98" s="225" t="str">
        <f>IF(ROUND(BS!H21,0)=ROUND(SUM(BS!H16:H20),0),"OK","ERROR")</f>
        <v>OK</v>
      </c>
      <c r="I98" s="266"/>
      <c r="J98" s="215" t="str">
        <f>IF(ROUND(BS!J21,0)=ROUND(SUM(BS!J16:J20),0),"OK","ERROR")</f>
        <v>OK</v>
      </c>
      <c r="K98" s="215" t="str">
        <f>IF(ROUND(BS!K21,0)=ROUND(SUM(BS!K16:K20),0),"OK","ERROR")</f>
        <v>OK</v>
      </c>
      <c r="L98" s="215" t="str">
        <f>IF(ROUND(BS!L21,0)=ROUND(SUM(BS!L16:L20),0),"OK","ERROR")</f>
        <v>OK</v>
      </c>
      <c r="M98" s="215" t="str">
        <f>IF(ROUND(BS!M21,0)=ROUND(SUM(BS!M16:M20),0),"OK","ERROR")</f>
        <v>OK</v>
      </c>
      <c r="N98" s="225" t="str">
        <f>IF(ROUND(BS!N21,0)=ROUND(SUM(BS!N16:N20),0),"OK","ERROR")</f>
        <v>OK</v>
      </c>
      <c r="O98" s="266"/>
      <c r="P98" s="215" t="str">
        <f>IF(ROUND(BS!P21,0)=ROUND(SUM(BS!P16:P20),0),"OK","ERROR")</f>
        <v>OK</v>
      </c>
      <c r="Q98" s="215" t="str">
        <f>IF(ROUND(BS!Q21,0)=ROUND(SUM(BS!Q16:Q20),0),"OK","ERROR")</f>
        <v>OK</v>
      </c>
      <c r="R98" s="215" t="str">
        <f>IF(ROUND(BS!R21,0)=ROUND(SUM(BS!R16:R20),0),"OK","ERROR")</f>
        <v>OK</v>
      </c>
      <c r="S98" s="215" t="str">
        <f>IF(ROUND(BS!S21,0)=ROUND(SUM(BS!S16:S20),0),"OK","ERROR")</f>
        <v>OK</v>
      </c>
      <c r="T98" s="225" t="str">
        <f>IF(ROUND(BS!T21,0)=ROUND(SUM(BS!T16:T20),0),"OK","ERROR")</f>
        <v>OK</v>
      </c>
      <c r="U98" s="266"/>
      <c r="V98" s="215" t="str">
        <f>IF(ROUND(BS!V21,0)=ROUND(SUM(BS!V16:V20),0),"OK","ERROR")</f>
        <v>OK</v>
      </c>
      <c r="W98" s="215" t="str">
        <f>IF(ROUND(BS!W21,0)=ROUND(SUM(BS!W16:W20),0),"OK","ERROR")</f>
        <v>OK</v>
      </c>
      <c r="X98" s="215" t="str">
        <f>IF(ROUND(BS!X21,0)=ROUND(SUM(BS!X16:X20),0),"OK","ERROR")</f>
        <v>OK</v>
      </c>
      <c r="Y98" s="215" t="str">
        <f>IF(ROUND(BS!Y21,0)=ROUND(SUM(BS!Y16:Y20),0),"OK","ERROR")</f>
        <v>OK</v>
      </c>
      <c r="Z98" s="225" t="str">
        <f>IF(ROUND(BS!Z21,0)=ROUND(SUM(BS!Z16:Z20),0),"OK","ERROR")</f>
        <v>OK</v>
      </c>
      <c r="AA98" s="267"/>
      <c r="AB98" s="215" t="str">
        <f>IF(ROUND(BS!AB21,0)=ROUND(SUM(BS!AB16:AB20),0),"OK","ERROR")</f>
        <v>OK</v>
      </c>
      <c r="AC98" s="215" t="str">
        <f>IF(ROUND(BS!AC21,0)=ROUND(SUM(BS!AC16:AC20),0),"OK","ERROR")</f>
        <v>OK</v>
      </c>
      <c r="AD98" s="215" t="str">
        <f>IF(ROUND(BS!AD21,0)=ROUND(SUM(BS!AD16:AD20),0),"OK","ERROR")</f>
        <v>OK</v>
      </c>
      <c r="AE98" s="215" t="str">
        <f>IF(ROUND(BS!AE21,0)=ROUND(SUM(BS!AE16:AE20),0),"OK","ERROR")</f>
        <v>OK</v>
      </c>
      <c r="AF98" s="225" t="str">
        <f>IF(ROUND(BS!AF21,0)=ROUND(SUM(BS!AF16:AF20),0),"OK","ERROR")</f>
        <v>OK</v>
      </c>
      <c r="AG98" s="268"/>
      <c r="AH98" s="215" t="str">
        <f>IF(ROUND(BS!AH21,0)=ROUND(SUM(BS!AH16:AH20),0),"OK","ERROR")</f>
        <v>OK</v>
      </c>
      <c r="AI98" s="215" t="str">
        <f>IF(ROUND(BS!AI21,0)=ROUND(SUM(BS!AI16:AI20),0),"OK","ERROR")</f>
        <v>OK</v>
      </c>
      <c r="AJ98" s="215" t="str">
        <f>IF(ROUND(BS!AJ21,0)=ROUND(SUM(BS!AJ16:AJ20),0),"OK","ERROR")</f>
        <v>OK</v>
      </c>
      <c r="AK98" s="215" t="str">
        <f>IF(ROUND(BS!AK21,0)=ROUND(SUM(BS!AK16:AK20),0),"OK","ERROR")</f>
        <v>OK</v>
      </c>
      <c r="AL98" s="225" t="str">
        <f>IF(ROUND(BS!AL21,0)=ROUND(SUM(BS!AL16:AL20),0),"OK","ERROR")</f>
        <v>OK</v>
      </c>
      <c r="AM98" s="269"/>
      <c r="AN98" s="215" t="str">
        <f>IF(ROUND(BS!AN21,0)=ROUND(SUM(BS!AN16:AN20),0),"OK","ERROR")</f>
        <v>OK</v>
      </c>
      <c r="AO98" s="215" t="str">
        <f>IF(ROUND(BS!AO21,0)=ROUND(SUM(BS!AO16:AO20),0),"OK","ERROR")</f>
        <v>OK</v>
      </c>
      <c r="AP98" s="215" t="str">
        <f>IF(ROUND(BS!AP21,0)=ROUND(SUM(BS!AP16:AP20),0),"OK","ERROR")</f>
        <v>OK</v>
      </c>
      <c r="AQ98" s="215" t="str">
        <f>IF(ROUND(BS!AQ21,0)=ROUND(SUM(BS!AQ16:AQ20),0),"OK","ERROR")</f>
        <v>OK</v>
      </c>
      <c r="AR98" s="225" t="str">
        <f>IF(ROUND(BS!AR21,0)=ROUND(SUM(BS!AR16:AR20),0),"OK","ERROR")</f>
        <v>OK</v>
      </c>
      <c r="AS98" s="269"/>
      <c r="AT98" s="225" t="str">
        <f>IF(ROUND(BS!AT21,0)=ROUND(SUM(BS!AT16:AT20),0),"OK","ERROR")</f>
        <v>OK</v>
      </c>
      <c r="AU98" s="269"/>
      <c r="AV98" s="225" t="str">
        <f>IF(ROUND(BS!AV21,0)=ROUND(SUM(BS!AV16:AV20),0),"OK","ERROR")</f>
        <v>OK</v>
      </c>
      <c r="AW98" s="270"/>
      <c r="AX98" s="225" t="str">
        <f>IF(ROUND(BS!AX21,0)=ROUND(SUM(BS!AX16:AX20),0),"OK","ERROR")</f>
        <v>OK</v>
      </c>
    </row>
    <row r="99" spans="1:50" s="41" customFormat="1" ht="15" customHeight="1">
      <c r="A99" s="43"/>
      <c r="B99" s="134"/>
      <c r="C99" s="17"/>
      <c r="D99" s="206"/>
      <c r="E99" s="206"/>
      <c r="F99" s="206"/>
      <c r="G99" s="206"/>
      <c r="H99" s="218"/>
      <c r="I99" s="246"/>
      <c r="J99" s="206"/>
      <c r="K99" s="206"/>
      <c r="L99" s="206"/>
      <c r="M99" s="206"/>
      <c r="N99" s="218"/>
      <c r="O99" s="246"/>
      <c r="P99" s="206"/>
      <c r="Q99" s="206"/>
      <c r="R99" s="206"/>
      <c r="S99" s="206"/>
      <c r="T99" s="218"/>
      <c r="U99" s="246"/>
      <c r="V99" s="206"/>
      <c r="W99" s="206"/>
      <c r="X99" s="206"/>
      <c r="Y99" s="206"/>
      <c r="Z99" s="218"/>
      <c r="AA99" s="261"/>
      <c r="AB99" s="206"/>
      <c r="AC99" s="206"/>
      <c r="AD99" s="206"/>
      <c r="AE99" s="206"/>
      <c r="AF99" s="218"/>
      <c r="AG99" s="263"/>
      <c r="AH99" s="206"/>
      <c r="AI99" s="206"/>
      <c r="AJ99" s="206"/>
      <c r="AK99" s="206"/>
      <c r="AL99" s="218"/>
      <c r="AM99" s="265"/>
      <c r="AN99" s="206"/>
      <c r="AO99" s="206"/>
      <c r="AP99" s="206"/>
      <c r="AQ99" s="206"/>
      <c r="AR99" s="218"/>
      <c r="AS99" s="265"/>
      <c r="AT99" s="218"/>
      <c r="AU99" s="265"/>
      <c r="AV99" s="218"/>
      <c r="AW99" s="253"/>
      <c r="AX99" s="218"/>
    </row>
    <row r="100" spans="1:50" s="111" customFormat="1" ht="15" customHeight="1">
      <c r="A100" s="44" t="s">
        <v>39</v>
      </c>
      <c r="B100" s="45" t="s">
        <v>635</v>
      </c>
      <c r="C100" s="113"/>
      <c r="D100" s="206"/>
      <c r="E100" s="206"/>
      <c r="F100" s="206"/>
      <c r="G100" s="206"/>
      <c r="H100" s="218"/>
      <c r="I100" s="254"/>
      <c r="J100" s="206"/>
      <c r="K100" s="206"/>
      <c r="L100" s="206"/>
      <c r="M100" s="206"/>
      <c r="N100" s="218"/>
      <c r="O100" s="254"/>
      <c r="P100" s="206"/>
      <c r="Q100" s="206"/>
      <c r="R100" s="206"/>
      <c r="S100" s="206"/>
      <c r="T100" s="218"/>
      <c r="U100" s="254"/>
      <c r="V100" s="206"/>
      <c r="W100" s="206"/>
      <c r="X100" s="206"/>
      <c r="Y100" s="206"/>
      <c r="Z100" s="218"/>
      <c r="AA100" s="271"/>
      <c r="AB100" s="206"/>
      <c r="AC100" s="206"/>
      <c r="AD100" s="206"/>
      <c r="AE100" s="206"/>
      <c r="AF100" s="218"/>
      <c r="AG100" s="272"/>
      <c r="AH100" s="206"/>
      <c r="AI100" s="206"/>
      <c r="AJ100" s="206"/>
      <c r="AK100" s="206"/>
      <c r="AL100" s="218"/>
      <c r="AM100" s="271"/>
      <c r="AN100" s="206"/>
      <c r="AO100" s="206"/>
      <c r="AP100" s="206"/>
      <c r="AQ100" s="206"/>
      <c r="AR100" s="218"/>
      <c r="AS100" s="271"/>
      <c r="AT100" s="218"/>
      <c r="AU100" s="271"/>
      <c r="AV100" s="218"/>
      <c r="AW100" s="259"/>
      <c r="AX100" s="218"/>
    </row>
    <row r="101" spans="1:50" s="111" customFormat="1" ht="15" customHeight="1">
      <c r="A101" s="44"/>
      <c r="B101" s="125" t="s">
        <v>501</v>
      </c>
      <c r="C101" s="113"/>
      <c r="D101" s="206" t="str">
        <f>IF(ROUND(BS!D24,0)=ROUND(BS!D25-BS!D26,0),"OK","ERROR")</f>
        <v>ERROR</v>
      </c>
      <c r="E101" s="206" t="str">
        <f>IF(ROUND(BS!E24,0)=ROUND(BS!E25-BS!E26,0),"OK","ERROR")</f>
        <v>ERROR</v>
      </c>
      <c r="F101" s="206" t="str">
        <f>IF(ROUND(BS!F24,0)=ROUND(BS!F25-BS!F26,0),"OK","ERROR")</f>
        <v>ERROR</v>
      </c>
      <c r="G101" s="206" t="str">
        <f>IF(ROUND(BS!G24,0)=ROUND(BS!G25-BS!G26,0),"OK","ERROR")</f>
        <v>ERROR</v>
      </c>
      <c r="H101" s="218" t="str">
        <f>IF(ROUND(BS!H24,0)=ROUND(BS!H25-BS!H26,0),"OK","ERROR")</f>
        <v>ERROR</v>
      </c>
      <c r="I101" s="254"/>
      <c r="J101" s="206" t="str">
        <f>IF(ROUND(BS!J24,0)=ROUND(BS!J25-BS!J26,0),"OK","ERROR")</f>
        <v>ERROR</v>
      </c>
      <c r="K101" s="206" t="str">
        <f>IF(ROUND(BS!K24,0)=ROUND(BS!K25-BS!K26,0),"OK","ERROR")</f>
        <v>ERROR</v>
      </c>
      <c r="L101" s="206" t="str">
        <f>IF(ROUND(BS!L24,0)=ROUND(BS!L25-BS!L26,0),"OK","ERROR")</f>
        <v>ERROR</v>
      </c>
      <c r="M101" s="206" t="str">
        <f>IF(ROUND(BS!M24,0)=ROUND(BS!M25-BS!M26,0),"OK","ERROR")</f>
        <v>ERROR</v>
      </c>
      <c r="N101" s="218" t="str">
        <f>IF(ROUND(BS!N24,0)=ROUND(BS!N25-BS!N26,0),"OK","ERROR")</f>
        <v>ERROR</v>
      </c>
      <c r="O101" s="254"/>
      <c r="P101" s="206" t="str">
        <f>IF(ROUND(BS!P24,0)=ROUND(BS!P25-BS!P26,0),"OK","ERROR")</f>
        <v>ERROR</v>
      </c>
      <c r="Q101" s="206" t="str">
        <f>IF(ROUND(BS!Q24,0)=ROUND(BS!Q25-BS!Q26,0),"OK","ERROR")</f>
        <v>ERROR</v>
      </c>
      <c r="R101" s="206" t="str">
        <f>IF(ROUND(BS!R24,0)=ROUND(BS!R25-BS!R26,0),"OK","ERROR")</f>
        <v>ERROR</v>
      </c>
      <c r="S101" s="206" t="str">
        <f>IF(ROUND(BS!S24,0)=ROUND(BS!S25-BS!S26,0),"OK","ERROR")</f>
        <v>ERROR</v>
      </c>
      <c r="T101" s="218" t="str">
        <f>IF(ROUND(BS!T24,0)=ROUND(BS!T25-BS!T26,0),"OK","ERROR")</f>
        <v>ERROR</v>
      </c>
      <c r="U101" s="254"/>
      <c r="V101" s="206" t="str">
        <f>IF(ROUND(BS!V24,0)=ROUND(BS!V25-BS!V26,0),"OK","ERROR")</f>
        <v>ERROR</v>
      </c>
      <c r="W101" s="206" t="str">
        <f>IF(ROUND(BS!W24,0)=ROUND(BS!W25-BS!W26,0),"OK","ERROR")</f>
        <v>ERROR</v>
      </c>
      <c r="X101" s="206" t="str">
        <f>IF(ROUND(BS!X24,0)=ROUND(BS!X25-BS!X26,0),"OK","ERROR")</f>
        <v>ERROR</v>
      </c>
      <c r="Y101" s="206" t="str">
        <f>IF(ROUND(BS!Y24,0)=ROUND(BS!Y25-BS!Y26,0),"OK","ERROR")</f>
        <v>ERROR</v>
      </c>
      <c r="Z101" s="218" t="str">
        <f>IF(ROUND(BS!Z24,0)=ROUND(BS!Z25-BS!Z26,0),"OK","ERROR")</f>
        <v>ERROR</v>
      </c>
      <c r="AA101" s="271"/>
      <c r="AB101" s="206" t="str">
        <f>IF(ROUND(BS!AB24,0)=ROUND(BS!AB25-BS!AB26,0),"OK","ERROR")</f>
        <v>ERROR</v>
      </c>
      <c r="AC101" s="206" t="str">
        <f>IF(ROUND(BS!AC24,0)=ROUND(BS!AC25-BS!AC26,0),"OK","ERROR")</f>
        <v>ERROR</v>
      </c>
      <c r="AD101" s="206" t="str">
        <f>IF(ROUND(BS!AD24,0)=ROUND(BS!AD25-BS!AD26,0),"OK","ERROR")</f>
        <v>ERROR</v>
      </c>
      <c r="AE101" s="206" t="str">
        <f>IF(ROUND(BS!AE24,0)=ROUND(BS!AE25-BS!AE26,0),"OK","ERROR")</f>
        <v>ERROR</v>
      </c>
      <c r="AF101" s="218" t="str">
        <f>IF(ROUND(BS!AF24,0)=ROUND(BS!AF25-BS!AF26,0),"OK","ERROR")</f>
        <v>ERROR</v>
      </c>
      <c r="AG101" s="272"/>
      <c r="AH101" s="206" t="str">
        <f>IF(ROUND(BS!AH24,0)=ROUND(BS!AH25-BS!AH26,0),"OK","ERROR")</f>
        <v>ERROR</v>
      </c>
      <c r="AI101" s="206" t="str">
        <f>IF(ROUND(BS!AI24,0)=ROUND(BS!AI25-BS!AI26,0),"OK","ERROR")</f>
        <v>ERROR</v>
      </c>
      <c r="AJ101" s="206" t="str">
        <f>IF(ROUND(BS!AJ24,0)=ROUND(BS!AJ25-BS!AJ26,0),"OK","ERROR")</f>
        <v>OK</v>
      </c>
      <c r="AK101" s="206" t="str">
        <f>IF(ROUND(BS!AK24,0)=ROUND(BS!AK25-BS!AK26,0),"OK","ERROR")</f>
        <v>OK</v>
      </c>
      <c r="AL101" s="218" t="str">
        <f>IF(ROUND(BS!AL24,0)=ROUND(BS!AL25-BS!AL26,0),"OK","ERROR")</f>
        <v>OK</v>
      </c>
      <c r="AM101" s="271"/>
      <c r="AN101" s="206" t="str">
        <f>IF(ROUND(BS!AN24,0)=ROUND(BS!AN25-BS!AN26,0),"OK","ERROR")</f>
        <v>OK</v>
      </c>
      <c r="AO101" s="206" t="str">
        <f>IF(ROUND(BS!AO24,0)=ROUND(BS!AO25-BS!AO26,0),"OK","ERROR")</f>
        <v>OK</v>
      </c>
      <c r="AP101" s="206" t="str">
        <f>IF(ROUND(BS!AP24,0)=ROUND(BS!AP25-BS!AP26,0),"OK","ERROR")</f>
        <v>OK</v>
      </c>
      <c r="AQ101" s="206" t="str">
        <f>IF(ROUND(BS!AQ24,0)=ROUND(BS!AQ25-BS!AQ26,0),"OK","ERROR")</f>
        <v>OK</v>
      </c>
      <c r="AR101" s="218" t="str">
        <f>IF(ROUND(BS!AR24,0)=ROUND(BS!AR25-BS!AR26,0),"OK","ERROR")</f>
        <v>OK</v>
      </c>
      <c r="AS101" s="271"/>
      <c r="AT101" s="218" t="str">
        <f>IF(ROUND(BS!AT24,0)=ROUND(BS!AT25-BS!AT26,0),"OK","ERROR")</f>
        <v>OK</v>
      </c>
      <c r="AU101" s="271"/>
      <c r="AV101" s="218" t="str">
        <f>IF(ROUND(BS!AV24,0)=ROUND(BS!AV25-BS!AV26,0),"OK","ERROR")</f>
        <v>OK</v>
      </c>
      <c r="AW101" s="259"/>
      <c r="AX101" s="218" t="str">
        <f>IF(ROUND(BS!AX24,0)=ROUND(BS!AX25-BS!AX26,0),"OK","ERROR")</f>
        <v>OK</v>
      </c>
    </row>
    <row r="102" spans="1:50" s="111" customFormat="1" ht="15" customHeight="1">
      <c r="A102" s="44"/>
      <c r="B102" s="125" t="s">
        <v>503</v>
      </c>
      <c r="C102" s="113"/>
      <c r="D102" s="206" t="str">
        <f>IF(ROUND(BS!D27,0)=ROUND(SUM(BS!D27:D29),0),"OK","ERROR")</f>
        <v>OK</v>
      </c>
      <c r="E102" s="206" t="str">
        <f>IF(ROUND(BS!E27,0)=ROUND(SUM(BS!E27:E29),0),"OK","ERROR")</f>
        <v>OK</v>
      </c>
      <c r="F102" s="206" t="str">
        <f>IF(ROUND(BS!F27,0)=ROUND(SUM(BS!F27:F29),0),"OK","ERROR")</f>
        <v>OK</v>
      </c>
      <c r="G102" s="206" t="str">
        <f>IF(ROUND(BS!G27,0)=ROUND(SUM(BS!G27:G29),0),"OK","ERROR")</f>
        <v>OK</v>
      </c>
      <c r="H102" s="218" t="str">
        <f>IF(ROUND(BS!H27,0)=ROUND(SUM(BS!H27:H29),0),"OK","ERROR")</f>
        <v>OK</v>
      </c>
      <c r="I102" s="254"/>
      <c r="J102" s="206" t="str">
        <f>IF(ROUND(BS!J27,0)=ROUND(SUM(BS!J27:J29),0),"OK","ERROR")</f>
        <v>OK</v>
      </c>
      <c r="K102" s="206" t="str">
        <f>IF(ROUND(BS!K27,0)=ROUND(SUM(BS!K27:K29),0),"OK","ERROR")</f>
        <v>OK</v>
      </c>
      <c r="L102" s="206" t="str">
        <f>IF(ROUND(BS!L27,0)=ROUND(SUM(BS!L27:L29),0),"OK","ERROR")</f>
        <v>OK</v>
      </c>
      <c r="M102" s="206" t="str">
        <f>IF(ROUND(BS!M27,0)=ROUND(SUM(BS!M27:M29),0),"OK","ERROR")</f>
        <v>OK</v>
      </c>
      <c r="N102" s="218" t="str">
        <f>IF(ROUND(BS!N27,0)=ROUND(SUM(BS!N27:N29),0),"OK","ERROR")</f>
        <v>OK</v>
      </c>
      <c r="O102" s="254"/>
      <c r="P102" s="206" t="str">
        <f>IF(ROUND(BS!P27,0)=ROUND(SUM(BS!P27:P29),0),"OK","ERROR")</f>
        <v>OK</v>
      </c>
      <c r="Q102" s="206" t="str">
        <f>IF(ROUND(BS!Q27,0)=ROUND(SUM(BS!Q27:Q29),0),"OK","ERROR")</f>
        <v>OK</v>
      </c>
      <c r="R102" s="206" t="str">
        <f>IF(ROUND(BS!R27,0)=ROUND(SUM(BS!R27:R29),0),"OK","ERROR")</f>
        <v>OK</v>
      </c>
      <c r="S102" s="206" t="str">
        <f>IF(ROUND(BS!S27,0)=ROUND(SUM(BS!S27:S29),0),"OK","ERROR")</f>
        <v>OK</v>
      </c>
      <c r="T102" s="218" t="str">
        <f>IF(ROUND(BS!T27,0)=ROUND(SUM(BS!T27:T29),0),"OK","ERROR")</f>
        <v>OK</v>
      </c>
      <c r="U102" s="254"/>
      <c r="V102" s="206" t="str">
        <f>IF(ROUND(BS!V27,0)=ROUND(SUM(BS!V27:V29),0),"OK","ERROR")</f>
        <v>OK</v>
      </c>
      <c r="W102" s="206" t="str">
        <f>IF(ROUND(BS!W27,0)=ROUND(SUM(BS!W27:W29),0),"OK","ERROR")</f>
        <v>OK</v>
      </c>
      <c r="X102" s="206" t="str">
        <f>IF(ROUND(BS!X27,0)=ROUND(SUM(BS!X27:X29),0),"OK","ERROR")</f>
        <v>OK</v>
      </c>
      <c r="Y102" s="206" t="str">
        <f>IF(ROUND(BS!Y27,0)=ROUND(SUM(BS!Y27:Y29),0),"OK","ERROR")</f>
        <v>OK</v>
      </c>
      <c r="Z102" s="218" t="str">
        <f>IF(ROUND(BS!Z27,0)=ROUND(SUM(BS!Z27:Z29),0),"OK","ERROR")</f>
        <v>OK</v>
      </c>
      <c r="AA102" s="271"/>
      <c r="AB102" s="206" t="str">
        <f>IF(ROUND(BS!AB27,0)=ROUND(SUM(BS!AB27:AB29),0),"OK","ERROR")</f>
        <v>OK</v>
      </c>
      <c r="AC102" s="206" t="str">
        <f>IF(ROUND(BS!AC27,0)=ROUND(SUM(BS!AC27:AC29),0),"OK","ERROR")</f>
        <v>OK</v>
      </c>
      <c r="AD102" s="206" t="str">
        <f>IF(ROUND(BS!AD27,0)=ROUND(SUM(BS!AD27:AD29),0),"OK","ERROR")</f>
        <v>OK</v>
      </c>
      <c r="AE102" s="206" t="str">
        <f>IF(ROUND(BS!AE27,0)=ROUND(SUM(BS!AE27:AE29),0),"OK","ERROR")</f>
        <v>OK</v>
      </c>
      <c r="AF102" s="218" t="str">
        <f>IF(ROUND(BS!AF27,0)=ROUND(SUM(BS!AF27:AF29),0),"OK","ERROR")</f>
        <v>OK</v>
      </c>
      <c r="AG102" s="272"/>
      <c r="AH102" s="206" t="str">
        <f>IF(ROUND(BS!AH27,0)=ROUND(SUM(BS!AH27:AH29),0),"OK","ERROR")</f>
        <v>OK</v>
      </c>
      <c r="AI102" s="206" t="str">
        <f>IF(ROUND(BS!AI27,0)=ROUND(SUM(BS!AI27:AI29),0),"OK","ERROR")</f>
        <v>OK</v>
      </c>
      <c r="AJ102" s="206" t="str">
        <f>IF(ROUND(BS!AJ27,0)=ROUND(SUM(BS!AJ27:AJ29),0),"OK","ERROR")</f>
        <v>OK</v>
      </c>
      <c r="AK102" s="206" t="str">
        <f>IF(ROUND(BS!AK27,0)=ROUND(SUM(BS!AK27:AK29),0),"OK","ERROR")</f>
        <v>OK</v>
      </c>
      <c r="AL102" s="218" t="str">
        <f>IF(ROUND(BS!AL27,0)=ROUND(SUM(BS!AL27:AL29),0),"OK","ERROR")</f>
        <v>OK</v>
      </c>
      <c r="AM102" s="271"/>
      <c r="AN102" s="206" t="str">
        <f>IF(ROUND(BS!AN27,0)=ROUND(SUM(BS!AN27:AN29),0),"OK","ERROR")</f>
        <v>OK</v>
      </c>
      <c r="AO102" s="206" t="str">
        <f>IF(ROUND(BS!AO27,0)=ROUND(SUM(BS!AO27:AO29),0),"OK","ERROR")</f>
        <v>OK</v>
      </c>
      <c r="AP102" s="206" t="str">
        <f>IF(ROUND(BS!AP27,0)=ROUND(SUM(BS!AP27:AP29),0),"OK","ERROR")</f>
        <v>OK</v>
      </c>
      <c r="AQ102" s="206" t="str">
        <f>IF(ROUND(BS!AQ27,0)=ROUND(SUM(BS!AQ27:AQ29),0),"OK","ERROR")</f>
        <v>OK</v>
      </c>
      <c r="AR102" s="218" t="str">
        <f>IF(ROUND(BS!AR27,0)=ROUND(SUM(BS!AR27:AR29),0),"OK","ERROR")</f>
        <v>OK</v>
      </c>
      <c r="AS102" s="271"/>
      <c r="AT102" s="218" t="str">
        <f>IF(ROUND(BS!AT27,0)=ROUND(SUM(BS!AT27:AT29),0),"OK","ERROR")</f>
        <v>OK</v>
      </c>
      <c r="AU102" s="271"/>
      <c r="AV102" s="218" t="str">
        <f>IF(ROUND(BS!AV27,0)=ROUND(SUM(BS!AV27:AV29),0),"OK","ERROR")</f>
        <v>OK</v>
      </c>
      <c r="AW102" s="259"/>
      <c r="AX102" s="218" t="str">
        <f>IF(ROUND(BS!AX27,0)=ROUND(SUM(BS!AX27:AX29),0),"OK","ERROR")</f>
        <v>OK</v>
      </c>
    </row>
    <row r="103" spans="1:50" s="41" customFormat="1" ht="15" customHeight="1">
      <c r="A103" s="43"/>
      <c r="B103" s="136" t="s">
        <v>641</v>
      </c>
      <c r="C103" s="17"/>
      <c r="D103" s="215" t="str">
        <f>IF(ROUND(BS!D31,0)=ROUND(SUM(BS!D24,BS!D27,BS!D30),0),"OK","ERROR")</f>
        <v>OK</v>
      </c>
      <c r="E103" s="215" t="str">
        <f>IF(ROUND(BS!E31,0)=ROUND(SUM(BS!E24,BS!E27,BS!E30),0),"OK","ERROR")</f>
        <v>OK</v>
      </c>
      <c r="F103" s="215" t="str">
        <f>IF(ROUND(BS!F31,0)=ROUND(SUM(BS!F24,BS!F27,BS!F30),0),"OK","ERROR")</f>
        <v>OK</v>
      </c>
      <c r="G103" s="215" t="str">
        <f>IF(ROUND(BS!G31,0)=ROUND(SUM(BS!G24,BS!G27,BS!G30),0),"OK","ERROR")</f>
        <v>OK</v>
      </c>
      <c r="H103" s="224" t="str">
        <f>IF(ROUND(BS!H31,0)=ROUND(SUM(BS!H24,BS!H27,BS!H30),0),"OK","ERROR")</f>
        <v>OK</v>
      </c>
      <c r="I103" s="246"/>
      <c r="J103" s="215" t="str">
        <f>IF(ROUND(BS!J31,0)=ROUND(SUM(BS!J24,BS!J27,BS!J30),0),"OK","ERROR")</f>
        <v>OK</v>
      </c>
      <c r="K103" s="215" t="str">
        <f>IF(ROUND(BS!K31,0)=ROUND(SUM(BS!K24,BS!K27,BS!K30),0),"OK","ERROR")</f>
        <v>OK</v>
      </c>
      <c r="L103" s="215" t="str">
        <f>IF(ROUND(BS!L31,0)=ROUND(SUM(BS!L24,BS!L27,BS!L30),0),"OK","ERROR")</f>
        <v>OK</v>
      </c>
      <c r="M103" s="215" t="str">
        <f>IF(ROUND(BS!M31,0)=ROUND(SUM(BS!M24,BS!M27,BS!M30),0),"OK","ERROR")</f>
        <v>OK</v>
      </c>
      <c r="N103" s="224" t="str">
        <f>IF(ROUND(BS!N31,0)=ROUND(SUM(BS!N24,BS!N27,BS!N30),0),"OK","ERROR")</f>
        <v>OK</v>
      </c>
      <c r="O103" s="246"/>
      <c r="P103" s="215" t="str">
        <f>IF(ROUND(BS!P31,0)=ROUND(SUM(BS!P24,BS!P27,BS!P30),0),"OK","ERROR")</f>
        <v>OK</v>
      </c>
      <c r="Q103" s="215" t="str">
        <f>IF(ROUND(BS!Q31,0)=ROUND(SUM(BS!Q24,BS!Q27,BS!Q30),0),"OK","ERROR")</f>
        <v>OK</v>
      </c>
      <c r="R103" s="215" t="str">
        <f>IF(ROUND(BS!R31,0)=ROUND(SUM(BS!R24,BS!R27,BS!R30),0),"OK","ERROR")</f>
        <v>OK</v>
      </c>
      <c r="S103" s="215" t="str">
        <f>IF(ROUND(BS!S31,0)=ROUND(SUM(BS!S24,BS!S27,BS!S30),0),"OK","ERROR")</f>
        <v>OK</v>
      </c>
      <c r="T103" s="224" t="str">
        <f>IF(ROUND(BS!T31,0)=ROUND(SUM(BS!T24,BS!T27,BS!T30),0),"OK","ERROR")</f>
        <v>OK</v>
      </c>
      <c r="U103" s="246"/>
      <c r="V103" s="215" t="str">
        <f>IF(ROUND(BS!V31,0)=ROUND(SUM(BS!V24,BS!V27,BS!V30),0),"OK","ERROR")</f>
        <v>OK</v>
      </c>
      <c r="W103" s="215" t="str">
        <f>IF(ROUND(BS!W31,0)=ROUND(SUM(BS!W24,BS!W27,BS!W30),0),"OK","ERROR")</f>
        <v>OK</v>
      </c>
      <c r="X103" s="215" t="str">
        <f>IF(ROUND(BS!X31,0)=ROUND(SUM(BS!X24,BS!X27,BS!X30),0),"OK","ERROR")</f>
        <v>OK</v>
      </c>
      <c r="Y103" s="215" t="str">
        <f>IF(ROUND(BS!Y31,0)=ROUND(SUM(BS!Y24,BS!Y27,BS!Y30),0),"OK","ERROR")</f>
        <v>OK</v>
      </c>
      <c r="Z103" s="224" t="str">
        <f>IF(ROUND(BS!Z31,0)=ROUND(SUM(BS!Z24,BS!Z27,BS!Z30),0),"OK","ERROR")</f>
        <v>OK</v>
      </c>
      <c r="AA103" s="261"/>
      <c r="AB103" s="215" t="str">
        <f>IF(ROUND(BS!AB31,0)=ROUND(SUM(BS!AB24,BS!AB27,BS!AB30),0),"OK","ERROR")</f>
        <v>OK</v>
      </c>
      <c r="AC103" s="215" t="str">
        <f>IF(ROUND(BS!AC31,0)=ROUND(SUM(BS!AC24,BS!AC27,BS!AC30),0),"OK","ERROR")</f>
        <v>OK</v>
      </c>
      <c r="AD103" s="215" t="str">
        <f>IF(ROUND(BS!AD31,0)=ROUND(SUM(BS!AD24,BS!AD27,BS!AD30),0),"OK","ERROR")</f>
        <v>OK</v>
      </c>
      <c r="AE103" s="215" t="str">
        <f>IF(ROUND(BS!AE31,0)=ROUND(SUM(BS!AE24,BS!AE27,BS!AE30),0),"OK","ERROR")</f>
        <v>OK</v>
      </c>
      <c r="AF103" s="224" t="str">
        <f>IF(ROUND(BS!AF31,0)=ROUND(SUM(BS!AF24,BS!AF27,BS!AF30),0),"OK","ERROR")</f>
        <v>OK</v>
      </c>
      <c r="AG103" s="263"/>
      <c r="AH103" s="215" t="str">
        <f>IF(ROUND(BS!AH31,0)=ROUND(SUM(BS!AH24,BS!AH27,BS!AH30),0),"OK","ERROR")</f>
        <v>OK</v>
      </c>
      <c r="AI103" s="215" t="str">
        <f>IF(ROUND(BS!AI31,0)=ROUND(SUM(BS!AI24,BS!AI27,BS!AI30),0),"OK","ERROR")</f>
        <v>OK</v>
      </c>
      <c r="AJ103" s="215" t="str">
        <f>IF(ROUND(BS!AJ31,0)=ROUND(SUM(BS!AJ24,BS!AJ27,BS!AJ30),0),"OK","ERROR")</f>
        <v>OK</v>
      </c>
      <c r="AK103" s="215" t="str">
        <f>IF(ROUND(BS!AK31,0)=ROUND(SUM(BS!AK24,BS!AK27,BS!AK30),0),"OK","ERROR")</f>
        <v>OK</v>
      </c>
      <c r="AL103" s="224" t="str">
        <f>IF(ROUND(BS!AL31,0)=ROUND(SUM(BS!AL24,BS!AL27,BS!AL30),0),"OK","ERROR")</f>
        <v>OK</v>
      </c>
      <c r="AM103" s="273"/>
      <c r="AN103" s="215" t="str">
        <f>IF(ROUND(BS!AN31,0)=ROUND(SUM(BS!AN24,BS!AN27,BS!AN30),0),"OK","ERROR")</f>
        <v>OK</v>
      </c>
      <c r="AO103" s="215" t="str">
        <f>IF(ROUND(BS!AO31,0)=ROUND(SUM(BS!AO24,BS!AO27,BS!AO30),0),"OK","ERROR")</f>
        <v>OK</v>
      </c>
      <c r="AP103" s="215" t="str">
        <f>IF(ROUND(BS!AP31,0)=ROUND(SUM(BS!AP24,BS!AP27,BS!AP30),0),"OK","ERROR")</f>
        <v>OK</v>
      </c>
      <c r="AQ103" s="215" t="str">
        <f>IF(ROUND(BS!AQ31,0)=ROUND(SUM(BS!AQ24,BS!AQ27,BS!AQ30),0),"OK","ERROR")</f>
        <v>OK</v>
      </c>
      <c r="AR103" s="224" t="str">
        <f>IF(ROUND(BS!AR31,0)=ROUND(SUM(BS!AR24,BS!AR27,BS!AR30),0),"OK","ERROR")</f>
        <v>OK</v>
      </c>
      <c r="AS103" s="273"/>
      <c r="AT103" s="224" t="str">
        <f>IF(ROUND(BS!AT31,0)=ROUND(SUM(BS!AT24,BS!AT27,BS!AT30),0),"OK","ERROR")</f>
        <v>OK</v>
      </c>
      <c r="AU103" s="273"/>
      <c r="AV103" s="224" t="str">
        <f>IF(ROUND(BS!AV31,0)=ROUND(SUM(BS!AV24,BS!AV27,BS!AV30),0),"OK","ERROR")</f>
        <v>OK</v>
      </c>
      <c r="AW103" s="253"/>
      <c r="AX103" s="224" t="str">
        <f>IF(ROUND(BS!AX31,0)=ROUND(SUM(BS!AX24,BS!AX27,BS!AX30),0),"OK","ERROR")</f>
        <v>OK</v>
      </c>
    </row>
    <row r="104" spans="1:50" s="111" customFormat="1" ht="15" customHeight="1" thickBot="1">
      <c r="B104" s="138" t="s">
        <v>642</v>
      </c>
      <c r="C104" s="113"/>
      <c r="D104" s="215" t="str">
        <f>IF(ROUND(SUM(BS!D21,BS!D31),0)=ROUND(BS!D32,0),"OK","ERROR")</f>
        <v>ERROR</v>
      </c>
      <c r="E104" s="215" t="str">
        <f>IF(ROUND(SUM(BS!E21,BS!E31),0)=ROUND(BS!E32,0),"OK","ERROR")</f>
        <v>ERROR</v>
      </c>
      <c r="F104" s="215" t="str">
        <f>IF(ROUND(SUM(BS!F21,BS!F31),0)=ROUND(BS!F32,0),"OK","ERROR")</f>
        <v>ERROR</v>
      </c>
      <c r="G104" s="215" t="str">
        <f>IF(ROUND(SUM(BS!G21,BS!G31),0)=ROUND(BS!G32,0),"OK","ERROR")</f>
        <v>ERROR</v>
      </c>
      <c r="H104" s="235" t="str">
        <f>IF(ROUND(SUM(BS!H21,BS!H31),0)=ROUND(BS!H32,0),"OK","ERROR")</f>
        <v>ERROR</v>
      </c>
      <c r="I104" s="254"/>
      <c r="J104" s="215" t="str">
        <f>IF(ROUND(SUM(BS!J21,BS!J31),0)=ROUND(BS!J32,0),"OK","ERROR")</f>
        <v>ERROR</v>
      </c>
      <c r="K104" s="215" t="str">
        <f>IF(ROUND(SUM(BS!K21,BS!K31),0)=ROUND(BS!K32,0),"OK","ERROR")</f>
        <v>ERROR</v>
      </c>
      <c r="L104" s="215" t="str">
        <f>IF(ROUND(SUM(BS!L21,BS!L31),0)=ROUND(BS!L32,0),"OK","ERROR")</f>
        <v>ERROR</v>
      </c>
      <c r="M104" s="215" t="str">
        <f>IF(ROUND(SUM(BS!M21,BS!M31),0)=ROUND(BS!M32,0),"OK","ERROR")</f>
        <v>ERROR</v>
      </c>
      <c r="N104" s="235" t="str">
        <f>IF(ROUND(SUM(BS!N21,BS!N31),0)=ROUND(BS!N32,0),"OK","ERROR")</f>
        <v>ERROR</v>
      </c>
      <c r="O104" s="254"/>
      <c r="P104" s="215" t="str">
        <f>IF(ROUND(SUM(BS!P21,BS!P31),0)=ROUND(BS!P32,0),"OK","ERROR")</f>
        <v>ERROR</v>
      </c>
      <c r="Q104" s="215" t="str">
        <f>IF(ROUND(SUM(BS!Q21,BS!Q31),0)=ROUND(BS!Q32,0),"OK","ERROR")</f>
        <v>ERROR</v>
      </c>
      <c r="R104" s="215" t="str">
        <f>IF(ROUND(SUM(BS!R21,BS!R31),0)=ROUND(BS!R32,0),"OK","ERROR")</f>
        <v>ERROR</v>
      </c>
      <c r="S104" s="215" t="str">
        <f>IF(ROUND(SUM(BS!S21,BS!S31),0)=ROUND(BS!S32,0),"OK","ERROR")</f>
        <v>ERROR</v>
      </c>
      <c r="T104" s="235" t="str">
        <f>IF(ROUND(SUM(BS!T21,BS!T31),0)=ROUND(BS!T32,0),"OK","ERROR")</f>
        <v>ERROR</v>
      </c>
      <c r="U104" s="254"/>
      <c r="V104" s="215" t="str">
        <f>IF(ROUND(SUM(BS!V21,BS!V31),0)=ROUND(BS!V32,0),"OK","ERROR")</f>
        <v>ERROR</v>
      </c>
      <c r="W104" s="215" t="str">
        <f>IF(ROUND(SUM(BS!W21,BS!W31),0)=ROUND(BS!W32,0),"OK","ERROR")</f>
        <v>ERROR</v>
      </c>
      <c r="X104" s="215" t="str">
        <f>IF(ROUND(SUM(BS!X21,BS!X31),0)=ROUND(BS!X32,0),"OK","ERROR")</f>
        <v>ERROR</v>
      </c>
      <c r="Y104" s="215" t="str">
        <f>IF(ROUND(SUM(BS!Y21,BS!Y31),0)=ROUND(BS!Y32,0),"OK","ERROR")</f>
        <v>ERROR</v>
      </c>
      <c r="Z104" s="235" t="str">
        <f>IF(ROUND(SUM(BS!Z21,BS!Z31),0)=ROUND(BS!Z32,0),"OK","ERROR")</f>
        <v>ERROR</v>
      </c>
      <c r="AA104" s="274"/>
      <c r="AB104" s="215" t="str">
        <f>IF(ROUND(SUM(BS!AB21,BS!AB31),0)=ROUND(BS!AB32,0),"OK","ERROR")</f>
        <v>ERROR</v>
      </c>
      <c r="AC104" s="215" t="str">
        <f>IF(ROUND(SUM(BS!AC21,BS!AC31),0)=ROUND(BS!AC32,0),"OK","ERROR")</f>
        <v>ERROR</v>
      </c>
      <c r="AD104" s="215" t="str">
        <f>IF(ROUND(SUM(BS!AD21,BS!AD31),0)=ROUND(BS!AD32,0),"OK","ERROR")</f>
        <v>ERROR</v>
      </c>
      <c r="AE104" s="215" t="str">
        <f>IF(ROUND(SUM(BS!AE21,BS!AE31),0)=ROUND(BS!AE32,0),"OK","ERROR")</f>
        <v>ERROR</v>
      </c>
      <c r="AF104" s="235" t="str">
        <f>IF(ROUND(SUM(BS!AF21,BS!AF31),0)=ROUND(BS!AF32,0),"OK","ERROR")</f>
        <v>ERROR</v>
      </c>
      <c r="AG104" s="272"/>
      <c r="AH104" s="215" t="str">
        <f>IF(ROUND(SUM(BS!AH21,BS!AH31),0)=ROUND(BS!AH32,0),"OK","ERROR")</f>
        <v>ERROR</v>
      </c>
      <c r="AI104" s="215" t="str">
        <f>IF(ROUND(SUM(BS!AI21,BS!AI31),0)=ROUND(BS!AI32,0),"OK","ERROR")</f>
        <v>ERROR</v>
      </c>
      <c r="AJ104" s="215" t="str">
        <f>IF(ROUND(SUM(BS!AJ21,BS!AJ31),0)=ROUND(BS!AJ32,0),"OK","ERROR")</f>
        <v>OK</v>
      </c>
      <c r="AK104" s="215" t="str">
        <f>IF(ROUND(SUM(BS!AK21,BS!AK31),0)=ROUND(BS!AK32,0),"OK","ERROR")</f>
        <v>OK</v>
      </c>
      <c r="AL104" s="235" t="str">
        <f>IF(ROUND(SUM(BS!AL21,BS!AL31),0)=ROUND(BS!AL32,0),"OK","ERROR")</f>
        <v>OK</v>
      </c>
      <c r="AM104" s="271"/>
      <c r="AN104" s="215" t="str">
        <f>IF(ROUND(SUM(BS!AN21,BS!AN31),0)=ROUND(BS!AN32,0),"OK","ERROR")</f>
        <v>OK</v>
      </c>
      <c r="AO104" s="215" t="str">
        <f>IF(ROUND(SUM(BS!AO21,BS!AO31),0)=ROUND(BS!AO32,0),"OK","ERROR")</f>
        <v>OK</v>
      </c>
      <c r="AP104" s="215" t="str">
        <f>IF(ROUND(SUM(BS!AP21,BS!AP31),0)=ROUND(BS!AP32,0),"OK","ERROR")</f>
        <v>OK</v>
      </c>
      <c r="AQ104" s="215" t="str">
        <f>IF(ROUND(SUM(BS!AQ21,BS!AQ31),0)=ROUND(BS!AQ32,0),"OK","ERROR")</f>
        <v>OK</v>
      </c>
      <c r="AR104" s="235" t="str">
        <f>IF(ROUND(SUM(BS!AR21,BS!AR31),0)=ROUND(BS!AR32,0),"OK","ERROR")</f>
        <v>OK</v>
      </c>
      <c r="AS104" s="271"/>
      <c r="AT104" s="235" t="str">
        <f>IF(ROUND(SUM(BS!AT21,BS!AT31),0)=ROUND(BS!AT32,0),"OK","ERROR")</f>
        <v>OK</v>
      </c>
      <c r="AU104" s="271"/>
      <c r="AV104" s="235" t="str">
        <f>IF(ROUND(SUM(BS!AV21,BS!AV31),0)=ROUND(BS!AV32,0),"OK","ERROR")</f>
        <v>OK</v>
      </c>
      <c r="AW104" s="259"/>
      <c r="AX104" s="235" t="str">
        <f>IF(ROUND(SUM(BS!AX21,BS!AX31),0)=ROUND(BS!AX32,0),"OK","ERROR")</f>
        <v>OK</v>
      </c>
    </row>
    <row r="105" spans="1:50" s="145" customFormat="1" ht="15" customHeight="1" thickTop="1">
      <c r="A105" s="140"/>
      <c r="B105" s="141"/>
      <c r="C105" s="27"/>
      <c r="D105" s="206"/>
      <c r="E105" s="206"/>
      <c r="F105" s="206"/>
      <c r="G105" s="206"/>
      <c r="H105" s="218"/>
      <c r="I105" s="275"/>
      <c r="J105" s="206"/>
      <c r="K105" s="206"/>
      <c r="L105" s="206"/>
      <c r="M105" s="206"/>
      <c r="N105" s="218"/>
      <c r="O105" s="275"/>
      <c r="P105" s="206"/>
      <c r="Q105" s="206"/>
      <c r="R105" s="206"/>
      <c r="S105" s="206"/>
      <c r="T105" s="218"/>
      <c r="U105" s="275"/>
      <c r="V105" s="206"/>
      <c r="W105" s="206"/>
      <c r="X105" s="206"/>
      <c r="Y105" s="206"/>
      <c r="Z105" s="218"/>
      <c r="AA105" s="276"/>
      <c r="AB105" s="206"/>
      <c r="AC105" s="206"/>
      <c r="AD105" s="206"/>
      <c r="AE105" s="206"/>
      <c r="AF105" s="218"/>
      <c r="AG105" s="277"/>
      <c r="AH105" s="206"/>
      <c r="AI105" s="206"/>
      <c r="AJ105" s="206"/>
      <c r="AK105" s="206"/>
      <c r="AL105" s="218"/>
      <c r="AM105" s="278"/>
      <c r="AN105" s="206"/>
      <c r="AO105" s="206"/>
      <c r="AP105" s="206"/>
      <c r="AQ105" s="206"/>
      <c r="AR105" s="218"/>
      <c r="AS105" s="278"/>
      <c r="AT105" s="218"/>
      <c r="AU105" s="278"/>
      <c r="AV105" s="218"/>
      <c r="AW105" s="279"/>
      <c r="AX105" s="218"/>
    </row>
    <row r="106" spans="1:50" s="111" customFormat="1" ht="15" customHeight="1">
      <c r="A106" s="44"/>
      <c r="B106" s="64" t="s">
        <v>643</v>
      </c>
      <c r="C106" s="113"/>
      <c r="D106" s="206"/>
      <c r="E106" s="206"/>
      <c r="F106" s="206"/>
      <c r="G106" s="206"/>
      <c r="H106" s="218"/>
      <c r="I106" s="254"/>
      <c r="J106" s="206"/>
      <c r="K106" s="206"/>
      <c r="L106" s="206"/>
      <c r="M106" s="206"/>
      <c r="N106" s="218"/>
      <c r="O106" s="254"/>
      <c r="P106" s="206"/>
      <c r="Q106" s="206"/>
      <c r="R106" s="206"/>
      <c r="S106" s="206"/>
      <c r="T106" s="218"/>
      <c r="U106" s="254"/>
      <c r="V106" s="206"/>
      <c r="W106" s="206"/>
      <c r="X106" s="206"/>
      <c r="Y106" s="206"/>
      <c r="Z106" s="218"/>
      <c r="AA106" s="255"/>
      <c r="AB106" s="206"/>
      <c r="AC106" s="206"/>
      <c r="AD106" s="206"/>
      <c r="AE106" s="206"/>
      <c r="AF106" s="218"/>
      <c r="AG106" s="256"/>
      <c r="AH106" s="206"/>
      <c r="AI106" s="206"/>
      <c r="AJ106" s="206"/>
      <c r="AK106" s="206"/>
      <c r="AL106" s="218"/>
      <c r="AM106" s="255"/>
      <c r="AN106" s="206"/>
      <c r="AO106" s="206"/>
      <c r="AP106" s="206"/>
      <c r="AQ106" s="206"/>
      <c r="AR106" s="218"/>
      <c r="AS106" s="255"/>
      <c r="AT106" s="218"/>
      <c r="AU106" s="255"/>
      <c r="AV106" s="218"/>
      <c r="AW106" s="259"/>
      <c r="AX106" s="218"/>
    </row>
    <row r="107" spans="1:50" s="145" customFormat="1" ht="15" customHeight="1">
      <c r="A107" s="140"/>
      <c r="B107" s="141"/>
      <c r="C107" s="27"/>
      <c r="D107" s="206"/>
      <c r="E107" s="206"/>
      <c r="F107" s="206"/>
      <c r="G107" s="206"/>
      <c r="H107" s="218"/>
      <c r="I107" s="275"/>
      <c r="J107" s="206"/>
      <c r="K107" s="206"/>
      <c r="L107" s="206"/>
      <c r="M107" s="206"/>
      <c r="N107" s="218"/>
      <c r="O107" s="275"/>
      <c r="P107" s="206"/>
      <c r="Q107" s="206"/>
      <c r="R107" s="206"/>
      <c r="S107" s="206"/>
      <c r="T107" s="218"/>
      <c r="U107" s="275"/>
      <c r="V107" s="206"/>
      <c r="W107" s="206"/>
      <c r="X107" s="206"/>
      <c r="Y107" s="206"/>
      <c r="Z107" s="218"/>
      <c r="AA107" s="276"/>
      <c r="AB107" s="206"/>
      <c r="AC107" s="206"/>
      <c r="AD107" s="206"/>
      <c r="AE107" s="206"/>
      <c r="AF107" s="218"/>
      <c r="AG107" s="277"/>
      <c r="AH107" s="206"/>
      <c r="AI107" s="206"/>
      <c r="AJ107" s="206"/>
      <c r="AK107" s="206"/>
      <c r="AL107" s="218"/>
      <c r="AM107" s="280"/>
      <c r="AN107" s="206"/>
      <c r="AO107" s="206"/>
      <c r="AP107" s="206"/>
      <c r="AQ107" s="206"/>
      <c r="AR107" s="218"/>
      <c r="AS107" s="273"/>
      <c r="AT107" s="218"/>
      <c r="AU107" s="273"/>
      <c r="AV107" s="218"/>
      <c r="AW107" s="279"/>
      <c r="AX107" s="218"/>
    </row>
    <row r="108" spans="1:50" s="111" customFormat="1" ht="15" customHeight="1">
      <c r="A108" s="44" t="s">
        <v>39</v>
      </c>
      <c r="B108" s="112" t="s">
        <v>644</v>
      </c>
      <c r="C108" s="113"/>
      <c r="D108" s="206"/>
      <c r="E108" s="206"/>
      <c r="F108" s="206"/>
      <c r="G108" s="206"/>
      <c r="H108" s="218"/>
      <c r="I108" s="254"/>
      <c r="J108" s="206"/>
      <c r="K108" s="206"/>
      <c r="L108" s="206"/>
      <c r="M108" s="206"/>
      <c r="N108" s="218"/>
      <c r="O108" s="254"/>
      <c r="P108" s="206"/>
      <c r="Q108" s="206"/>
      <c r="R108" s="206"/>
      <c r="S108" s="206"/>
      <c r="T108" s="218"/>
      <c r="U108" s="254"/>
      <c r="V108" s="206"/>
      <c r="W108" s="206"/>
      <c r="X108" s="206"/>
      <c r="Y108" s="206"/>
      <c r="Z108" s="218"/>
      <c r="AA108" s="255"/>
      <c r="AB108" s="206"/>
      <c r="AC108" s="206"/>
      <c r="AD108" s="206"/>
      <c r="AE108" s="206"/>
      <c r="AF108" s="218"/>
      <c r="AG108" s="256"/>
      <c r="AH108" s="206"/>
      <c r="AI108" s="206"/>
      <c r="AJ108" s="206"/>
      <c r="AK108" s="206"/>
      <c r="AL108" s="218"/>
      <c r="AM108" s="281"/>
      <c r="AN108" s="206"/>
      <c r="AO108" s="206"/>
      <c r="AP108" s="206"/>
      <c r="AQ108" s="206"/>
      <c r="AR108" s="218"/>
      <c r="AS108" s="255"/>
      <c r="AT108" s="218"/>
      <c r="AU108" s="255"/>
      <c r="AV108" s="218"/>
      <c r="AW108" s="259"/>
      <c r="AX108" s="218"/>
    </row>
    <row r="109" spans="1:50" s="111" customFormat="1" ht="15" customHeight="1">
      <c r="B109" s="136" t="s">
        <v>649</v>
      </c>
      <c r="C109" s="113"/>
      <c r="D109" s="215" t="str">
        <f>IF(ROUND(BS!D41,0)=ROUND(SUM(BS!D37:D40),0),"OK","ERROR")</f>
        <v>OK</v>
      </c>
      <c r="E109" s="215" t="str">
        <f>IF(ROUND(BS!E41,0)=ROUND(SUM(BS!E37:E40),0),"OK","ERROR")</f>
        <v>OK</v>
      </c>
      <c r="F109" s="215" t="str">
        <f>IF(ROUND(BS!F41,0)=ROUND(SUM(BS!F37:F40),0),"OK","ERROR")</f>
        <v>OK</v>
      </c>
      <c r="G109" s="215" t="str">
        <f>IF(ROUND(BS!G41,0)=ROUND(SUM(BS!G37:G40),0),"OK","ERROR")</f>
        <v>OK</v>
      </c>
      <c r="H109" s="225" t="str">
        <f>IF(ROUND(BS!H41,0)=ROUND(SUM(BS!H37:H40),0),"OK","ERROR")</f>
        <v>OK</v>
      </c>
      <c r="I109" s="254"/>
      <c r="J109" s="215" t="str">
        <f>IF(ROUND(BS!J41,0)=ROUND(SUM(BS!J37:J40),0),"OK","ERROR")</f>
        <v>OK</v>
      </c>
      <c r="K109" s="215" t="str">
        <f>IF(ROUND(BS!K41,0)=ROUND(SUM(BS!K37:K40),0),"OK","ERROR")</f>
        <v>OK</v>
      </c>
      <c r="L109" s="215" t="str">
        <f>IF(ROUND(BS!L41,0)=ROUND(SUM(BS!L37:L40),0),"OK","ERROR")</f>
        <v>OK</v>
      </c>
      <c r="M109" s="215" t="str">
        <f>IF(ROUND(BS!M41,0)=ROUND(SUM(BS!M37:M40),0),"OK","ERROR")</f>
        <v>OK</v>
      </c>
      <c r="N109" s="225" t="str">
        <f>IF(ROUND(BS!N41,0)=ROUND(SUM(BS!N37:N40),0),"OK","ERROR")</f>
        <v>OK</v>
      </c>
      <c r="O109" s="254"/>
      <c r="P109" s="215" t="str">
        <f>IF(ROUND(BS!P41,0)=ROUND(SUM(BS!P37:P40),0),"OK","ERROR")</f>
        <v>OK</v>
      </c>
      <c r="Q109" s="215" t="str">
        <f>IF(ROUND(BS!Q41,0)=ROUND(SUM(BS!Q37:Q40),0),"OK","ERROR")</f>
        <v>OK</v>
      </c>
      <c r="R109" s="215" t="str">
        <f>IF(ROUND(BS!R41,0)=ROUND(SUM(BS!R37:R40),0),"OK","ERROR")</f>
        <v>OK</v>
      </c>
      <c r="S109" s="215" t="str">
        <f>IF(ROUND(BS!S41,0)=ROUND(SUM(BS!S37:S40),0),"OK","ERROR")</f>
        <v>OK</v>
      </c>
      <c r="T109" s="225" t="str">
        <f>IF(ROUND(BS!T41,0)=ROUND(SUM(BS!T37:T40),0),"OK","ERROR")</f>
        <v>OK</v>
      </c>
      <c r="U109" s="254"/>
      <c r="V109" s="215" t="str">
        <f>IF(ROUND(BS!V41,0)=ROUND(SUM(BS!V37:V40),0),"OK","ERROR")</f>
        <v>OK</v>
      </c>
      <c r="W109" s="215" t="str">
        <f>IF(ROUND(BS!W41,0)=ROUND(SUM(BS!W37:W40),0),"OK","ERROR")</f>
        <v>OK</v>
      </c>
      <c r="X109" s="215" t="str">
        <f>IF(ROUND(BS!X41,0)=ROUND(SUM(BS!X37:X40),0),"OK","ERROR")</f>
        <v>OK</v>
      </c>
      <c r="Y109" s="215" t="str">
        <f>IF(ROUND(BS!Y41,0)=ROUND(SUM(BS!Y37:Y40),0),"OK","ERROR")</f>
        <v>OK</v>
      </c>
      <c r="Z109" s="225" t="str">
        <f>IF(ROUND(BS!Z41,0)=ROUND(SUM(BS!Z37:Z40),0),"OK","ERROR")</f>
        <v>OK</v>
      </c>
      <c r="AA109" s="271"/>
      <c r="AB109" s="215" t="str">
        <f>IF(ROUND(BS!AB41,0)=ROUND(SUM(BS!AB37:AB40),0),"OK","ERROR")</f>
        <v>OK</v>
      </c>
      <c r="AC109" s="215" t="str">
        <f>IF(ROUND(BS!AC41,0)=ROUND(SUM(BS!AC37:AC40),0),"OK","ERROR")</f>
        <v>OK</v>
      </c>
      <c r="AD109" s="215" t="str">
        <f>IF(ROUND(BS!AD41,0)=ROUND(SUM(BS!AD37:AD40),0),"OK","ERROR")</f>
        <v>OK</v>
      </c>
      <c r="AE109" s="215" t="str">
        <f>IF(ROUND(BS!AE41,0)=ROUND(SUM(BS!AE37:AE40),0),"OK","ERROR")</f>
        <v>OK</v>
      </c>
      <c r="AF109" s="225" t="str">
        <f>IF(ROUND(BS!AF41,0)=ROUND(SUM(BS!AF37:AF40),0),"OK","ERROR")</f>
        <v>OK</v>
      </c>
      <c r="AG109" s="272"/>
      <c r="AH109" s="215" t="str">
        <f>IF(ROUND(BS!AH41,0)=ROUND(SUM(BS!AH37:AH40),0),"OK","ERROR")</f>
        <v>OK</v>
      </c>
      <c r="AI109" s="215" t="str">
        <f>IF(ROUND(BS!AI41,0)=ROUND(SUM(BS!AI37:AI40),0),"OK","ERROR")</f>
        <v>OK</v>
      </c>
      <c r="AJ109" s="215" t="str">
        <f>IF(ROUND(BS!AJ41,0)=ROUND(SUM(BS!AJ37:AJ40),0),"OK","ERROR")</f>
        <v>OK</v>
      </c>
      <c r="AK109" s="215" t="str">
        <f>IF(ROUND(BS!AK41,0)=ROUND(SUM(BS!AK37:AK40),0),"OK","ERROR")</f>
        <v>OK</v>
      </c>
      <c r="AL109" s="225" t="str">
        <f>IF(ROUND(BS!AL41,0)=ROUND(SUM(BS!AL37:AL40),0),"OK","ERROR")</f>
        <v>OK</v>
      </c>
      <c r="AM109" s="271"/>
      <c r="AN109" s="215" t="str">
        <f>IF(ROUND(BS!AN41,0)=ROUND(SUM(BS!AN37:AN40),0),"OK","ERROR")</f>
        <v>OK</v>
      </c>
      <c r="AO109" s="215" t="str">
        <f>IF(ROUND(BS!AO41,0)=ROUND(SUM(BS!AO37:AO40),0),"OK","ERROR")</f>
        <v>OK</v>
      </c>
      <c r="AP109" s="215" t="str">
        <f>IF(ROUND(BS!AP41,0)=ROUND(SUM(BS!AP37:AP40),0),"OK","ERROR")</f>
        <v>OK</v>
      </c>
      <c r="AQ109" s="215" t="str">
        <f>IF(ROUND(BS!AQ41,0)=ROUND(SUM(BS!AQ37:AQ40),0),"OK","ERROR")</f>
        <v>OK</v>
      </c>
      <c r="AR109" s="225" t="str">
        <f>IF(ROUND(BS!AR41,0)=ROUND(SUM(BS!AR37:AR40),0),"OK","ERROR")</f>
        <v>OK</v>
      </c>
      <c r="AS109" s="271"/>
      <c r="AT109" s="225" t="str">
        <f>IF(ROUND(BS!AT41,0)=ROUND(SUM(BS!AT37:AT40),0),"OK","ERROR")</f>
        <v>OK</v>
      </c>
      <c r="AU109" s="271"/>
      <c r="AV109" s="225" t="str">
        <f>IF(ROUND(BS!AV41,0)=ROUND(SUM(BS!AV37:AV40),0),"OK","ERROR")</f>
        <v>OK</v>
      </c>
      <c r="AW109" s="259"/>
      <c r="AX109" s="225" t="str">
        <f>IF(ROUND(BS!AX41,0)=ROUND(SUM(BS!AX37:AX40),0),"OK","ERROR")</f>
        <v>OK</v>
      </c>
    </row>
    <row r="110" spans="1:50" s="41" customFormat="1" ht="15" customHeight="1">
      <c r="A110" s="43"/>
      <c r="B110" s="150"/>
      <c r="C110" s="17"/>
      <c r="D110" s="206"/>
      <c r="E110" s="206"/>
      <c r="F110" s="206"/>
      <c r="G110" s="206"/>
      <c r="H110" s="218"/>
      <c r="I110" s="246"/>
      <c r="J110" s="206"/>
      <c r="K110" s="206"/>
      <c r="L110" s="206"/>
      <c r="M110" s="206"/>
      <c r="N110" s="218"/>
      <c r="O110" s="246"/>
      <c r="P110" s="206"/>
      <c r="Q110" s="206"/>
      <c r="R110" s="206"/>
      <c r="S110" s="206"/>
      <c r="T110" s="218"/>
      <c r="U110" s="246"/>
      <c r="V110" s="206"/>
      <c r="W110" s="206"/>
      <c r="X110" s="206"/>
      <c r="Y110" s="206"/>
      <c r="Z110" s="218"/>
      <c r="AA110" s="246"/>
      <c r="AB110" s="206"/>
      <c r="AC110" s="206"/>
      <c r="AD110" s="206"/>
      <c r="AE110" s="206"/>
      <c r="AF110" s="218"/>
      <c r="AG110" s="282"/>
      <c r="AH110" s="206"/>
      <c r="AI110" s="206"/>
      <c r="AJ110" s="206"/>
      <c r="AK110" s="206"/>
      <c r="AL110" s="218"/>
      <c r="AM110" s="246"/>
      <c r="AN110" s="206"/>
      <c r="AO110" s="206"/>
      <c r="AP110" s="206"/>
      <c r="AQ110" s="206"/>
      <c r="AR110" s="218"/>
      <c r="AS110" s="246"/>
      <c r="AT110" s="218"/>
      <c r="AU110" s="246"/>
      <c r="AV110" s="218"/>
      <c r="AW110" s="253"/>
      <c r="AX110" s="218"/>
    </row>
    <row r="111" spans="1:50" s="111" customFormat="1" ht="15" customHeight="1">
      <c r="A111" s="44" t="s">
        <v>39</v>
      </c>
      <c r="B111" s="112" t="s">
        <v>650</v>
      </c>
      <c r="C111" s="113"/>
      <c r="D111" s="206"/>
      <c r="E111" s="206"/>
      <c r="F111" s="206"/>
      <c r="G111" s="206"/>
      <c r="H111" s="218"/>
      <c r="I111" s="254"/>
      <c r="J111" s="206"/>
      <c r="K111" s="206"/>
      <c r="L111" s="206"/>
      <c r="M111" s="206"/>
      <c r="N111" s="218"/>
      <c r="O111" s="254"/>
      <c r="P111" s="206"/>
      <c r="Q111" s="206"/>
      <c r="R111" s="206"/>
      <c r="S111" s="206"/>
      <c r="T111" s="218"/>
      <c r="U111" s="254"/>
      <c r="V111" s="206"/>
      <c r="W111" s="206"/>
      <c r="X111" s="206"/>
      <c r="Y111" s="206"/>
      <c r="Z111" s="218"/>
      <c r="AA111" s="254"/>
      <c r="AB111" s="206"/>
      <c r="AC111" s="206"/>
      <c r="AD111" s="206"/>
      <c r="AE111" s="206"/>
      <c r="AF111" s="218"/>
      <c r="AG111" s="283"/>
      <c r="AH111" s="206"/>
      <c r="AI111" s="206"/>
      <c r="AJ111" s="206"/>
      <c r="AK111" s="206"/>
      <c r="AL111" s="218"/>
      <c r="AM111" s="254"/>
      <c r="AN111" s="206"/>
      <c r="AO111" s="206"/>
      <c r="AP111" s="206"/>
      <c r="AQ111" s="206"/>
      <c r="AR111" s="218"/>
      <c r="AS111" s="254"/>
      <c r="AT111" s="218"/>
      <c r="AU111" s="254"/>
      <c r="AV111" s="218"/>
      <c r="AW111" s="259"/>
      <c r="AX111" s="218"/>
    </row>
    <row r="112" spans="1:50" s="111" customFormat="1" ht="15" customHeight="1">
      <c r="B112" s="136" t="s">
        <v>654</v>
      </c>
      <c r="C112" s="113"/>
      <c r="D112" s="215" t="str">
        <f>IF(ROUND(BS!D47,0)=ROUND(SUM(BS!D44:D46),0),"OK","ERROR")</f>
        <v>OK</v>
      </c>
      <c r="E112" s="215" t="str">
        <f>IF(ROUND(BS!E47,0)=ROUND(SUM(BS!E44:E46),0),"OK","ERROR")</f>
        <v>OK</v>
      </c>
      <c r="F112" s="215" t="str">
        <f>IF(ROUND(BS!F47,0)=ROUND(SUM(BS!F44:F46),0),"OK","ERROR")</f>
        <v>OK</v>
      </c>
      <c r="G112" s="215" t="str">
        <f>IF(ROUND(BS!G47,0)=ROUND(SUM(BS!G44:G46),0),"OK","ERROR")</f>
        <v>OK</v>
      </c>
      <c r="H112" s="218" t="str">
        <f>IF(ROUND(BS!H47,0)=ROUND(SUM(BS!H44:H46),0),"OK","ERROR")</f>
        <v>OK</v>
      </c>
      <c r="I112" s="254"/>
      <c r="J112" s="215" t="str">
        <f>IF(ROUND(BS!J47,0)=ROUND(SUM(BS!J44:J46),0),"OK","ERROR")</f>
        <v>OK</v>
      </c>
      <c r="K112" s="215" t="str">
        <f>IF(ROUND(BS!K47,0)=ROUND(SUM(BS!K44:K46),0),"OK","ERROR")</f>
        <v>OK</v>
      </c>
      <c r="L112" s="215" t="str">
        <f>IF(ROUND(BS!L47,0)=ROUND(SUM(BS!L44:L46),0),"OK","ERROR")</f>
        <v>OK</v>
      </c>
      <c r="M112" s="215" t="str">
        <f>IF(ROUND(BS!M47,0)=ROUND(SUM(BS!M44:M46),0),"OK","ERROR")</f>
        <v>OK</v>
      </c>
      <c r="N112" s="218" t="str">
        <f>IF(ROUND(BS!N47,0)=ROUND(SUM(BS!N44:N46),0),"OK","ERROR")</f>
        <v>OK</v>
      </c>
      <c r="O112" s="254"/>
      <c r="P112" s="215" t="str">
        <f>IF(ROUND(BS!P47,0)=ROUND(SUM(BS!P44:P46),0),"OK","ERROR")</f>
        <v>OK</v>
      </c>
      <c r="Q112" s="215" t="str">
        <f>IF(ROUND(BS!Q47,0)=ROUND(SUM(BS!Q44:Q46),0),"OK","ERROR")</f>
        <v>OK</v>
      </c>
      <c r="R112" s="215" t="str">
        <f>IF(ROUND(BS!R47,0)=ROUND(SUM(BS!R44:R46),0),"OK","ERROR")</f>
        <v>OK</v>
      </c>
      <c r="S112" s="215" t="str">
        <f>IF(ROUND(BS!S47,0)=ROUND(SUM(BS!S44:S46),0),"OK","ERROR")</f>
        <v>OK</v>
      </c>
      <c r="T112" s="218" t="str">
        <f>IF(ROUND(BS!T47,0)=ROUND(SUM(BS!T44:T46),0),"OK","ERROR")</f>
        <v>OK</v>
      </c>
      <c r="U112" s="254"/>
      <c r="V112" s="215" t="str">
        <f>IF(ROUND(BS!V47,0)=ROUND(SUM(BS!V44:V46),0),"OK","ERROR")</f>
        <v>OK</v>
      </c>
      <c r="W112" s="215" t="str">
        <f>IF(ROUND(BS!W47,0)=ROUND(SUM(BS!W44:W46),0),"OK","ERROR")</f>
        <v>OK</v>
      </c>
      <c r="X112" s="215" t="str">
        <f>IF(ROUND(BS!X47,0)=ROUND(SUM(BS!X44:X46),0),"OK","ERROR")</f>
        <v>OK</v>
      </c>
      <c r="Y112" s="215" t="str">
        <f>IF(ROUND(BS!Y47,0)=ROUND(SUM(BS!Y44:Y46),0),"OK","ERROR")</f>
        <v>OK</v>
      </c>
      <c r="Z112" s="218" t="str">
        <f>IF(ROUND(BS!Z47,0)=ROUND(SUM(BS!Z44:Z46),0),"OK","ERROR")</f>
        <v>OK</v>
      </c>
      <c r="AA112" s="254"/>
      <c r="AB112" s="215" t="str">
        <f>IF(ROUND(BS!AB47,0)=ROUND(SUM(BS!AB44:AB46),0),"OK","ERROR")</f>
        <v>OK</v>
      </c>
      <c r="AC112" s="215" t="str">
        <f>IF(ROUND(BS!AC47,0)=ROUND(SUM(BS!AC44:AC46),0),"OK","ERROR")</f>
        <v>OK</v>
      </c>
      <c r="AD112" s="215" t="str">
        <f>IF(ROUND(BS!AD47,0)=ROUND(SUM(BS!AD44:AD46),0),"OK","ERROR")</f>
        <v>OK</v>
      </c>
      <c r="AE112" s="215" t="str">
        <f>IF(ROUND(BS!AE47,0)=ROUND(SUM(BS!AE44:AE46),0),"OK","ERROR")</f>
        <v>OK</v>
      </c>
      <c r="AF112" s="218" t="str">
        <f>IF(ROUND(BS!AF47,0)=ROUND(SUM(BS!AF44:AF46),0),"OK","ERROR")</f>
        <v>OK</v>
      </c>
      <c r="AG112" s="283"/>
      <c r="AH112" s="215" t="str">
        <f>IF(ROUND(BS!AH47,0)=ROUND(SUM(BS!AH44:AH46),0),"OK","ERROR")</f>
        <v>OK</v>
      </c>
      <c r="AI112" s="215" t="str">
        <f>IF(ROUND(BS!AI47,0)=ROUND(SUM(BS!AI44:AI46),0),"OK","ERROR")</f>
        <v>OK</v>
      </c>
      <c r="AJ112" s="215" t="str">
        <f>IF(ROUND(BS!AJ47,0)=ROUND(SUM(BS!AJ44:AJ46),0),"OK","ERROR")</f>
        <v>OK</v>
      </c>
      <c r="AK112" s="215" t="str">
        <f>IF(ROUND(BS!AK47,0)=ROUND(SUM(BS!AK44:AK46),0),"OK","ERROR")</f>
        <v>OK</v>
      </c>
      <c r="AL112" s="218" t="str">
        <f>IF(ROUND(BS!AL47,0)=ROUND(SUM(BS!AL44:AL46),0),"OK","ERROR")</f>
        <v>OK</v>
      </c>
      <c r="AM112" s="254"/>
      <c r="AN112" s="215" t="str">
        <f>IF(ROUND(BS!AN47,0)=ROUND(SUM(BS!AN44:AN46),0),"OK","ERROR")</f>
        <v>OK</v>
      </c>
      <c r="AO112" s="215" t="str">
        <f>IF(ROUND(BS!AO47,0)=ROUND(SUM(BS!AO44:AO46),0),"OK","ERROR")</f>
        <v>OK</v>
      </c>
      <c r="AP112" s="215" t="str">
        <f>IF(ROUND(BS!AP47,0)=ROUND(SUM(BS!AP44:AP46),0),"OK","ERROR")</f>
        <v>OK</v>
      </c>
      <c r="AQ112" s="215" t="str">
        <f>IF(ROUND(BS!AQ47,0)=ROUND(SUM(BS!AQ44:AQ46),0),"OK","ERROR")</f>
        <v>OK</v>
      </c>
      <c r="AR112" s="218" t="str">
        <f>IF(ROUND(BS!AR47,0)=ROUND(SUM(BS!AR44:AR46),0),"OK","ERROR")</f>
        <v>OK</v>
      </c>
      <c r="AS112" s="254"/>
      <c r="AT112" s="218" t="str">
        <f>IF(ROUND(BS!AT47,0)=ROUND(SUM(BS!AT44:AT46),0),"OK","ERROR")</f>
        <v>OK</v>
      </c>
      <c r="AU112" s="254"/>
      <c r="AV112" s="218" t="str">
        <f>IF(ROUND(BS!AV47,0)=ROUND(SUM(BS!AV44:AV46),0),"OK","ERROR")</f>
        <v>OK</v>
      </c>
      <c r="AW112" s="259"/>
      <c r="AX112" s="218" t="str">
        <f>IF(ROUND(BS!AX47,0)=ROUND(SUM(BS!AX44:AX46),0),"OK","ERROR")</f>
        <v>OK</v>
      </c>
    </row>
    <row r="113" spans="1:50" s="41" customFormat="1" ht="15" customHeight="1">
      <c r="A113" s="43"/>
      <c r="B113" s="138" t="s">
        <v>655</v>
      </c>
      <c r="C113" s="17"/>
      <c r="D113" s="215" t="str">
        <f>IF(ROUND(BS!D48,0)=ROUND(SUM(BS!D41,BS!D47),0),"OK","ERROR")</f>
        <v>ERROR</v>
      </c>
      <c r="E113" s="215" t="str">
        <f>IF(ROUND(BS!E48,0)=ROUND(SUM(BS!E41,BS!E47),0),"OK","ERROR")</f>
        <v>ERROR</v>
      </c>
      <c r="F113" s="215" t="str">
        <f>IF(ROUND(BS!F48,0)=ROUND(SUM(BS!F41,BS!F47),0),"OK","ERROR")</f>
        <v>ERROR</v>
      </c>
      <c r="G113" s="215" t="str">
        <f>IF(ROUND(BS!G48,0)=ROUND(SUM(BS!G41,BS!G47),0),"OK","ERROR")</f>
        <v>ERROR</v>
      </c>
      <c r="H113" s="225" t="str">
        <f>IF(ROUND(BS!H48,0)=ROUND(SUM(BS!H41,BS!H47),0),"OK","ERROR")</f>
        <v>ERROR</v>
      </c>
      <c r="I113" s="246"/>
      <c r="J113" s="215" t="str">
        <f>IF(ROUND(BS!J48,0)=ROUND(SUM(BS!J41,BS!J47),0),"OK","ERROR")</f>
        <v>ERROR</v>
      </c>
      <c r="K113" s="215" t="str">
        <f>IF(ROUND(BS!K48,0)=ROUND(SUM(BS!K41,BS!K47),0),"OK","ERROR")</f>
        <v>ERROR</v>
      </c>
      <c r="L113" s="215" t="str">
        <f>IF(ROUND(BS!L48,0)=ROUND(SUM(BS!L41,BS!L47),0),"OK","ERROR")</f>
        <v>ERROR</v>
      </c>
      <c r="M113" s="215" t="str">
        <f>IF(ROUND(BS!M48,0)=ROUND(SUM(BS!M41,BS!M47),0),"OK","ERROR")</f>
        <v>ERROR</v>
      </c>
      <c r="N113" s="225" t="str">
        <f>IF(ROUND(BS!N48,0)=ROUND(SUM(BS!N41,BS!N47),0),"OK","ERROR")</f>
        <v>ERROR</v>
      </c>
      <c r="O113" s="246"/>
      <c r="P113" s="215" t="str">
        <f>IF(ROUND(BS!P48,0)=ROUND(SUM(BS!P41,BS!P47),0),"OK","ERROR")</f>
        <v>ERROR</v>
      </c>
      <c r="Q113" s="215" t="str">
        <f>IF(ROUND(BS!Q48,0)=ROUND(SUM(BS!Q41,BS!Q47),0),"OK","ERROR")</f>
        <v>ERROR</v>
      </c>
      <c r="R113" s="215" t="str">
        <f>IF(ROUND(BS!R48,0)=ROUND(SUM(BS!R41,BS!R47),0),"OK","ERROR")</f>
        <v>ERROR</v>
      </c>
      <c r="S113" s="215" t="str">
        <f>IF(ROUND(BS!S48,0)=ROUND(SUM(BS!S41,BS!S47),0),"OK","ERROR")</f>
        <v>ERROR</v>
      </c>
      <c r="T113" s="225" t="str">
        <f>IF(ROUND(BS!T48,0)=ROUND(SUM(BS!T41,BS!T47),0),"OK","ERROR")</f>
        <v>ERROR</v>
      </c>
      <c r="U113" s="246"/>
      <c r="V113" s="215" t="str">
        <f>IF(ROUND(BS!V48,0)=ROUND(SUM(BS!V41,BS!V47),0),"OK","ERROR")</f>
        <v>ERROR</v>
      </c>
      <c r="W113" s="215" t="str">
        <f>IF(ROUND(BS!W48,0)=ROUND(SUM(BS!W41,BS!W47),0),"OK","ERROR")</f>
        <v>ERROR</v>
      </c>
      <c r="X113" s="215" t="str">
        <f>IF(ROUND(BS!X48,0)=ROUND(SUM(BS!X41,BS!X47),0),"OK","ERROR")</f>
        <v>ERROR</v>
      </c>
      <c r="Y113" s="215" t="str">
        <f>IF(ROUND(BS!Y48,0)=ROUND(SUM(BS!Y41,BS!Y47),0),"OK","ERROR")</f>
        <v>ERROR</v>
      </c>
      <c r="Z113" s="225" t="str">
        <f>IF(ROUND(BS!Z48,0)=ROUND(SUM(BS!Z41,BS!Z47),0),"OK","ERROR")</f>
        <v>ERROR</v>
      </c>
      <c r="AA113" s="246"/>
      <c r="AB113" s="215" t="str">
        <f>IF(ROUND(BS!AB48,0)=ROUND(SUM(BS!AB41,BS!AB47),0),"OK","ERROR")</f>
        <v>ERROR</v>
      </c>
      <c r="AC113" s="215" t="str">
        <f>IF(ROUND(BS!AC48,0)=ROUND(SUM(BS!AC41,BS!AC47),0),"OK","ERROR")</f>
        <v>ERROR</v>
      </c>
      <c r="AD113" s="215" t="str">
        <f>IF(ROUND(BS!AD48,0)=ROUND(SUM(BS!AD41,BS!AD47),0),"OK","ERROR")</f>
        <v>ERROR</v>
      </c>
      <c r="AE113" s="215" t="str">
        <f>IF(ROUND(BS!AE48,0)=ROUND(SUM(BS!AE41,BS!AE47),0),"OK","ERROR")</f>
        <v>ERROR</v>
      </c>
      <c r="AF113" s="225" t="str">
        <f>IF(ROUND(BS!AF48,0)=ROUND(SUM(BS!AF41,BS!AF47),0),"OK","ERROR")</f>
        <v>ERROR</v>
      </c>
      <c r="AG113" s="282"/>
      <c r="AH113" s="215" t="str">
        <f>IF(ROUND(BS!AH48,0)=ROUND(SUM(BS!AH41,BS!AH47),0),"OK","ERROR")</f>
        <v>ERROR</v>
      </c>
      <c r="AI113" s="215" t="str">
        <f>IF(ROUND(BS!AI48,0)=ROUND(SUM(BS!AI41,BS!AI47),0),"OK","ERROR")</f>
        <v>ERROR</v>
      </c>
      <c r="AJ113" s="215" t="str">
        <f>IF(ROUND(BS!AJ48,0)=ROUND(SUM(BS!AJ41,BS!AJ47),0),"OK","ERROR")</f>
        <v>OK</v>
      </c>
      <c r="AK113" s="215" t="str">
        <f>IF(ROUND(BS!AK48,0)=ROUND(SUM(BS!AK41,BS!AK47),0),"OK","ERROR")</f>
        <v>OK</v>
      </c>
      <c r="AL113" s="225" t="str">
        <f>IF(ROUND(BS!AL48,0)=ROUND(SUM(BS!AL41,BS!AL47),0),"OK","ERROR")</f>
        <v>OK</v>
      </c>
      <c r="AM113" s="246"/>
      <c r="AN113" s="215" t="str">
        <f>IF(ROUND(BS!AN48,0)=ROUND(SUM(BS!AN41,BS!AN47),0),"OK","ERROR")</f>
        <v>OK</v>
      </c>
      <c r="AO113" s="215" t="str">
        <f>IF(ROUND(BS!AO48,0)=ROUND(SUM(BS!AO41,BS!AO47),0),"OK","ERROR")</f>
        <v>OK</v>
      </c>
      <c r="AP113" s="215" t="str">
        <f>IF(ROUND(BS!AP48,0)=ROUND(SUM(BS!AP41,BS!AP47),0),"OK","ERROR")</f>
        <v>OK</v>
      </c>
      <c r="AQ113" s="215" t="str">
        <f>IF(ROUND(BS!AQ48,0)=ROUND(SUM(BS!AQ41,BS!AQ47),0),"OK","ERROR")</f>
        <v>OK</v>
      </c>
      <c r="AR113" s="225" t="str">
        <f>IF(ROUND(BS!AR48,0)=ROUND(SUM(BS!AR41,BS!AR47),0),"OK","ERROR")</f>
        <v>OK</v>
      </c>
      <c r="AS113" s="246"/>
      <c r="AT113" s="225" t="str">
        <f>IF(ROUND(BS!AT48,0)=ROUND(SUM(BS!AT41,BS!AT47),0),"OK","ERROR")</f>
        <v>OK</v>
      </c>
      <c r="AU113" s="246"/>
      <c r="AV113" s="225" t="str">
        <f>IF(ROUND(BS!AV48,0)=ROUND(SUM(BS!AV41,BS!AV47),0),"OK","ERROR")</f>
        <v>OK</v>
      </c>
      <c r="AW113" s="253"/>
      <c r="AX113" s="225" t="str">
        <f>IF(ROUND(BS!AX48,0)=ROUND(SUM(BS!AX41,BS!AX47),0),"OK","ERROR")</f>
        <v>OK</v>
      </c>
    </row>
    <row r="114" spans="1:50" s="111" customFormat="1" ht="15" customHeight="1">
      <c r="B114" s="141"/>
      <c r="C114" s="113"/>
      <c r="D114" s="206"/>
      <c r="E114" s="206"/>
      <c r="F114" s="206"/>
      <c r="G114" s="206"/>
      <c r="H114" s="218"/>
      <c r="I114" s="254"/>
      <c r="J114" s="206"/>
      <c r="K114" s="206"/>
      <c r="L114" s="206"/>
      <c r="M114" s="206"/>
      <c r="N114" s="218"/>
      <c r="O114" s="254"/>
      <c r="P114" s="206"/>
      <c r="Q114" s="206"/>
      <c r="R114" s="206"/>
      <c r="S114" s="206"/>
      <c r="T114" s="218"/>
      <c r="U114" s="254"/>
      <c r="V114" s="206"/>
      <c r="W114" s="206"/>
      <c r="X114" s="206"/>
      <c r="Y114" s="206"/>
      <c r="Z114" s="218"/>
      <c r="AA114" s="254"/>
      <c r="AB114" s="206"/>
      <c r="AC114" s="206"/>
      <c r="AD114" s="206"/>
      <c r="AE114" s="206"/>
      <c r="AF114" s="218"/>
      <c r="AG114" s="283"/>
      <c r="AH114" s="206"/>
      <c r="AI114" s="206"/>
      <c r="AJ114" s="206"/>
      <c r="AK114" s="206"/>
      <c r="AL114" s="218"/>
      <c r="AM114" s="254"/>
      <c r="AN114" s="206"/>
      <c r="AO114" s="206"/>
      <c r="AP114" s="206"/>
      <c r="AQ114" s="206"/>
      <c r="AR114" s="218"/>
      <c r="AS114" s="254"/>
      <c r="AT114" s="218"/>
      <c r="AU114" s="254"/>
      <c r="AV114" s="218"/>
      <c r="AW114" s="259"/>
      <c r="AX114" s="218"/>
    </row>
    <row r="115" spans="1:50" s="41" customFormat="1" ht="15" customHeight="1">
      <c r="A115" s="44" t="s">
        <v>39</v>
      </c>
      <c r="B115" s="112" t="s">
        <v>656</v>
      </c>
      <c r="C115" s="17"/>
      <c r="D115" s="206"/>
      <c r="E115" s="206"/>
      <c r="F115" s="206"/>
      <c r="G115" s="206"/>
      <c r="H115" s="218"/>
      <c r="I115" s="246"/>
      <c r="J115" s="206"/>
      <c r="K115" s="206"/>
      <c r="L115" s="206"/>
      <c r="M115" s="206"/>
      <c r="N115" s="218"/>
      <c r="O115" s="246"/>
      <c r="P115" s="206"/>
      <c r="Q115" s="206"/>
      <c r="R115" s="206"/>
      <c r="S115" s="206"/>
      <c r="T115" s="218"/>
      <c r="U115" s="246"/>
      <c r="V115" s="206"/>
      <c r="W115" s="206"/>
      <c r="X115" s="206"/>
      <c r="Y115" s="206"/>
      <c r="Z115" s="218"/>
      <c r="AA115" s="246"/>
      <c r="AB115" s="206"/>
      <c r="AC115" s="206"/>
      <c r="AD115" s="206"/>
      <c r="AE115" s="206"/>
      <c r="AF115" s="218"/>
      <c r="AG115" s="282"/>
      <c r="AH115" s="206"/>
      <c r="AI115" s="206"/>
      <c r="AJ115" s="206"/>
      <c r="AK115" s="206"/>
      <c r="AL115" s="218"/>
      <c r="AM115" s="246"/>
      <c r="AN115" s="206"/>
      <c r="AO115" s="206"/>
      <c r="AP115" s="206"/>
      <c r="AQ115" s="206"/>
      <c r="AR115" s="218"/>
      <c r="AS115" s="246"/>
      <c r="AT115" s="218"/>
      <c r="AU115" s="246"/>
      <c r="AV115" s="218"/>
      <c r="AW115" s="253"/>
      <c r="AX115" s="218"/>
    </row>
    <row r="116" spans="1:50" s="111" customFormat="1" ht="15" customHeight="1">
      <c r="B116" s="136" t="s">
        <v>660</v>
      </c>
      <c r="C116" s="113"/>
      <c r="D116" s="215" t="str">
        <f>IF(ROUND(BS!D54,0)=ROUND(SUM(BS!D51:D53),0),"OK","ERROR")</f>
        <v>OK</v>
      </c>
      <c r="E116" s="215" t="str">
        <f>IF(ROUND(BS!E54,0)=ROUND(SUM(BS!E51:E53),0),"OK","ERROR")</f>
        <v>OK</v>
      </c>
      <c r="F116" s="215" t="str">
        <f>IF(ROUND(BS!F54,0)=ROUND(SUM(BS!F51:F53),0),"OK","ERROR")</f>
        <v>OK</v>
      </c>
      <c r="G116" s="215" t="str">
        <f>IF(ROUND(BS!G54,0)=ROUND(SUM(BS!G51:G53),0),"OK","ERROR")</f>
        <v>OK</v>
      </c>
      <c r="H116" s="225" t="str">
        <f>IF(ROUND(BS!H54,0)=ROUND(SUM(BS!H51:H53),0),"OK","ERROR")</f>
        <v>OK</v>
      </c>
      <c r="I116" s="254"/>
      <c r="J116" s="215" t="str">
        <f>IF(ROUND(BS!J54,0)=ROUND(SUM(BS!J51:J53),0),"OK","ERROR")</f>
        <v>OK</v>
      </c>
      <c r="K116" s="215" t="str">
        <f>IF(ROUND(BS!K54,0)=ROUND(SUM(BS!K51:K53),0),"OK","ERROR")</f>
        <v>OK</v>
      </c>
      <c r="L116" s="215" t="str">
        <f>IF(ROUND(BS!L54,0)=ROUND(SUM(BS!L51:L53),0),"OK","ERROR")</f>
        <v>OK</v>
      </c>
      <c r="M116" s="215" t="str">
        <f>IF(ROUND(BS!M54,0)=ROUND(SUM(BS!M51:M53),0),"OK","ERROR")</f>
        <v>OK</v>
      </c>
      <c r="N116" s="225" t="str">
        <f>IF(ROUND(BS!N54,0)=ROUND(SUM(BS!N51:N53),0),"OK","ERROR")</f>
        <v>OK</v>
      </c>
      <c r="O116" s="254"/>
      <c r="P116" s="215" t="str">
        <f>IF(ROUND(BS!P54,0)=ROUND(SUM(BS!P51:P53),0),"OK","ERROR")</f>
        <v>OK</v>
      </c>
      <c r="Q116" s="215" t="str">
        <f>IF(ROUND(BS!Q54,0)=ROUND(SUM(BS!Q51:Q53),0),"OK","ERROR")</f>
        <v>OK</v>
      </c>
      <c r="R116" s="215" t="str">
        <f>IF(ROUND(BS!R54,0)=ROUND(SUM(BS!R51:R53),0),"OK","ERROR")</f>
        <v>OK</v>
      </c>
      <c r="S116" s="215" t="str">
        <f>IF(ROUND(BS!S54,0)=ROUND(SUM(BS!S51:S53),0),"OK","ERROR")</f>
        <v>OK</v>
      </c>
      <c r="T116" s="225" t="str">
        <f>IF(ROUND(BS!T54,0)=ROUND(SUM(BS!T51:T53),0),"OK","ERROR")</f>
        <v>OK</v>
      </c>
      <c r="U116" s="254"/>
      <c r="V116" s="215" t="str">
        <f>IF(ROUND(BS!V54,0)=ROUND(SUM(BS!V51:V53),0),"OK","ERROR")</f>
        <v>OK</v>
      </c>
      <c r="W116" s="215" t="str">
        <f>IF(ROUND(BS!W54,0)=ROUND(SUM(BS!W51:W53),0),"OK","ERROR")</f>
        <v>OK</v>
      </c>
      <c r="X116" s="215" t="str">
        <f>IF(ROUND(BS!X54,0)=ROUND(SUM(BS!X51:X53),0),"OK","ERROR")</f>
        <v>OK</v>
      </c>
      <c r="Y116" s="215" t="str">
        <f>IF(ROUND(BS!Y54,0)=ROUND(SUM(BS!Y51:Y53),0),"OK","ERROR")</f>
        <v>OK</v>
      </c>
      <c r="Z116" s="225" t="str">
        <f>IF(ROUND(BS!Z54,0)=ROUND(SUM(BS!Z51:Z53),0),"OK","ERROR")</f>
        <v>OK</v>
      </c>
      <c r="AA116" s="254"/>
      <c r="AB116" s="215" t="str">
        <f>IF(ROUND(BS!AB54,0)=ROUND(SUM(BS!AB51:AB53),0),"OK","ERROR")</f>
        <v>OK</v>
      </c>
      <c r="AC116" s="215" t="str">
        <f>IF(ROUND(BS!AC54,0)=ROUND(SUM(BS!AC51:AC53),0),"OK","ERROR")</f>
        <v>OK</v>
      </c>
      <c r="AD116" s="215" t="str">
        <f>IF(ROUND(BS!AD54,0)=ROUND(SUM(BS!AD51:AD53),0),"OK","ERROR")</f>
        <v>OK</v>
      </c>
      <c r="AE116" s="215" t="str">
        <f>IF(ROUND(BS!AE54,0)=ROUND(SUM(BS!AE51:AE53),0),"OK","ERROR")</f>
        <v>OK</v>
      </c>
      <c r="AF116" s="225" t="str">
        <f>IF(ROUND(BS!AF54,0)=ROUND(SUM(BS!AF51:AF53),0),"OK","ERROR")</f>
        <v>OK</v>
      </c>
      <c r="AG116" s="283"/>
      <c r="AH116" s="215" t="str">
        <f>IF(ROUND(BS!AH54,0)=ROUND(SUM(BS!AH51:AH53),0),"OK","ERROR")</f>
        <v>OK</v>
      </c>
      <c r="AI116" s="215" t="str">
        <f>IF(ROUND(BS!AI54,0)=ROUND(SUM(BS!AI51:AI53),0),"OK","ERROR")</f>
        <v>OK</v>
      </c>
      <c r="AJ116" s="215" t="str">
        <f>IF(ROUND(BS!AJ54,0)=ROUND(SUM(BS!AJ51:AJ53),0),"OK","ERROR")</f>
        <v>OK</v>
      </c>
      <c r="AK116" s="215" t="str">
        <f>IF(ROUND(BS!AK54,0)=ROUND(SUM(BS!AK51:AK53),0),"OK","ERROR")</f>
        <v>OK</v>
      </c>
      <c r="AL116" s="225" t="str">
        <f>IF(ROUND(BS!AL54,0)=ROUND(SUM(BS!AL51:AL53),0),"OK","ERROR")</f>
        <v>OK</v>
      </c>
      <c r="AM116" s="254"/>
      <c r="AN116" s="215" t="str">
        <f>IF(ROUND(BS!AN54,0)=ROUND(SUM(BS!AN51:AN53),0),"OK","ERROR")</f>
        <v>OK</v>
      </c>
      <c r="AO116" s="215" t="str">
        <f>IF(ROUND(BS!AO54,0)=ROUND(SUM(BS!AO51:AO53),0),"OK","ERROR")</f>
        <v>OK</v>
      </c>
      <c r="AP116" s="215" t="str">
        <f>IF(ROUND(BS!AP54,0)=ROUND(SUM(BS!AP51:AP53),0),"OK","ERROR")</f>
        <v>OK</v>
      </c>
      <c r="AQ116" s="215" t="str">
        <f>IF(ROUND(BS!AQ54,0)=ROUND(SUM(BS!AQ51:AQ53),0),"OK","ERROR")</f>
        <v>OK</v>
      </c>
      <c r="AR116" s="225" t="str">
        <f>IF(ROUND(BS!AR54,0)=ROUND(SUM(BS!AR51:AR53),0),"OK","ERROR")</f>
        <v>OK</v>
      </c>
      <c r="AS116" s="254"/>
      <c r="AT116" s="225" t="str">
        <f>IF(ROUND(BS!AT54,0)=ROUND(SUM(BS!AT51:AT53),0),"OK","ERROR")</f>
        <v>OK</v>
      </c>
      <c r="AU116" s="254"/>
      <c r="AV116" s="225" t="str">
        <f>IF(ROUND(BS!AV54,0)=ROUND(SUM(BS!AV51:AV53),0),"OK","ERROR")</f>
        <v>OK</v>
      </c>
      <c r="AW116" s="259"/>
      <c r="AX116" s="225" t="str">
        <f>IF(ROUND(BS!AX54,0)=ROUND(SUM(BS!AX51:AX53),0),"OK","ERROR")</f>
        <v>OK</v>
      </c>
    </row>
    <row r="117" spans="1:50" s="41" customFormat="1" ht="15" customHeight="1" thickBot="1">
      <c r="A117" s="43"/>
      <c r="B117" s="138" t="s">
        <v>661</v>
      </c>
      <c r="C117" s="17"/>
      <c r="D117" s="215" t="str">
        <f>IF(ROUND(BS!D55,0)=ROUND(SUM(BS!D54,BS!D48),0),"OK","ERROR")</f>
        <v>OK</v>
      </c>
      <c r="E117" s="215" t="str">
        <f>IF(ROUND(BS!E55,0)=ROUND(SUM(BS!E54,BS!E48),0),"OK","ERROR")</f>
        <v>OK</v>
      </c>
      <c r="F117" s="215" t="str">
        <f>IF(ROUND(BS!F55,0)=ROUND(SUM(BS!F54,BS!F48),0),"OK","ERROR")</f>
        <v>OK</v>
      </c>
      <c r="G117" s="215" t="str">
        <f>IF(ROUND(BS!G55,0)=ROUND(SUM(BS!G54,BS!G48),0),"OK","ERROR")</f>
        <v>OK</v>
      </c>
      <c r="H117" s="235" t="str">
        <f>IF(ROUND(BS!H55,0)=ROUND(SUM(BS!H54,BS!H48),0),"OK","ERROR")</f>
        <v>OK</v>
      </c>
      <c r="I117" s="246"/>
      <c r="J117" s="215" t="str">
        <f>IF(ROUND(BS!J55,0)=ROUND(SUM(BS!J54,BS!J48),0),"OK","ERROR")</f>
        <v>OK</v>
      </c>
      <c r="K117" s="215" t="str">
        <f>IF(ROUND(BS!K55,0)=ROUND(SUM(BS!K54,BS!K48),0),"OK","ERROR")</f>
        <v>OK</v>
      </c>
      <c r="L117" s="215" t="str">
        <f>IF(ROUND(BS!L55,0)=ROUND(SUM(BS!L54,BS!L48),0),"OK","ERROR")</f>
        <v>OK</v>
      </c>
      <c r="M117" s="215" t="str">
        <f>IF(ROUND(BS!M55,0)=ROUND(SUM(BS!M54,BS!M48),0),"OK","ERROR")</f>
        <v>OK</v>
      </c>
      <c r="N117" s="235" t="str">
        <f>IF(ROUND(BS!N55,0)=ROUND(SUM(BS!N54,BS!N48),0),"OK","ERROR")</f>
        <v>OK</v>
      </c>
      <c r="O117" s="246"/>
      <c r="P117" s="215" t="str">
        <f>IF(ROUND(BS!P55,0)=ROUND(SUM(BS!P54,BS!P48),0),"OK","ERROR")</f>
        <v>OK</v>
      </c>
      <c r="Q117" s="215" t="str">
        <f>IF(ROUND(BS!Q55,0)=ROUND(SUM(BS!Q54,BS!Q48),0),"OK","ERROR")</f>
        <v>OK</v>
      </c>
      <c r="R117" s="215" t="str">
        <f>IF(ROUND(BS!R55,0)=ROUND(SUM(BS!R54,BS!R48),0),"OK","ERROR")</f>
        <v>OK</v>
      </c>
      <c r="S117" s="215" t="str">
        <f>IF(ROUND(BS!S55,0)=ROUND(SUM(BS!S54,BS!S48),0),"OK","ERROR")</f>
        <v>OK</v>
      </c>
      <c r="T117" s="235" t="str">
        <f>IF(ROUND(BS!T55,0)=ROUND(SUM(BS!T54,BS!T48),0),"OK","ERROR")</f>
        <v>OK</v>
      </c>
      <c r="U117" s="246"/>
      <c r="V117" s="215" t="str">
        <f>IF(ROUND(BS!V55,0)=ROUND(SUM(BS!V54,BS!V48),0),"OK","ERROR")</f>
        <v>OK</v>
      </c>
      <c r="W117" s="215" t="str">
        <f>IF(ROUND(BS!W55,0)=ROUND(SUM(BS!W54,BS!W48),0),"OK","ERROR")</f>
        <v>OK</v>
      </c>
      <c r="X117" s="215" t="str">
        <f>IF(ROUND(BS!X55,0)=ROUND(SUM(BS!X54,BS!X48),0),"OK","ERROR")</f>
        <v>OK</v>
      </c>
      <c r="Y117" s="215" t="str">
        <f>IF(ROUND(BS!Y55,0)=ROUND(SUM(BS!Y54,BS!Y48),0),"OK","ERROR")</f>
        <v>OK</v>
      </c>
      <c r="Z117" s="235" t="str">
        <f>IF(ROUND(BS!Z55,0)=ROUND(SUM(BS!Z54,BS!Z48),0),"OK","ERROR")</f>
        <v>OK</v>
      </c>
      <c r="AA117" s="246"/>
      <c r="AB117" s="215" t="str">
        <f>IF(ROUND(BS!AB55,0)=ROUND(SUM(BS!AB54,BS!AB48),0),"OK","ERROR")</f>
        <v>OK</v>
      </c>
      <c r="AC117" s="215" t="str">
        <f>IF(ROUND(BS!AC55,0)=ROUND(SUM(BS!AC54,BS!AC48),0),"OK","ERROR")</f>
        <v>OK</v>
      </c>
      <c r="AD117" s="215" t="str">
        <f>IF(ROUND(BS!AD55,0)=ROUND(SUM(BS!AD54,BS!AD48),0),"OK","ERROR")</f>
        <v>OK</v>
      </c>
      <c r="AE117" s="215" t="str">
        <f>IF(ROUND(BS!AE55,0)=ROUND(SUM(BS!AE54,BS!AE48),0),"OK","ERROR")</f>
        <v>OK</v>
      </c>
      <c r="AF117" s="235" t="str">
        <f>IF(ROUND(BS!AF55,0)=ROUND(SUM(BS!AF54,BS!AF48),0),"OK","ERROR")</f>
        <v>OK</v>
      </c>
      <c r="AG117" s="282"/>
      <c r="AH117" s="215" t="str">
        <f>IF(ROUND(BS!AH55,0)=ROUND(SUM(BS!AH54,BS!AH48),0),"OK","ERROR")</f>
        <v>OK</v>
      </c>
      <c r="AI117" s="215" t="str">
        <f>IF(ROUND(BS!AI55,0)=ROUND(SUM(BS!AI54,BS!AI48),0),"OK","ERROR")</f>
        <v>OK</v>
      </c>
      <c r="AJ117" s="215" t="str">
        <f>IF(ROUND(BS!AJ55,0)=ROUND(SUM(BS!AJ54,BS!AJ48),0),"OK","ERROR")</f>
        <v>OK</v>
      </c>
      <c r="AK117" s="215" t="str">
        <f>IF(ROUND(BS!AK55,0)=ROUND(SUM(BS!AK54,BS!AK48),0),"OK","ERROR")</f>
        <v>OK</v>
      </c>
      <c r="AL117" s="235" t="str">
        <f>IF(ROUND(BS!AL55,0)=ROUND(SUM(BS!AL54,BS!AL48),0),"OK","ERROR")</f>
        <v>OK</v>
      </c>
      <c r="AM117" s="246"/>
      <c r="AN117" s="215" t="str">
        <f>IF(ROUND(BS!AN55,0)=ROUND(SUM(BS!AN54,BS!AN48),0),"OK","ERROR")</f>
        <v>OK</v>
      </c>
      <c r="AO117" s="215" t="str">
        <f>IF(ROUND(BS!AO55,0)=ROUND(SUM(BS!AO54,BS!AO48),0),"OK","ERROR")</f>
        <v>OK</v>
      </c>
      <c r="AP117" s="215" t="str">
        <f>IF(ROUND(BS!AP55,0)=ROUND(SUM(BS!AP54,BS!AP48),0),"OK","ERROR")</f>
        <v>OK</v>
      </c>
      <c r="AQ117" s="215" t="str">
        <f>IF(ROUND(BS!AQ55,0)=ROUND(SUM(BS!AQ54,BS!AQ48),0),"OK","ERROR")</f>
        <v>OK</v>
      </c>
      <c r="AR117" s="235" t="str">
        <f>IF(ROUND(BS!AR55,0)=ROUND(SUM(BS!AR54,BS!AR48),0),"OK","ERROR")</f>
        <v>OK</v>
      </c>
      <c r="AS117" s="246"/>
      <c r="AT117" s="235" t="str">
        <f>IF(ROUND(BS!AT55,0)=ROUND(SUM(BS!AT54,BS!AT48),0),"OK","ERROR")</f>
        <v>OK</v>
      </c>
      <c r="AU117" s="246"/>
      <c r="AV117" s="235" t="str">
        <f>IF(ROUND(BS!AV55,0)=ROUND(SUM(BS!AV54,BS!AV48),0),"OK","ERROR")</f>
        <v>OK</v>
      </c>
      <c r="AW117" s="253"/>
      <c r="AX117" s="235" t="str">
        <f>IF(ROUND(BS!AX55,0)=ROUND(SUM(BS!AX54,BS!AX48),0),"OK","ERROR")</f>
        <v>OK</v>
      </c>
    </row>
    <row r="118" spans="1:50" ht="14.25" customHeight="1" thickTop="1"/>
    <row r="119" spans="1:50" s="41" customFormat="1" ht="15" customHeight="1">
      <c r="A119" s="44" t="s">
        <v>39</v>
      </c>
      <c r="B119" s="159" t="s">
        <v>702</v>
      </c>
      <c r="C119" s="18"/>
      <c r="D119" s="200">
        <f>F119</f>
        <v>2020</v>
      </c>
      <c r="E119" s="200">
        <f>F119</f>
        <v>2020</v>
      </c>
      <c r="F119" s="200">
        <v>2020</v>
      </c>
      <c r="G119" s="200">
        <f>F119</f>
        <v>2020</v>
      </c>
      <c r="H119" s="200">
        <f>F119</f>
        <v>2020</v>
      </c>
      <c r="I119" s="18"/>
      <c r="J119" s="200">
        <f>L119</f>
        <v>2021</v>
      </c>
      <c r="K119" s="200">
        <f>L119</f>
        <v>2021</v>
      </c>
      <c r="L119" s="200">
        <v>2021</v>
      </c>
      <c r="M119" s="200">
        <f>L119</f>
        <v>2021</v>
      </c>
      <c r="N119" s="200">
        <f>L119</f>
        <v>2021</v>
      </c>
      <c r="O119" s="167"/>
      <c r="P119" s="200">
        <f>R119</f>
        <v>2022</v>
      </c>
      <c r="Q119" s="200">
        <f>R119</f>
        <v>2022</v>
      </c>
      <c r="R119" s="200">
        <v>2022</v>
      </c>
      <c r="S119" s="200">
        <f>R119</f>
        <v>2022</v>
      </c>
      <c r="T119" s="200">
        <f>R119</f>
        <v>2022</v>
      </c>
      <c r="U119" s="167"/>
      <c r="V119" s="200">
        <f>X119</f>
        <v>2023</v>
      </c>
      <c r="W119" s="200">
        <f>X119</f>
        <v>2023</v>
      </c>
      <c r="X119" s="200">
        <v>2023</v>
      </c>
      <c r="Y119" s="200">
        <f>X119</f>
        <v>2023</v>
      </c>
      <c r="Z119" s="200">
        <f>X119</f>
        <v>2023</v>
      </c>
      <c r="AA119" s="168"/>
      <c r="AB119" s="200">
        <f>AD119</f>
        <v>2024</v>
      </c>
      <c r="AC119" s="200">
        <f>AD119</f>
        <v>2024</v>
      </c>
      <c r="AD119" s="200">
        <v>2024</v>
      </c>
      <c r="AE119" s="200">
        <f>AD119</f>
        <v>2024</v>
      </c>
      <c r="AF119" s="200">
        <f>AD119</f>
        <v>2024</v>
      </c>
      <c r="AG119" s="168"/>
      <c r="AH119" s="200">
        <f>AJ119</f>
        <v>2025</v>
      </c>
      <c r="AI119" s="200">
        <f>AJ119</f>
        <v>2025</v>
      </c>
      <c r="AJ119" s="201">
        <v>2025</v>
      </c>
      <c r="AK119" s="200">
        <f>AJ119</f>
        <v>2025</v>
      </c>
      <c r="AL119" s="200">
        <f>AJ119</f>
        <v>2025</v>
      </c>
      <c r="AM119" s="169"/>
      <c r="AN119" s="200">
        <f>AP119</f>
        <v>2025</v>
      </c>
      <c r="AO119" s="200">
        <f>AP119</f>
        <v>2025</v>
      </c>
      <c r="AP119" s="201">
        <v>2025</v>
      </c>
      <c r="AQ119" s="200">
        <f>AP119</f>
        <v>2025</v>
      </c>
      <c r="AR119" s="200">
        <f>AP119</f>
        <v>2025</v>
      </c>
      <c r="AS119" s="18"/>
      <c r="AT119" s="160"/>
      <c r="AU119" s="18"/>
      <c r="AV119" s="161"/>
      <c r="AW119" s="18"/>
      <c r="AX119" s="161"/>
    </row>
    <row r="120" spans="1:50" s="41" customFormat="1" ht="15" customHeight="1">
      <c r="B120" s="162"/>
      <c r="C120" s="18"/>
      <c r="D120" s="950">
        <v>2020</v>
      </c>
      <c r="E120" s="950"/>
      <c r="F120" s="950"/>
      <c r="G120" s="950"/>
      <c r="H120" s="950"/>
      <c r="I120" s="167"/>
      <c r="J120" s="950">
        <f>D120+1</f>
        <v>2021</v>
      </c>
      <c r="K120" s="950"/>
      <c r="L120" s="950"/>
      <c r="M120" s="950"/>
      <c r="N120" s="950"/>
      <c r="O120" s="167"/>
      <c r="P120" s="950">
        <f>J120+1</f>
        <v>2022</v>
      </c>
      <c r="Q120" s="950"/>
      <c r="R120" s="950"/>
      <c r="S120" s="950"/>
      <c r="T120" s="950"/>
      <c r="U120" s="167"/>
      <c r="V120" s="950">
        <f>P120+1</f>
        <v>2023</v>
      </c>
      <c r="W120" s="950"/>
      <c r="X120" s="950"/>
      <c r="Y120" s="950"/>
      <c r="Z120" s="950"/>
      <c r="AA120" s="167"/>
      <c r="AB120" s="950">
        <f>V120+1</f>
        <v>2024</v>
      </c>
      <c r="AC120" s="950"/>
      <c r="AD120" s="950"/>
      <c r="AE120" s="950"/>
      <c r="AF120" s="950"/>
      <c r="AG120" s="167"/>
      <c r="AH120" s="949">
        <f>AB120+1</f>
        <v>2025</v>
      </c>
      <c r="AI120" s="949"/>
      <c r="AJ120" s="949"/>
      <c r="AK120" s="949"/>
      <c r="AL120" s="949"/>
      <c r="AM120" s="167"/>
      <c r="AN120" s="949">
        <f>AH120+1</f>
        <v>2026</v>
      </c>
      <c r="AO120" s="949"/>
      <c r="AP120" s="949"/>
      <c r="AQ120" s="949"/>
      <c r="AR120" s="949"/>
      <c r="AS120" s="169"/>
      <c r="AT120" s="164">
        <f>AN120+1</f>
        <v>2027</v>
      </c>
      <c r="AU120" s="165"/>
      <c r="AV120" s="164">
        <f>+AT120+1</f>
        <v>2028</v>
      </c>
      <c r="AW120" s="165"/>
      <c r="AX120" s="164">
        <f>+AV120+1</f>
        <v>2029</v>
      </c>
    </row>
    <row r="121" spans="1:50" s="41" customFormat="1" ht="15" customHeight="1">
      <c r="B121" s="162"/>
      <c r="C121" s="18"/>
      <c r="D121" s="166" t="s">
        <v>197</v>
      </c>
      <c r="E121" s="166" t="s">
        <v>198</v>
      </c>
      <c r="F121" s="166" t="s">
        <v>199</v>
      </c>
      <c r="G121" s="166" t="s">
        <v>200</v>
      </c>
      <c r="H121" s="166" t="s">
        <v>201</v>
      </c>
      <c r="I121" s="18"/>
      <c r="J121" s="166" t="s">
        <v>197</v>
      </c>
      <c r="K121" s="166" t="s">
        <v>198</v>
      </c>
      <c r="L121" s="166" t="s">
        <v>199</v>
      </c>
      <c r="M121" s="166" t="s">
        <v>200</v>
      </c>
      <c r="N121" s="166" t="s">
        <v>201</v>
      </c>
      <c r="O121" s="163"/>
      <c r="P121" s="166" t="s">
        <v>197</v>
      </c>
      <c r="Q121" s="166" t="s">
        <v>198</v>
      </c>
      <c r="R121" s="166" t="s">
        <v>199</v>
      </c>
      <c r="S121" s="166" t="s">
        <v>200</v>
      </c>
      <c r="T121" s="166" t="s">
        <v>201</v>
      </c>
      <c r="U121" s="163"/>
      <c r="V121" s="166" t="s">
        <v>197</v>
      </c>
      <c r="W121" s="166" t="s">
        <v>198</v>
      </c>
      <c r="X121" s="166" t="s">
        <v>199</v>
      </c>
      <c r="Y121" s="166" t="s">
        <v>200</v>
      </c>
      <c r="Z121" s="166" t="s">
        <v>201</v>
      </c>
      <c r="AA121" s="163"/>
      <c r="AB121" s="166" t="s">
        <v>197</v>
      </c>
      <c r="AC121" s="166" t="s">
        <v>198</v>
      </c>
      <c r="AD121" s="166" t="s">
        <v>199</v>
      </c>
      <c r="AE121" s="166" t="s">
        <v>200</v>
      </c>
      <c r="AF121" s="166" t="s">
        <v>201</v>
      </c>
      <c r="AG121" s="163"/>
      <c r="AH121" s="166" t="s">
        <v>197</v>
      </c>
      <c r="AI121" s="166" t="s">
        <v>198</v>
      </c>
      <c r="AJ121" s="166" t="s">
        <v>199</v>
      </c>
      <c r="AK121" s="166" t="s">
        <v>200</v>
      </c>
      <c r="AL121" s="166" t="s">
        <v>201</v>
      </c>
      <c r="AM121" s="163"/>
      <c r="AN121" s="166" t="s">
        <v>197</v>
      </c>
      <c r="AO121" s="166" t="s">
        <v>198</v>
      </c>
      <c r="AP121" s="166" t="s">
        <v>199</v>
      </c>
      <c r="AQ121" s="166" t="s">
        <v>200</v>
      </c>
      <c r="AR121" s="166" t="s">
        <v>201</v>
      </c>
      <c r="AS121" s="163"/>
      <c r="AT121" s="166" t="s">
        <v>201</v>
      </c>
      <c r="AU121" s="163"/>
      <c r="AV121" s="166" t="s">
        <v>201</v>
      </c>
      <c r="AW121" s="163"/>
      <c r="AX121" s="166" t="s">
        <v>201</v>
      </c>
    </row>
    <row r="122" spans="1:50" s="41" customFormat="1" ht="3.95" customHeight="1">
      <c r="A122" s="43"/>
      <c r="B122" s="174"/>
      <c r="C122" s="35"/>
      <c r="D122" s="175"/>
      <c r="E122" s="175"/>
      <c r="F122" s="175"/>
      <c r="G122" s="175"/>
      <c r="H122" s="175"/>
      <c r="I122" s="35"/>
      <c r="J122" s="175"/>
      <c r="K122" s="175"/>
      <c r="L122" s="175"/>
      <c r="M122" s="175"/>
      <c r="N122" s="175"/>
      <c r="O122" s="176"/>
      <c r="P122" s="175"/>
      <c r="Q122" s="175"/>
      <c r="R122" s="175"/>
      <c r="S122" s="175"/>
      <c r="T122" s="175"/>
      <c r="U122" s="176"/>
      <c r="V122" s="175"/>
      <c r="W122" s="175"/>
      <c r="X122" s="175"/>
      <c r="Y122" s="175"/>
      <c r="Z122" s="175"/>
      <c r="AA122" s="176"/>
      <c r="AB122" s="175"/>
      <c r="AC122" s="175"/>
      <c r="AD122" s="175"/>
      <c r="AE122" s="175"/>
      <c r="AF122" s="175"/>
      <c r="AG122" s="176"/>
      <c r="AH122" s="175"/>
      <c r="AI122" s="175"/>
      <c r="AJ122" s="175"/>
      <c r="AK122" s="175"/>
      <c r="AL122" s="177"/>
      <c r="AM122" s="178"/>
      <c r="AN122" s="177"/>
      <c r="AO122" s="177"/>
      <c r="AP122" s="177"/>
      <c r="AQ122" s="177"/>
      <c r="AR122" s="177"/>
      <c r="AS122" s="178"/>
      <c r="AT122" s="177"/>
      <c r="AU122" s="178"/>
      <c r="AV122" s="177"/>
      <c r="AW122" s="178"/>
      <c r="AX122" s="177"/>
    </row>
    <row r="123" spans="1:50" s="41" customFormat="1" ht="3.95" customHeight="1">
      <c r="A123" s="43"/>
      <c r="B123" s="170"/>
      <c r="C123" s="19"/>
      <c r="D123" s="171"/>
      <c r="E123" s="171"/>
      <c r="F123" s="171"/>
      <c r="G123" s="171"/>
      <c r="H123" s="171"/>
      <c r="I123" s="19"/>
      <c r="J123" s="171"/>
      <c r="K123" s="171"/>
      <c r="L123" s="171"/>
      <c r="M123" s="171"/>
      <c r="N123" s="171"/>
      <c r="O123" s="172"/>
      <c r="P123" s="171"/>
      <c r="Q123" s="171"/>
      <c r="R123" s="171"/>
      <c r="S123" s="171"/>
      <c r="T123" s="171"/>
      <c r="U123" s="172"/>
      <c r="V123" s="171"/>
      <c r="W123" s="171"/>
      <c r="X123" s="171"/>
      <c r="Y123" s="171"/>
      <c r="Z123" s="171"/>
      <c r="AA123" s="172"/>
      <c r="AB123" s="171"/>
      <c r="AC123" s="171"/>
      <c r="AD123" s="171"/>
      <c r="AE123" s="171"/>
      <c r="AF123" s="171"/>
      <c r="AG123" s="202"/>
      <c r="AH123" s="171"/>
      <c r="AI123" s="171"/>
      <c r="AJ123" s="171"/>
      <c r="AK123" s="171"/>
      <c r="AL123" s="173"/>
      <c r="AM123" s="34"/>
      <c r="AN123" s="173"/>
      <c r="AO123" s="173"/>
      <c r="AP123" s="173"/>
      <c r="AQ123" s="173"/>
      <c r="AR123" s="173"/>
      <c r="AS123" s="34"/>
      <c r="AT123" s="173"/>
      <c r="AU123" s="34"/>
      <c r="AV123" s="173"/>
      <c r="AW123" s="34"/>
      <c r="AX123" s="173"/>
    </row>
    <row r="124" spans="1:50" s="54" customFormat="1" ht="15" customHeight="1">
      <c r="A124" s="44" t="s">
        <v>39</v>
      </c>
      <c r="B124" s="152" t="s">
        <v>664</v>
      </c>
      <c r="C124" s="17"/>
      <c r="D124" s="206"/>
      <c r="E124" s="206"/>
      <c r="F124" s="206"/>
      <c r="G124" s="206"/>
      <c r="H124" s="218"/>
      <c r="I124" s="208"/>
      <c r="J124" s="206"/>
      <c r="K124" s="206"/>
      <c r="L124" s="206"/>
      <c r="M124" s="206"/>
      <c r="N124" s="218"/>
      <c r="O124" s="207"/>
      <c r="P124" s="206"/>
      <c r="Q124" s="206"/>
      <c r="R124" s="206"/>
      <c r="S124" s="206"/>
      <c r="T124" s="218"/>
      <c r="U124" s="207"/>
      <c r="V124" s="206"/>
      <c r="W124" s="206"/>
      <c r="X124" s="206"/>
      <c r="Y124" s="206"/>
      <c r="Z124" s="218"/>
      <c r="AA124" s="207"/>
      <c r="AB124" s="206"/>
      <c r="AC124" s="206"/>
      <c r="AD124" s="206"/>
      <c r="AE124" s="206"/>
      <c r="AF124" s="218"/>
      <c r="AG124" s="209"/>
      <c r="AH124" s="206"/>
      <c r="AI124" s="206"/>
      <c r="AJ124" s="210"/>
      <c r="AK124" s="210"/>
      <c r="AL124" s="220"/>
      <c r="AM124" s="213"/>
      <c r="AN124" s="210"/>
      <c r="AO124" s="210"/>
      <c r="AP124" s="210"/>
      <c r="AQ124" s="210"/>
      <c r="AR124" s="220"/>
      <c r="AS124" s="213"/>
      <c r="AT124" s="220"/>
      <c r="AU124" s="213"/>
      <c r="AV124" s="220"/>
      <c r="AW124" s="244"/>
      <c r="AX124" s="244"/>
    </row>
    <row r="125" spans="1:50" s="54" customFormat="1" ht="15" customHeight="1">
      <c r="A125" s="43"/>
      <c r="B125" s="153" t="s">
        <v>665</v>
      </c>
      <c r="C125" s="17"/>
      <c r="D125" s="215"/>
      <c r="E125" s="215"/>
      <c r="F125" s="215"/>
      <c r="G125" s="215"/>
      <c r="H125" s="214" t="str">
        <f>IF(ROUND(CF!H15,0)=ROUND(SUM(CF!D15:G15),0),"OK","ERROR")</f>
        <v>OK</v>
      </c>
      <c r="I125" s="208"/>
      <c r="J125" s="215"/>
      <c r="K125" s="215"/>
      <c r="L125" s="215"/>
      <c r="M125" s="215"/>
      <c r="N125" s="214" t="str">
        <f>IF(ROUND(CF!N15,0)=ROUND(SUM(CF!J15:M15),0),"OK","ERROR")</f>
        <v>OK</v>
      </c>
      <c r="O125" s="207"/>
      <c r="P125" s="215"/>
      <c r="Q125" s="215"/>
      <c r="R125" s="215"/>
      <c r="S125" s="215"/>
      <c r="T125" s="214" t="str">
        <f>IF(ROUND(CF!T15,0)=ROUND(SUM(CF!P15:S15),0),"OK","ERROR")</f>
        <v>OK</v>
      </c>
      <c r="U125" s="207"/>
      <c r="V125" s="215"/>
      <c r="W125" s="215"/>
      <c r="X125" s="215"/>
      <c r="Y125" s="215"/>
      <c r="Z125" s="214" t="str">
        <f>IF(ROUND(CF!Z15,0)=ROUND(SUM(CF!V15:Y15),0),"OK","ERROR")</f>
        <v>OK</v>
      </c>
      <c r="AA125" s="207"/>
      <c r="AB125" s="215"/>
      <c r="AC125" s="215"/>
      <c r="AD125" s="215"/>
      <c r="AE125" s="215"/>
      <c r="AF125" s="214" t="str">
        <f>IF(ROUND(CF!AF15,0)=ROUND(SUM(CF!AB15:AE15),0),"OK","ERROR")</f>
        <v>OK</v>
      </c>
      <c r="AG125" s="209"/>
      <c r="AH125" s="215"/>
      <c r="AI125" s="215"/>
      <c r="AJ125" s="210"/>
      <c r="AK125" s="210"/>
      <c r="AL125" s="214" t="str">
        <f>IF(ROUND(CF!AL15,0)=ROUND(SUM(CF!AH15:AK15),0),"OK","ERROR")</f>
        <v>ERROR</v>
      </c>
      <c r="AM125" s="213"/>
      <c r="AN125" s="210"/>
      <c r="AO125" s="210"/>
      <c r="AP125" s="210"/>
      <c r="AQ125" s="210"/>
      <c r="AR125" s="214" t="str">
        <f>IF(ROUND(CF!AR15,0)=ROUND(SUM(CF!AN15:AQ15),0),"OK","ERROR")</f>
        <v>OK</v>
      </c>
      <c r="AS125" s="213"/>
      <c r="AT125" s="214" t="str">
        <f>IF(ROUND(CF!AT15,0)=ROUND(SUM(CF!AP15:AS15),0),"OK","ERROR")</f>
        <v>OK</v>
      </c>
      <c r="AU125" s="213"/>
      <c r="AV125" s="214" t="str">
        <f>IF(ROUND(CF!AV15,0)=ROUND(SUM(CF!AR15:AU15),0),"OK","ERROR")</f>
        <v>OK</v>
      </c>
      <c r="AW125" s="244"/>
      <c r="AX125" s="214" t="str">
        <f>IF(ROUND(CF!AX15,0)=ROUND(SUM(CF!AT15:AW15),0),"OK","ERROR")</f>
        <v>OK</v>
      </c>
    </row>
    <row r="126" spans="1:50" s="54" customFormat="1" ht="15" customHeight="1">
      <c r="A126" s="43"/>
      <c r="B126" s="153" t="s">
        <v>666</v>
      </c>
      <c r="C126" s="17"/>
      <c r="D126" s="206"/>
      <c r="E126" s="206"/>
      <c r="F126" s="206"/>
      <c r="G126" s="206"/>
      <c r="H126" s="214"/>
      <c r="I126" s="208"/>
      <c r="J126" s="206"/>
      <c r="K126" s="206"/>
      <c r="L126" s="206"/>
      <c r="M126" s="206"/>
      <c r="N126" s="214"/>
      <c r="O126" s="214"/>
      <c r="P126" s="206"/>
      <c r="Q126" s="206"/>
      <c r="R126" s="206"/>
      <c r="S126" s="206"/>
      <c r="T126" s="214"/>
      <c r="U126" s="214"/>
      <c r="V126" s="206"/>
      <c r="W126" s="206"/>
      <c r="X126" s="206"/>
      <c r="Y126" s="206"/>
      <c r="Z126" s="214"/>
      <c r="AA126" s="214"/>
      <c r="AB126" s="206"/>
      <c r="AC126" s="206"/>
      <c r="AD126" s="206"/>
      <c r="AE126" s="206"/>
      <c r="AF126" s="214"/>
      <c r="AG126" s="209"/>
      <c r="AH126" s="206"/>
      <c r="AI126" s="206"/>
      <c r="AJ126" s="210"/>
      <c r="AK126" s="210"/>
      <c r="AL126" s="214"/>
      <c r="AM126" s="213"/>
      <c r="AN126" s="210"/>
      <c r="AO126" s="210"/>
      <c r="AP126" s="210"/>
      <c r="AQ126" s="210"/>
      <c r="AR126" s="214"/>
      <c r="AS126" s="213"/>
      <c r="AT126" s="214"/>
      <c r="AU126" s="213"/>
      <c r="AV126" s="214"/>
      <c r="AW126" s="244"/>
      <c r="AX126" s="214"/>
    </row>
    <row r="127" spans="1:50" s="54" customFormat="1" ht="15" customHeight="1">
      <c r="A127" s="43"/>
      <c r="B127" s="154" t="s">
        <v>596</v>
      </c>
      <c r="C127" s="17"/>
      <c r="D127" s="215"/>
      <c r="E127" s="215"/>
      <c r="F127" s="215"/>
      <c r="G127" s="215"/>
      <c r="H127" s="214" t="str">
        <f>IF(ROUND(CF!H17,0)=ROUND(SUM(CF!D17:G17),0),"OK","ERROR")</f>
        <v>OK</v>
      </c>
      <c r="I127" s="208"/>
      <c r="J127" s="215"/>
      <c r="K127" s="215"/>
      <c r="L127" s="215"/>
      <c r="M127" s="215"/>
      <c r="N127" s="214" t="str">
        <f>IF(ROUND(CF!N17,0)=ROUND(SUM(CF!J17:M17),0),"OK","ERROR")</f>
        <v>OK</v>
      </c>
      <c r="O127" s="207"/>
      <c r="P127" s="215"/>
      <c r="Q127" s="215"/>
      <c r="R127" s="215"/>
      <c r="S127" s="215"/>
      <c r="T127" s="214" t="str">
        <f>IF(ROUND(CF!T17,0)=ROUND(SUM(CF!P17:S17),0),"OK","ERROR")</f>
        <v>OK</v>
      </c>
      <c r="U127" s="207"/>
      <c r="V127" s="215"/>
      <c r="W127" s="215"/>
      <c r="X127" s="215"/>
      <c r="Y127" s="215"/>
      <c r="Z127" s="214" t="str">
        <f>IF(ROUND(CF!Z17,0)=ROUND(SUM(CF!V17:Y17),0),"OK","ERROR")</f>
        <v>OK</v>
      </c>
      <c r="AA127" s="207"/>
      <c r="AB127" s="215"/>
      <c r="AC127" s="215"/>
      <c r="AD127" s="215"/>
      <c r="AE127" s="215"/>
      <c r="AF127" s="214" t="str">
        <f>IF(ROUND(CF!AF17,0)=ROUND(SUM(CF!AB17:AE17),0),"OK","ERROR")</f>
        <v>OK</v>
      </c>
      <c r="AG127" s="209"/>
      <c r="AH127" s="215"/>
      <c r="AI127" s="215"/>
      <c r="AJ127" s="210"/>
      <c r="AK127" s="210"/>
      <c r="AL127" s="214" t="str">
        <f>IF(ROUND(CF!AL17,0)=ROUND(SUM(CF!AH17:AK17),0),"OK","ERROR")</f>
        <v>ERROR</v>
      </c>
      <c r="AM127" s="213"/>
      <c r="AN127" s="210"/>
      <c r="AO127" s="210"/>
      <c r="AP127" s="210"/>
      <c r="AQ127" s="210"/>
      <c r="AR127" s="214" t="str">
        <f>IF(ROUND(CF!AR17,0)=ROUND(SUM(CF!AN17:AQ17),0),"OK","ERROR")</f>
        <v>OK</v>
      </c>
      <c r="AS127" s="213"/>
      <c r="AT127" s="214" t="str">
        <f>IF(ROUND(CF!AT17,0)=ROUND(SUM(CF!AP17:AS17),0),"OK","ERROR")</f>
        <v>OK</v>
      </c>
      <c r="AU127" s="213"/>
      <c r="AV127" s="214" t="str">
        <f>IF(ROUND(CF!AV17,0)=ROUND(SUM(CF!AR17:AU17),0),"OK","ERROR")</f>
        <v>OK</v>
      </c>
      <c r="AW127" s="244"/>
      <c r="AX127" s="214" t="str">
        <f>IF(ROUND(CF!AX17,0)=ROUND(SUM(CF!AT17:AW17),0),"OK","ERROR")</f>
        <v>OK</v>
      </c>
    </row>
    <row r="128" spans="1:50" s="54" customFormat="1" ht="15" customHeight="1">
      <c r="A128" s="43"/>
      <c r="B128" s="154" t="s">
        <v>703</v>
      </c>
      <c r="C128" s="17"/>
      <c r="D128" s="215"/>
      <c r="E128" s="215"/>
      <c r="F128" s="215"/>
      <c r="G128" s="215"/>
      <c r="H128" s="214" t="str">
        <f>IF(ROUND(CF!H18,0)=ROUND(SUM(CF!D18:G18),0),"OK","ERROR")</f>
        <v>OK</v>
      </c>
      <c r="I128" s="208"/>
      <c r="J128" s="215"/>
      <c r="K128" s="215"/>
      <c r="L128" s="215"/>
      <c r="M128" s="215"/>
      <c r="N128" s="214" t="str">
        <f>IF(ROUND(CF!N18,0)=ROUND(SUM(CF!J18:M18),0),"OK","ERROR")</f>
        <v>OK</v>
      </c>
      <c r="O128" s="207"/>
      <c r="P128" s="215"/>
      <c r="Q128" s="215"/>
      <c r="R128" s="215"/>
      <c r="S128" s="215"/>
      <c r="T128" s="214" t="str">
        <f>IF(ROUND(CF!T18,0)=ROUND(SUM(CF!P18:S18),0),"OK","ERROR")</f>
        <v>OK</v>
      </c>
      <c r="U128" s="207"/>
      <c r="V128" s="215"/>
      <c r="W128" s="215"/>
      <c r="X128" s="215"/>
      <c r="Y128" s="215"/>
      <c r="Z128" s="214" t="str">
        <f>IF(ROUND(CF!Z18,0)=ROUND(SUM(CF!V18:Y18),0),"OK","ERROR")</f>
        <v>OK</v>
      </c>
      <c r="AA128" s="207"/>
      <c r="AB128" s="215"/>
      <c r="AC128" s="215"/>
      <c r="AD128" s="215"/>
      <c r="AE128" s="215"/>
      <c r="AF128" s="214" t="str">
        <f>IF(ROUND(CF!AF18,0)=ROUND(SUM(CF!AB18:AE18),0),"OK","ERROR")</f>
        <v>OK</v>
      </c>
      <c r="AG128" s="209"/>
      <c r="AH128" s="215"/>
      <c r="AI128" s="215"/>
      <c r="AJ128" s="210"/>
      <c r="AK128" s="210"/>
      <c r="AL128" s="214" t="str">
        <f>IF(ROUND(CF!AL18,0)=ROUND(SUM(CF!AH18:AK18),0),"OK","ERROR")</f>
        <v>ERROR</v>
      </c>
      <c r="AM128" s="213"/>
      <c r="AN128" s="210"/>
      <c r="AO128" s="210"/>
      <c r="AP128" s="210"/>
      <c r="AQ128" s="210"/>
      <c r="AR128" s="214" t="str">
        <f>IF(ROUND(CF!AR18,0)=ROUND(SUM(CF!AN18:AQ18),0),"OK","ERROR")</f>
        <v>OK</v>
      </c>
      <c r="AS128" s="213"/>
      <c r="AT128" s="214" t="str">
        <f>IF(ROUND(CF!AT18,0)=ROUND(SUM(CF!AP18:AS18),0),"OK","ERROR")</f>
        <v>OK</v>
      </c>
      <c r="AU128" s="213"/>
      <c r="AV128" s="214" t="str">
        <f>IF(ROUND(CF!AV18,0)=ROUND(SUM(CF!AR18:AU18),0),"OK","ERROR")</f>
        <v>OK</v>
      </c>
      <c r="AW128" s="244"/>
      <c r="AX128" s="214" t="str">
        <f>IF(ROUND(CF!AX18,0)=ROUND(SUM(CF!AT18:AW18),0),"OK","ERROR")</f>
        <v>OK</v>
      </c>
    </row>
    <row r="129" spans="1:50" s="54" customFormat="1" ht="15" customHeight="1">
      <c r="A129" s="111"/>
      <c r="B129" s="154" t="s">
        <v>668</v>
      </c>
      <c r="C129" s="113"/>
      <c r="D129" s="215"/>
      <c r="E129" s="215"/>
      <c r="F129" s="215"/>
      <c r="G129" s="215"/>
      <c r="H129" s="214" t="str">
        <f>IF(ROUND(CF!H19,0)=ROUND(SUM(CF!D19:G19),0),"OK","ERROR")</f>
        <v>OK</v>
      </c>
      <c r="I129" s="208"/>
      <c r="J129" s="215"/>
      <c r="K129" s="215"/>
      <c r="L129" s="215"/>
      <c r="M129" s="215"/>
      <c r="N129" s="214" t="str">
        <f>IF(ROUND(CF!N19,0)=ROUND(SUM(CF!J19:M19),0),"OK","ERROR")</f>
        <v>OK</v>
      </c>
      <c r="O129" s="208"/>
      <c r="P129" s="215"/>
      <c r="Q129" s="215"/>
      <c r="R129" s="215"/>
      <c r="S129" s="215"/>
      <c r="T129" s="214" t="str">
        <f>IF(ROUND(CF!T19,0)=ROUND(SUM(CF!P19:S19),0),"OK","ERROR")</f>
        <v>OK</v>
      </c>
      <c r="U129" s="208"/>
      <c r="V129" s="215"/>
      <c r="W129" s="215"/>
      <c r="X129" s="215"/>
      <c r="Y129" s="215"/>
      <c r="Z129" s="214" t="str">
        <f>IF(ROUND(CF!Z19,0)=ROUND(SUM(CF!V19:Y19),0),"OK","ERROR")</f>
        <v>OK</v>
      </c>
      <c r="AA129" s="211"/>
      <c r="AB129" s="215"/>
      <c r="AC129" s="215"/>
      <c r="AD129" s="215"/>
      <c r="AE129" s="215"/>
      <c r="AF129" s="214" t="str">
        <f>IF(ROUND(CF!AF19,0)=ROUND(SUM(CF!AB19:AE19),0),"OK","ERROR")</f>
        <v>OK</v>
      </c>
      <c r="AG129" s="209"/>
      <c r="AH129" s="215"/>
      <c r="AI129" s="215"/>
      <c r="AJ129" s="210"/>
      <c r="AK129" s="210"/>
      <c r="AL129" s="214" t="str">
        <f>IF(ROUND(CF!AL19,0)=ROUND(SUM(CF!AH19:AK19),0),"OK","ERROR")</f>
        <v>OK</v>
      </c>
      <c r="AM129" s="221"/>
      <c r="AN129" s="210"/>
      <c r="AO129" s="210"/>
      <c r="AP129" s="210"/>
      <c r="AQ129" s="210"/>
      <c r="AR129" s="214" t="str">
        <f>IF(ROUND(CF!AR19,0)=ROUND(SUM(CF!AN19:AQ19),0),"OK","ERROR")</f>
        <v>OK</v>
      </c>
      <c r="AS129" s="221"/>
      <c r="AT129" s="214" t="str">
        <f>IF(ROUND(CF!AT19,0)=ROUND(SUM(CF!AP19:AS19),0),"OK","ERROR")</f>
        <v>OK</v>
      </c>
      <c r="AU129" s="221"/>
      <c r="AV129" s="214" t="str">
        <f>IF(ROUND(CF!AV19,0)=ROUND(SUM(CF!AR19:AU19),0),"OK","ERROR")</f>
        <v>OK</v>
      </c>
      <c r="AW129" s="244"/>
      <c r="AX129" s="214" t="str">
        <f>IF(ROUND(CF!AX19,0)=ROUND(SUM(CF!AT19:AW19),0),"OK","ERROR")</f>
        <v>OK</v>
      </c>
    </row>
    <row r="130" spans="1:50" s="54" customFormat="1" ht="15" customHeight="1">
      <c r="A130" s="43"/>
      <c r="B130" s="153" t="s">
        <v>669</v>
      </c>
      <c r="C130" s="17"/>
      <c r="D130" s="206"/>
      <c r="E130" s="206"/>
      <c r="F130" s="206"/>
      <c r="G130" s="206"/>
      <c r="H130" s="218"/>
      <c r="I130" s="208"/>
      <c r="J130" s="206"/>
      <c r="K130" s="206"/>
      <c r="L130" s="206"/>
      <c r="M130" s="206"/>
      <c r="N130" s="218"/>
      <c r="O130" s="208"/>
      <c r="P130" s="206"/>
      <c r="Q130" s="206"/>
      <c r="R130" s="206"/>
      <c r="S130" s="206"/>
      <c r="T130" s="218"/>
      <c r="U130" s="208"/>
      <c r="V130" s="206"/>
      <c r="W130" s="206"/>
      <c r="X130" s="206"/>
      <c r="Y130" s="206"/>
      <c r="Z130" s="218"/>
      <c r="AA130" s="211"/>
      <c r="AB130" s="206"/>
      <c r="AC130" s="206"/>
      <c r="AD130" s="206"/>
      <c r="AE130" s="206"/>
      <c r="AF130" s="218"/>
      <c r="AG130" s="209"/>
      <c r="AH130" s="206"/>
      <c r="AI130" s="206"/>
      <c r="AJ130" s="210"/>
      <c r="AK130" s="210"/>
      <c r="AL130" s="218"/>
      <c r="AM130" s="223"/>
      <c r="AN130" s="210"/>
      <c r="AO130" s="210"/>
      <c r="AP130" s="210"/>
      <c r="AQ130" s="210"/>
      <c r="AR130" s="218"/>
      <c r="AS130" s="223"/>
      <c r="AT130" s="218"/>
      <c r="AU130" s="223"/>
      <c r="AV130" s="218"/>
      <c r="AW130" s="244"/>
      <c r="AX130" s="218"/>
    </row>
    <row r="131" spans="1:50" s="54" customFormat="1" ht="15" customHeight="1">
      <c r="A131" s="111"/>
      <c r="B131" s="154" t="s">
        <v>632</v>
      </c>
      <c r="C131" s="113"/>
      <c r="D131" s="215"/>
      <c r="E131" s="215"/>
      <c r="F131" s="215"/>
      <c r="G131" s="215"/>
      <c r="H131" s="218" t="str">
        <f>IF(ROUND(CF!H21,0)=ROUND(SUM(CF!D21:G21),0),"OK","ERROR")</f>
        <v>OK</v>
      </c>
      <c r="I131" s="208"/>
      <c r="J131" s="215"/>
      <c r="K131" s="215"/>
      <c r="L131" s="215"/>
      <c r="M131" s="215"/>
      <c r="N131" s="218" t="str">
        <f>IF(ROUND(CF!N21,0)=ROUND(SUM(CF!J21:M21),0),"OK","ERROR")</f>
        <v>OK</v>
      </c>
      <c r="O131" s="208"/>
      <c r="P131" s="215"/>
      <c r="Q131" s="215"/>
      <c r="R131" s="215"/>
      <c r="S131" s="215"/>
      <c r="T131" s="218" t="str">
        <f>IF(ROUND(CF!T21,0)=ROUND(SUM(CF!P21:S21),0),"OK","ERROR")</f>
        <v>OK</v>
      </c>
      <c r="U131" s="208"/>
      <c r="V131" s="215"/>
      <c r="W131" s="215"/>
      <c r="X131" s="215"/>
      <c r="Y131" s="215"/>
      <c r="Z131" s="218" t="str">
        <f>IF(ROUND(CF!Z21,0)=ROUND(SUM(CF!V21:Y21),0),"OK","ERROR")</f>
        <v>OK</v>
      </c>
      <c r="AA131" s="211"/>
      <c r="AB131" s="215"/>
      <c r="AC131" s="215"/>
      <c r="AD131" s="215"/>
      <c r="AE131" s="215"/>
      <c r="AF131" s="218" t="str">
        <f>IF(ROUND(CF!AF21,0)=ROUND(SUM(CF!AB21:AE21),0),"OK","ERROR")</f>
        <v>OK</v>
      </c>
      <c r="AG131" s="209"/>
      <c r="AH131" s="215"/>
      <c r="AI131" s="215"/>
      <c r="AJ131" s="210"/>
      <c r="AK131" s="210"/>
      <c r="AL131" s="218" t="str">
        <f>IF(ROUND(CF!AL21,0)=ROUND(SUM(CF!AH21:AK21),0),"OK","ERROR")</f>
        <v>ERROR</v>
      </c>
      <c r="AM131" s="223"/>
      <c r="AN131" s="210"/>
      <c r="AO131" s="210"/>
      <c r="AP131" s="210"/>
      <c r="AQ131" s="210"/>
      <c r="AR131" s="218" t="str">
        <f>IF(ROUND(CF!AR21,0)=ROUND(SUM(CF!AN21:AQ21),0),"OK","ERROR")</f>
        <v>OK</v>
      </c>
      <c r="AS131" s="223"/>
      <c r="AT131" s="218" t="str">
        <f>IF(ROUND(CF!AT21,0)=ROUND(SUM(CF!AP21:AS21),0),"OK","ERROR")</f>
        <v>OK</v>
      </c>
      <c r="AU131" s="223"/>
      <c r="AV131" s="218" t="str">
        <f>IF(ROUND(CF!AV21,0)=ROUND(SUM(CF!AR21:AU21),0),"OK","ERROR")</f>
        <v>OK</v>
      </c>
      <c r="AW131" s="244"/>
      <c r="AX131" s="218" t="str">
        <f>IF(ROUND(CF!AX21,0)=ROUND(SUM(CF!AT21:AW21),0),"OK","ERROR")</f>
        <v>OK</v>
      </c>
    </row>
    <row r="132" spans="1:50" s="54" customFormat="1" ht="15" customHeight="1">
      <c r="A132" s="43"/>
      <c r="B132" s="154" t="s">
        <v>670</v>
      </c>
      <c r="C132" s="17"/>
      <c r="D132" s="215"/>
      <c r="E132" s="215"/>
      <c r="F132" s="215"/>
      <c r="G132" s="215"/>
      <c r="H132" s="218" t="str">
        <f>IF(ROUND(CF!H22,0)=ROUND(SUM(CF!D22:G22),0),"OK","ERROR")</f>
        <v>OK</v>
      </c>
      <c r="I132" s="208"/>
      <c r="J132" s="215"/>
      <c r="K132" s="215"/>
      <c r="L132" s="215"/>
      <c r="M132" s="215"/>
      <c r="N132" s="218" t="str">
        <f>IF(ROUND(CF!N22,0)=ROUND(SUM(CF!J22:M22),0),"OK","ERROR")</f>
        <v>OK</v>
      </c>
      <c r="O132" s="208"/>
      <c r="P132" s="215"/>
      <c r="Q132" s="215"/>
      <c r="R132" s="215"/>
      <c r="S132" s="215"/>
      <c r="T132" s="218" t="str">
        <f>IF(ROUND(CF!T22,0)=ROUND(SUM(CF!P22:S22),0),"OK","ERROR")</f>
        <v>OK</v>
      </c>
      <c r="U132" s="208"/>
      <c r="V132" s="215"/>
      <c r="W132" s="215"/>
      <c r="X132" s="215"/>
      <c r="Y132" s="215"/>
      <c r="Z132" s="218" t="str">
        <f>IF(ROUND(CF!Z22,0)=ROUND(SUM(CF!V22:Y22),0),"OK","ERROR")</f>
        <v>OK</v>
      </c>
      <c r="AA132" s="211"/>
      <c r="AB132" s="215"/>
      <c r="AC132" s="215"/>
      <c r="AD132" s="215"/>
      <c r="AE132" s="215"/>
      <c r="AF132" s="218" t="str">
        <f>IF(ROUND(CF!AF22,0)=ROUND(SUM(CF!AB22:AE22),0),"OK","ERROR")</f>
        <v>OK</v>
      </c>
      <c r="AG132" s="209"/>
      <c r="AH132" s="215"/>
      <c r="AI132" s="215"/>
      <c r="AJ132" s="210"/>
      <c r="AK132" s="210"/>
      <c r="AL132" s="218" t="str">
        <f>IF(ROUND(CF!AL22,0)=ROUND(SUM(CF!AH22:AK22),0),"OK","ERROR")</f>
        <v>OK</v>
      </c>
      <c r="AM132" s="223"/>
      <c r="AN132" s="210"/>
      <c r="AO132" s="210"/>
      <c r="AP132" s="210"/>
      <c r="AQ132" s="210"/>
      <c r="AR132" s="218" t="str">
        <f>IF(ROUND(CF!AR22,0)=ROUND(SUM(CF!AN22:AQ22),0),"OK","ERROR")</f>
        <v>OK</v>
      </c>
      <c r="AS132" s="223"/>
      <c r="AT132" s="218" t="str">
        <f>IF(ROUND(CF!AT22,0)=ROUND(SUM(CF!AP22:AS22),0),"OK","ERROR")</f>
        <v>OK</v>
      </c>
      <c r="AU132" s="223"/>
      <c r="AV132" s="218" t="str">
        <f>IF(ROUND(CF!AV22,0)=ROUND(SUM(CF!AR22:AU22),0),"OK","ERROR")</f>
        <v>OK</v>
      </c>
      <c r="AW132" s="244"/>
      <c r="AX132" s="218" t="str">
        <f>IF(ROUND(CF!AX22,0)=ROUND(SUM(CF!AT22:AW22),0),"OK","ERROR")</f>
        <v>OK</v>
      </c>
    </row>
    <row r="133" spans="1:50" s="54" customFormat="1" ht="15" customHeight="1">
      <c r="A133" s="111"/>
      <c r="B133" s="154" t="s">
        <v>645</v>
      </c>
      <c r="C133" s="113"/>
      <c r="D133" s="215"/>
      <c r="E133" s="215"/>
      <c r="F133" s="215"/>
      <c r="G133" s="215"/>
      <c r="H133" s="218" t="str">
        <f>IF(ROUND(CF!H23,0)=ROUND(SUM(CF!D23:G23),0),"OK","ERROR")</f>
        <v>OK</v>
      </c>
      <c r="I133" s="208"/>
      <c r="J133" s="215"/>
      <c r="K133" s="215"/>
      <c r="L133" s="215"/>
      <c r="M133" s="215"/>
      <c r="N133" s="218" t="str">
        <f>IF(ROUND(CF!N23,0)=ROUND(SUM(CF!J23:M23),0),"OK","ERROR")</f>
        <v>OK</v>
      </c>
      <c r="O133" s="208"/>
      <c r="P133" s="215"/>
      <c r="Q133" s="215"/>
      <c r="R133" s="215"/>
      <c r="S133" s="215"/>
      <c r="T133" s="218" t="str">
        <f>IF(ROUND(CF!T23,0)=ROUND(SUM(CF!P23:S23),0),"OK","ERROR")</f>
        <v>OK</v>
      </c>
      <c r="U133" s="208"/>
      <c r="V133" s="215"/>
      <c r="W133" s="215"/>
      <c r="X133" s="215"/>
      <c r="Y133" s="215"/>
      <c r="Z133" s="218" t="str">
        <f>IF(ROUND(CF!Z23,0)=ROUND(SUM(CF!V23:Y23),0),"OK","ERROR")</f>
        <v>OK</v>
      </c>
      <c r="AA133" s="211"/>
      <c r="AB133" s="215"/>
      <c r="AC133" s="215"/>
      <c r="AD133" s="215"/>
      <c r="AE133" s="215"/>
      <c r="AF133" s="218" t="str">
        <f>IF(ROUND(CF!AF23,0)=ROUND(SUM(CF!AB23:AE23),0),"OK","ERROR")</f>
        <v>OK</v>
      </c>
      <c r="AG133" s="209"/>
      <c r="AH133" s="215"/>
      <c r="AI133" s="215"/>
      <c r="AJ133" s="210"/>
      <c r="AK133" s="210"/>
      <c r="AL133" s="218" t="str">
        <f>IF(ROUND(CF!AL23,0)=ROUND(SUM(CF!AH23:AK23),0),"OK","ERROR")</f>
        <v>OK</v>
      </c>
      <c r="AM133" s="223"/>
      <c r="AN133" s="210"/>
      <c r="AO133" s="210"/>
      <c r="AP133" s="210"/>
      <c r="AQ133" s="210"/>
      <c r="AR133" s="218" t="str">
        <f>IF(ROUND(CF!AR23,0)=ROUND(SUM(CF!AN23:AQ23),0),"OK","ERROR")</f>
        <v>OK</v>
      </c>
      <c r="AS133" s="223"/>
      <c r="AT133" s="218" t="str">
        <f>IF(ROUND(CF!AT23,0)=ROUND(SUM(CF!AP23:AS23),0),"OK","ERROR")</f>
        <v>OK</v>
      </c>
      <c r="AU133" s="223"/>
      <c r="AV133" s="218" t="str">
        <f>IF(ROUND(CF!AV23,0)=ROUND(SUM(CF!AR23:AU23),0),"OK","ERROR")</f>
        <v>OK</v>
      </c>
      <c r="AW133" s="244"/>
      <c r="AX133" s="218" t="str">
        <f>IF(ROUND(CF!AX23,0)=ROUND(SUM(CF!AT23:AW23),0),"OK","ERROR")</f>
        <v>OK</v>
      </c>
    </row>
    <row r="134" spans="1:50" s="54" customFormat="1" ht="15" customHeight="1">
      <c r="A134" s="111"/>
      <c r="B134" s="154" t="s">
        <v>668</v>
      </c>
      <c r="C134" s="113"/>
      <c r="D134" s="215"/>
      <c r="E134" s="215"/>
      <c r="F134" s="215"/>
      <c r="G134" s="215"/>
      <c r="H134" s="224" t="str">
        <f>IF(ROUND(CF!H24,0)=ROUND(SUM(CF!D24:G24),0),"OK","ERROR")</f>
        <v>OK</v>
      </c>
      <c r="I134" s="208"/>
      <c r="J134" s="215"/>
      <c r="K134" s="215"/>
      <c r="L134" s="215"/>
      <c r="M134" s="215"/>
      <c r="N134" s="224" t="str">
        <f>IF(ROUND(CF!N24,0)=ROUND(SUM(CF!J24:M24),0),"OK","ERROR")</f>
        <v>OK</v>
      </c>
      <c r="O134" s="208"/>
      <c r="P134" s="215"/>
      <c r="Q134" s="215"/>
      <c r="R134" s="215"/>
      <c r="S134" s="215"/>
      <c r="T134" s="224" t="str">
        <f>IF(ROUND(CF!T24,0)=ROUND(SUM(CF!P24:S24),0),"OK","ERROR")</f>
        <v>OK</v>
      </c>
      <c r="U134" s="208"/>
      <c r="V134" s="215"/>
      <c r="W134" s="215"/>
      <c r="X134" s="215"/>
      <c r="Y134" s="215"/>
      <c r="Z134" s="224" t="str">
        <f>IF(ROUND(CF!Z24,0)=ROUND(SUM(CF!V24:Y24),0),"OK","ERROR")</f>
        <v>OK</v>
      </c>
      <c r="AA134" s="226"/>
      <c r="AB134" s="215"/>
      <c r="AC134" s="215"/>
      <c r="AD134" s="215"/>
      <c r="AE134" s="215"/>
      <c r="AF134" s="224" t="str">
        <f>IF(ROUND(CF!AF24,0)=ROUND(SUM(CF!AB24:AE24),0),"OK","ERROR")</f>
        <v>OK</v>
      </c>
      <c r="AG134" s="227"/>
      <c r="AH134" s="215"/>
      <c r="AI134" s="215"/>
      <c r="AJ134" s="210"/>
      <c r="AK134" s="210"/>
      <c r="AL134" s="224" t="str">
        <f>IF(ROUND(CF!AL24,0)=ROUND(SUM(CF!AH24:AK24),0),"OK","ERROR")</f>
        <v>OK</v>
      </c>
      <c r="AM134" s="228"/>
      <c r="AN134" s="210"/>
      <c r="AO134" s="210"/>
      <c r="AP134" s="210"/>
      <c r="AQ134" s="210"/>
      <c r="AR134" s="224" t="str">
        <f>IF(ROUND(CF!AR24,0)=ROUND(SUM(CF!AN24:AQ24),0),"OK","ERROR")</f>
        <v>OK</v>
      </c>
      <c r="AS134" s="228"/>
      <c r="AT134" s="224" t="str">
        <f>IF(ROUND(CF!AT24,0)=ROUND(SUM(CF!AP24:AS24),0),"OK","ERROR")</f>
        <v>OK</v>
      </c>
      <c r="AU134" s="228"/>
      <c r="AV134" s="224" t="str">
        <f>IF(ROUND(CF!AV24,0)=ROUND(SUM(CF!AR24:AU24),0),"OK","ERROR")</f>
        <v>OK</v>
      </c>
      <c r="AW134" s="244"/>
      <c r="AX134" s="224" t="str">
        <f>IF(ROUND(CF!AX24,0)=ROUND(SUM(CF!AT24:AW24),0),"OK","ERROR")</f>
        <v>OK</v>
      </c>
    </row>
    <row r="135" spans="1:50" s="54" customFormat="1" ht="15" customHeight="1" thickBot="1">
      <c r="A135" s="84"/>
      <c r="B135" s="155" t="s">
        <v>671</v>
      </c>
      <c r="C135" s="26"/>
      <c r="D135" s="215"/>
      <c r="E135" s="215"/>
      <c r="F135" s="215"/>
      <c r="G135" s="215"/>
      <c r="H135" s="235" t="str">
        <f>IF(ROUND(CF!H25,0)=ROUND(SUM(CF!D25:G25),0),"OK","ERROR")</f>
        <v>OK</v>
      </c>
      <c r="I135" s="208"/>
      <c r="J135" s="215"/>
      <c r="K135" s="215"/>
      <c r="L135" s="215"/>
      <c r="M135" s="215"/>
      <c r="N135" s="235" t="str">
        <f>IF(ROUND(CF!N25,0)=ROUND(SUM(CF!J25:M25),0),"OK","ERROR")</f>
        <v>OK</v>
      </c>
      <c r="O135" s="208"/>
      <c r="P135" s="215"/>
      <c r="Q135" s="215"/>
      <c r="R135" s="215"/>
      <c r="S135" s="215"/>
      <c r="T135" s="235" t="str">
        <f>IF(ROUND(CF!T25,0)=ROUND(SUM(CF!P25:S25),0),"OK","ERROR")</f>
        <v>OK</v>
      </c>
      <c r="U135" s="208"/>
      <c r="V135" s="215"/>
      <c r="W135" s="215"/>
      <c r="X135" s="215"/>
      <c r="Y135" s="215"/>
      <c r="Z135" s="235" t="str">
        <f>IF(ROUND(CF!Z25,0)=ROUND(SUM(CF!V25:Y25),0),"OK","ERROR")</f>
        <v>OK</v>
      </c>
      <c r="AA135" s="226"/>
      <c r="AB135" s="215"/>
      <c r="AC135" s="215"/>
      <c r="AD135" s="215"/>
      <c r="AE135" s="215"/>
      <c r="AF135" s="235" t="str">
        <f>IF(ROUND(CF!AF25,0)=ROUND(SUM(CF!AB25:AE25),0),"OK","ERROR")</f>
        <v>OK</v>
      </c>
      <c r="AG135" s="227"/>
      <c r="AH135" s="215"/>
      <c r="AI135" s="215"/>
      <c r="AJ135" s="210"/>
      <c r="AK135" s="210"/>
      <c r="AL135" s="235" t="str">
        <f>IF(ROUND(CF!AL25,0)=ROUND(SUM(CF!AH25:AK25),0),"OK","ERROR")</f>
        <v>ERROR</v>
      </c>
      <c r="AM135" s="228"/>
      <c r="AN135" s="210"/>
      <c r="AO135" s="210"/>
      <c r="AP135" s="210"/>
      <c r="AQ135" s="210"/>
      <c r="AR135" s="235" t="str">
        <f>IF(ROUND(CF!AR25,0)=ROUND(SUM(CF!AN25:AQ25),0),"OK","ERROR")</f>
        <v>OK</v>
      </c>
      <c r="AS135" s="228"/>
      <c r="AT135" s="235" t="str">
        <f>IF(ROUND(CF!AT25,0)=ROUND(SUM(CF!AP25:AS25),0),"OK","ERROR")</f>
        <v>OK</v>
      </c>
      <c r="AU135" s="228"/>
      <c r="AV135" s="235" t="str">
        <f>IF(ROUND(CF!AV25,0)=ROUND(SUM(CF!AR25:AU25),0),"OK","ERROR")</f>
        <v>OK</v>
      </c>
      <c r="AW135" s="244"/>
      <c r="AX135" s="235" t="str">
        <f>IF(ROUND(CF!AX25,0)=ROUND(SUM(CF!AT25:AW25),0),"OK","ERROR")</f>
        <v>OK</v>
      </c>
    </row>
    <row r="136" spans="1:50" s="54" customFormat="1" ht="15" customHeight="1" thickTop="1">
      <c r="A136" s="43"/>
      <c r="B136" s="152"/>
      <c r="C136" s="17"/>
      <c r="D136" s="206"/>
      <c r="E136" s="206"/>
      <c r="F136" s="206"/>
      <c r="G136" s="206"/>
      <c r="H136" s="218"/>
      <c r="I136" s="208"/>
      <c r="J136" s="206"/>
      <c r="K136" s="206"/>
      <c r="L136" s="206"/>
      <c r="M136" s="206"/>
      <c r="N136" s="218"/>
      <c r="O136" s="208"/>
      <c r="P136" s="206"/>
      <c r="Q136" s="206"/>
      <c r="R136" s="206"/>
      <c r="S136" s="206"/>
      <c r="T136" s="218"/>
      <c r="U136" s="208"/>
      <c r="V136" s="206"/>
      <c r="W136" s="206"/>
      <c r="X136" s="206"/>
      <c r="Y136" s="206"/>
      <c r="Z136" s="218"/>
      <c r="AA136" s="211"/>
      <c r="AB136" s="206"/>
      <c r="AC136" s="206"/>
      <c r="AD136" s="206"/>
      <c r="AE136" s="206"/>
      <c r="AF136" s="218"/>
      <c r="AG136" s="209"/>
      <c r="AH136" s="206"/>
      <c r="AI136" s="206"/>
      <c r="AJ136" s="210"/>
      <c r="AK136" s="210"/>
      <c r="AL136" s="218"/>
      <c r="AM136" s="223"/>
      <c r="AN136" s="210"/>
      <c r="AO136" s="210"/>
      <c r="AP136" s="210"/>
      <c r="AQ136" s="210"/>
      <c r="AR136" s="218"/>
      <c r="AS136" s="223"/>
      <c r="AT136" s="218"/>
      <c r="AU136" s="223"/>
      <c r="AV136" s="218"/>
      <c r="AW136" s="244"/>
      <c r="AX136" s="218"/>
    </row>
    <row r="137" spans="1:50" s="54" customFormat="1" ht="15" customHeight="1">
      <c r="A137" s="44" t="s">
        <v>39</v>
      </c>
      <c r="B137" s="156" t="s">
        <v>672</v>
      </c>
      <c r="C137" s="113"/>
      <c r="D137" s="206"/>
      <c r="E137" s="206"/>
      <c r="F137" s="206"/>
      <c r="G137" s="206"/>
      <c r="H137" s="218"/>
      <c r="I137" s="208"/>
      <c r="J137" s="206"/>
      <c r="K137" s="206"/>
      <c r="L137" s="206"/>
      <c r="M137" s="206"/>
      <c r="N137" s="218"/>
      <c r="O137" s="208"/>
      <c r="P137" s="206"/>
      <c r="Q137" s="206"/>
      <c r="R137" s="206"/>
      <c r="S137" s="206"/>
      <c r="T137" s="218"/>
      <c r="U137" s="208"/>
      <c r="V137" s="206"/>
      <c r="W137" s="206"/>
      <c r="X137" s="206"/>
      <c r="Y137" s="206"/>
      <c r="Z137" s="218"/>
      <c r="AA137" s="226"/>
      <c r="AB137" s="206"/>
      <c r="AC137" s="206"/>
      <c r="AD137" s="206"/>
      <c r="AE137" s="206"/>
      <c r="AF137" s="218"/>
      <c r="AG137" s="227"/>
      <c r="AH137" s="206"/>
      <c r="AI137" s="206"/>
      <c r="AJ137" s="210"/>
      <c r="AK137" s="210"/>
      <c r="AL137" s="218"/>
      <c r="AM137" s="228"/>
      <c r="AN137" s="210"/>
      <c r="AO137" s="210"/>
      <c r="AP137" s="210"/>
      <c r="AQ137" s="210"/>
      <c r="AR137" s="218"/>
      <c r="AS137" s="228"/>
      <c r="AT137" s="218"/>
      <c r="AU137" s="228"/>
      <c r="AV137" s="218"/>
      <c r="AW137" s="244"/>
      <c r="AX137" s="218"/>
    </row>
    <row r="138" spans="1:50" s="54" customFormat="1" ht="15" customHeight="1">
      <c r="A138" s="43"/>
      <c r="B138" s="157" t="s">
        <v>673</v>
      </c>
      <c r="C138" s="17"/>
      <c r="D138" s="215"/>
      <c r="E138" s="215"/>
      <c r="F138" s="215"/>
      <c r="G138" s="215"/>
      <c r="H138" s="218" t="str">
        <f>IF(ROUND(CF!H28,0)=ROUND(SUM(CF!D28:G28),0),"OK","ERROR")</f>
        <v>OK</v>
      </c>
      <c r="I138" s="208"/>
      <c r="J138" s="215"/>
      <c r="K138" s="215"/>
      <c r="L138" s="215"/>
      <c r="M138" s="215"/>
      <c r="N138" s="218" t="str">
        <f>IF(ROUND(CF!N28,0)=ROUND(SUM(CF!J28:M28),0),"OK","ERROR")</f>
        <v>OK</v>
      </c>
      <c r="O138" s="208"/>
      <c r="P138" s="215"/>
      <c r="Q138" s="215"/>
      <c r="R138" s="215"/>
      <c r="S138" s="215"/>
      <c r="T138" s="218" t="str">
        <f>IF(ROUND(CF!T28,0)=ROUND(SUM(CF!P28:S28),0),"OK","ERROR")</f>
        <v>OK</v>
      </c>
      <c r="U138" s="208"/>
      <c r="V138" s="215"/>
      <c r="W138" s="215"/>
      <c r="X138" s="215"/>
      <c r="Y138" s="215"/>
      <c r="Z138" s="218" t="str">
        <f>IF(ROUND(CF!Z28,0)=ROUND(SUM(CF!V28:Y28),0),"OK","ERROR")</f>
        <v>OK</v>
      </c>
      <c r="AA138" s="211"/>
      <c r="AB138" s="215"/>
      <c r="AC138" s="215"/>
      <c r="AD138" s="215"/>
      <c r="AE138" s="215"/>
      <c r="AF138" s="218" t="str">
        <f>IF(ROUND(CF!AF28,0)=ROUND(SUM(CF!AB28:AE28),0),"OK","ERROR")</f>
        <v>OK</v>
      </c>
      <c r="AG138" s="209"/>
      <c r="AH138" s="215"/>
      <c r="AI138" s="215"/>
      <c r="AJ138" s="210"/>
      <c r="AK138" s="210"/>
      <c r="AL138" s="218" t="str">
        <f>IF(ROUND(CF!AL28,0)=ROUND(SUM(CF!AH28:AK28),0),"OK","ERROR")</f>
        <v>ERROR</v>
      </c>
      <c r="AM138" s="223"/>
      <c r="AN138" s="210"/>
      <c r="AO138" s="210"/>
      <c r="AP138" s="210"/>
      <c r="AQ138" s="210"/>
      <c r="AR138" s="218" t="str">
        <f>IF(ROUND(CF!AR28,0)=ROUND(SUM(CF!AN28:AQ28),0),"OK","ERROR")</f>
        <v>OK</v>
      </c>
      <c r="AS138" s="223"/>
      <c r="AT138" s="218" t="str">
        <f>IF(ROUND(CF!AT28,0)=ROUND(SUM(CF!AP28:AS28),0),"OK","ERROR")</f>
        <v>OK</v>
      </c>
      <c r="AU138" s="223"/>
      <c r="AV138" s="218" t="str">
        <f>IF(ROUND(CF!AV28,0)=ROUND(SUM(CF!AR28:AU28),0),"OK","ERROR")</f>
        <v>OK</v>
      </c>
      <c r="AW138" s="244"/>
      <c r="AX138" s="218" t="str">
        <f>IF(ROUND(CF!AX28,0)=ROUND(SUM(CF!AT28:AW28),0),"OK","ERROR")</f>
        <v>OK</v>
      </c>
    </row>
    <row r="139" spans="1:50" s="54" customFormat="1" ht="15" customHeight="1">
      <c r="A139" s="111"/>
      <c r="B139" s="157" t="s">
        <v>674</v>
      </c>
      <c r="C139" s="113"/>
      <c r="D139" s="215"/>
      <c r="E139" s="215"/>
      <c r="F139" s="215"/>
      <c r="G139" s="215"/>
      <c r="H139" s="218" t="str">
        <f>IF(ROUND(CF!H29,0)=ROUND(SUM(CF!D29:G29),0),"OK","ERROR")</f>
        <v>OK</v>
      </c>
      <c r="I139" s="208"/>
      <c r="J139" s="215"/>
      <c r="K139" s="215"/>
      <c r="L139" s="215"/>
      <c r="M139" s="215"/>
      <c r="N139" s="218" t="str">
        <f>IF(ROUND(CF!N29,0)=ROUND(SUM(CF!J29:M29),0),"OK","ERROR")</f>
        <v>OK</v>
      </c>
      <c r="O139" s="208"/>
      <c r="P139" s="215"/>
      <c r="Q139" s="215"/>
      <c r="R139" s="215"/>
      <c r="S139" s="215"/>
      <c r="T139" s="218" t="str">
        <f>IF(ROUND(CF!T29,0)=ROUND(SUM(CF!P29:S29),0),"OK","ERROR")</f>
        <v>OK</v>
      </c>
      <c r="U139" s="208"/>
      <c r="V139" s="215"/>
      <c r="W139" s="215"/>
      <c r="X139" s="215"/>
      <c r="Y139" s="215"/>
      <c r="Z139" s="218" t="str">
        <f>IF(ROUND(CF!Z29,0)=ROUND(SUM(CF!V29:Y29),0),"OK","ERROR")</f>
        <v>OK</v>
      </c>
      <c r="AA139" s="226"/>
      <c r="AB139" s="215"/>
      <c r="AC139" s="215"/>
      <c r="AD139" s="215"/>
      <c r="AE139" s="215"/>
      <c r="AF139" s="218" t="str">
        <f>IF(ROUND(CF!AF29,0)=ROUND(SUM(CF!AB29:AE29),0),"OK","ERROR")</f>
        <v>OK</v>
      </c>
      <c r="AG139" s="227"/>
      <c r="AH139" s="215"/>
      <c r="AI139" s="215"/>
      <c r="AJ139" s="210"/>
      <c r="AK139" s="210"/>
      <c r="AL139" s="218" t="str">
        <f>IF(ROUND(CF!AL29,0)=ROUND(SUM(CF!AH29:AK29),0),"OK","ERROR")</f>
        <v>OK</v>
      </c>
      <c r="AM139" s="228"/>
      <c r="AN139" s="210"/>
      <c r="AO139" s="210"/>
      <c r="AP139" s="210"/>
      <c r="AQ139" s="210"/>
      <c r="AR139" s="218" t="str">
        <f>IF(ROUND(CF!AR29,0)=ROUND(SUM(CF!AN29:AQ29),0),"OK","ERROR")</f>
        <v>OK</v>
      </c>
      <c r="AS139" s="228"/>
      <c r="AT139" s="218" t="str">
        <f>IF(ROUND(CF!AT29,0)=ROUND(SUM(CF!AP29:AS29),0),"OK","ERROR")</f>
        <v>OK</v>
      </c>
      <c r="AU139" s="228"/>
      <c r="AV139" s="218" t="str">
        <f>IF(ROUND(CF!AV29,0)=ROUND(SUM(CF!AR29:AU29),0),"OK","ERROR")</f>
        <v>OK</v>
      </c>
      <c r="AW139" s="244"/>
      <c r="AX139" s="218" t="str">
        <f>IF(ROUND(CF!AX29,0)=ROUND(SUM(CF!AT29:AW29),0),"OK","ERROR")</f>
        <v>OK</v>
      </c>
    </row>
    <row r="140" spans="1:50" s="54" customFormat="1" ht="15" customHeight="1">
      <c r="A140" s="43"/>
      <c r="B140" s="157" t="s">
        <v>675</v>
      </c>
      <c r="C140" s="17"/>
      <c r="D140" s="215"/>
      <c r="E140" s="215"/>
      <c r="F140" s="215"/>
      <c r="G140" s="215"/>
      <c r="H140" s="218" t="str">
        <f>IF(ROUND(CF!H30,0)=ROUND(SUM(CF!D30:G30),0),"OK","ERROR")</f>
        <v>OK</v>
      </c>
      <c r="I140" s="208"/>
      <c r="J140" s="215"/>
      <c r="K140" s="215"/>
      <c r="L140" s="215"/>
      <c r="M140" s="215"/>
      <c r="N140" s="218" t="str">
        <f>IF(ROUND(CF!N30,0)=ROUND(SUM(CF!J30:M30),0),"OK","ERROR")</f>
        <v>OK</v>
      </c>
      <c r="O140" s="208"/>
      <c r="P140" s="215"/>
      <c r="Q140" s="215"/>
      <c r="R140" s="215"/>
      <c r="S140" s="215"/>
      <c r="T140" s="218" t="str">
        <f>IF(ROUND(CF!T30,0)=ROUND(SUM(CF!P30:S30),0),"OK","ERROR")</f>
        <v>OK</v>
      </c>
      <c r="U140" s="208"/>
      <c r="V140" s="215"/>
      <c r="W140" s="215"/>
      <c r="X140" s="215"/>
      <c r="Y140" s="215"/>
      <c r="Z140" s="218" t="str">
        <f>IF(ROUND(CF!Z30,0)=ROUND(SUM(CF!V30:Y30),0),"OK","ERROR")</f>
        <v>OK</v>
      </c>
      <c r="AA140" s="211"/>
      <c r="AB140" s="215"/>
      <c r="AC140" s="215"/>
      <c r="AD140" s="215"/>
      <c r="AE140" s="215"/>
      <c r="AF140" s="218" t="str">
        <f>IF(ROUND(CF!AF30,0)=ROUND(SUM(CF!AB30:AE30),0),"OK","ERROR")</f>
        <v>OK</v>
      </c>
      <c r="AG140" s="209"/>
      <c r="AH140" s="215"/>
      <c r="AI140" s="215"/>
      <c r="AJ140" s="210"/>
      <c r="AK140" s="210"/>
      <c r="AL140" s="218" t="str">
        <f>IF(ROUND(CF!AL30,0)=ROUND(SUM(CF!AH30:AK30),0),"OK","ERROR")</f>
        <v>OK</v>
      </c>
      <c r="AM140" s="223"/>
      <c r="AN140" s="210"/>
      <c r="AO140" s="210"/>
      <c r="AP140" s="210"/>
      <c r="AQ140" s="210"/>
      <c r="AR140" s="218" t="str">
        <f>IF(ROUND(CF!AR30,0)=ROUND(SUM(CF!AN30:AQ30),0),"OK","ERROR")</f>
        <v>OK</v>
      </c>
      <c r="AS140" s="223"/>
      <c r="AT140" s="218" t="str">
        <f>IF(ROUND(CF!AT30,0)=ROUND(SUM(CF!AP30:AS30),0),"OK","ERROR")</f>
        <v>OK</v>
      </c>
      <c r="AU140" s="223"/>
      <c r="AV140" s="218" t="str">
        <f>IF(ROUND(CF!AV30,0)=ROUND(SUM(CF!AR30:AU30),0),"OK","ERROR")</f>
        <v>OK</v>
      </c>
      <c r="AW140" s="244"/>
      <c r="AX140" s="218" t="str">
        <f>IF(ROUND(CF!AX30,0)=ROUND(SUM(CF!AT30:AW30),0),"OK","ERROR")</f>
        <v>OK</v>
      </c>
    </row>
    <row r="141" spans="1:50" s="54" customFormat="1" ht="15" customHeight="1">
      <c r="A141" s="111"/>
      <c r="B141" s="157" t="s">
        <v>676</v>
      </c>
      <c r="C141" s="113"/>
      <c r="D141" s="215"/>
      <c r="E141" s="215"/>
      <c r="F141" s="215"/>
      <c r="G141" s="215"/>
      <c r="H141" s="218" t="str">
        <f>IF(ROUND(CF!H31,0)=ROUND(SUM(CF!D31:G31),0),"OK","ERROR")</f>
        <v>OK</v>
      </c>
      <c r="I141" s="208"/>
      <c r="J141" s="215"/>
      <c r="K141" s="215"/>
      <c r="L141" s="215"/>
      <c r="M141" s="215"/>
      <c r="N141" s="218" t="str">
        <f>IF(ROUND(CF!N31,0)=ROUND(SUM(CF!J31:M31),0),"OK","ERROR")</f>
        <v>OK</v>
      </c>
      <c r="O141" s="208"/>
      <c r="P141" s="215"/>
      <c r="Q141" s="215"/>
      <c r="R141" s="215"/>
      <c r="S141" s="215"/>
      <c r="T141" s="218" t="str">
        <f>IF(ROUND(CF!T31,0)=ROUND(SUM(CF!P31:S31),0),"OK","ERROR")</f>
        <v>OK</v>
      </c>
      <c r="U141" s="208"/>
      <c r="V141" s="215"/>
      <c r="W141" s="215"/>
      <c r="X141" s="215"/>
      <c r="Y141" s="215"/>
      <c r="Z141" s="218" t="str">
        <f>IF(ROUND(CF!Z31,0)=ROUND(SUM(CF!V31:Y31),0),"OK","ERROR")</f>
        <v>OK</v>
      </c>
      <c r="AA141" s="226"/>
      <c r="AB141" s="215"/>
      <c r="AC141" s="215"/>
      <c r="AD141" s="215"/>
      <c r="AE141" s="215"/>
      <c r="AF141" s="218" t="str">
        <f>IF(ROUND(CF!AF31,0)=ROUND(SUM(CF!AB31:AE31),0),"OK","ERROR")</f>
        <v>OK</v>
      </c>
      <c r="AG141" s="227"/>
      <c r="AH141" s="215"/>
      <c r="AI141" s="215"/>
      <c r="AJ141" s="210"/>
      <c r="AK141" s="210"/>
      <c r="AL141" s="218" t="str">
        <f>IF(ROUND(CF!AL31,0)=ROUND(SUM(CF!AH31:AK31),0),"OK","ERROR")</f>
        <v>OK</v>
      </c>
      <c r="AM141" s="232"/>
      <c r="AN141" s="210"/>
      <c r="AO141" s="210"/>
      <c r="AP141" s="210"/>
      <c r="AQ141" s="210"/>
      <c r="AR141" s="218" t="str">
        <f>IF(ROUND(CF!AR31,0)=ROUND(SUM(CF!AN31:AQ31),0),"OK","ERROR")</f>
        <v>OK</v>
      </c>
      <c r="AS141" s="232"/>
      <c r="AT141" s="218" t="str">
        <f>IF(ROUND(CF!AT31,0)=ROUND(SUM(CF!AP31:AS31),0),"OK","ERROR")</f>
        <v>OK</v>
      </c>
      <c r="AU141" s="232"/>
      <c r="AV141" s="218" t="str">
        <f>IF(ROUND(CF!AV31,0)=ROUND(SUM(CF!AR31:AU31),0),"OK","ERROR")</f>
        <v>OK</v>
      </c>
      <c r="AW141" s="244"/>
      <c r="AX141" s="218" t="str">
        <f>IF(ROUND(CF!AX31,0)=ROUND(SUM(CF!AT31:AW31),0),"OK","ERROR")</f>
        <v>OK</v>
      </c>
    </row>
    <row r="142" spans="1:50" s="54" customFormat="1" ht="15" customHeight="1">
      <c r="A142" s="111"/>
      <c r="B142" s="157" t="s">
        <v>677</v>
      </c>
      <c r="C142" s="113"/>
      <c r="D142" s="215"/>
      <c r="E142" s="215"/>
      <c r="F142" s="215"/>
      <c r="G142" s="215"/>
      <c r="H142" s="218" t="str">
        <f>IF(ROUND(CF!H32,0)=ROUND(SUM(CF!D32:G32),0),"OK","ERROR")</f>
        <v>OK</v>
      </c>
      <c r="I142" s="208"/>
      <c r="J142" s="215"/>
      <c r="K142" s="215"/>
      <c r="L142" s="215"/>
      <c r="M142" s="215"/>
      <c r="N142" s="218" t="str">
        <f>IF(ROUND(CF!N32,0)=ROUND(SUM(CF!J32:M32),0),"OK","ERROR")</f>
        <v>OK</v>
      </c>
      <c r="O142" s="208"/>
      <c r="P142" s="215"/>
      <c r="Q142" s="215"/>
      <c r="R142" s="215"/>
      <c r="S142" s="215"/>
      <c r="T142" s="218" t="str">
        <f>IF(ROUND(CF!T32,0)=ROUND(SUM(CF!P32:S32),0),"OK","ERROR")</f>
        <v>OK</v>
      </c>
      <c r="U142" s="208"/>
      <c r="V142" s="215"/>
      <c r="W142" s="215"/>
      <c r="X142" s="215"/>
      <c r="Y142" s="215"/>
      <c r="Z142" s="218" t="str">
        <f>IF(ROUND(CF!Z32,0)=ROUND(SUM(CF!V32:Y32),0),"OK","ERROR")</f>
        <v>OK</v>
      </c>
      <c r="AA142" s="226"/>
      <c r="AB142" s="215"/>
      <c r="AC142" s="215"/>
      <c r="AD142" s="215"/>
      <c r="AE142" s="215"/>
      <c r="AF142" s="218" t="str">
        <f>IF(ROUND(CF!AF32,0)=ROUND(SUM(CF!AB32:AE32),0),"OK","ERROR")</f>
        <v>OK</v>
      </c>
      <c r="AG142" s="227"/>
      <c r="AH142" s="215"/>
      <c r="AI142" s="215"/>
      <c r="AJ142" s="210"/>
      <c r="AK142" s="210"/>
      <c r="AL142" s="218" t="str">
        <f>IF(ROUND(CF!AL32,0)=ROUND(SUM(CF!AH32:AK32),0),"OK","ERROR")</f>
        <v>OK</v>
      </c>
      <c r="AM142" s="232"/>
      <c r="AN142" s="210"/>
      <c r="AO142" s="210"/>
      <c r="AP142" s="210"/>
      <c r="AQ142" s="210"/>
      <c r="AR142" s="218" t="str">
        <f>IF(ROUND(CF!AR32,0)=ROUND(SUM(CF!AN32:AQ32),0),"OK","ERROR")</f>
        <v>OK</v>
      </c>
      <c r="AS142" s="232"/>
      <c r="AT142" s="218" t="str">
        <f>IF(ROUND(CF!AT32,0)=ROUND(SUM(CF!AP32:AS32),0),"OK","ERROR")</f>
        <v>OK</v>
      </c>
      <c r="AU142" s="232"/>
      <c r="AV142" s="218" t="str">
        <f>IF(ROUND(CF!AV32,0)=ROUND(SUM(CF!AR32:AU32),0),"OK","ERROR")</f>
        <v>OK</v>
      </c>
      <c r="AW142" s="244"/>
      <c r="AX142" s="218" t="str">
        <f>IF(ROUND(CF!AX32,0)=ROUND(SUM(CF!AT32:AW32),0),"OK","ERROR")</f>
        <v>OK</v>
      </c>
    </row>
    <row r="143" spans="1:50" s="54" customFormat="1" ht="15" customHeight="1">
      <c r="A143" s="111"/>
      <c r="B143" s="157" t="s">
        <v>678</v>
      </c>
      <c r="C143" s="17"/>
      <c r="D143" s="215"/>
      <c r="E143" s="215"/>
      <c r="F143" s="215"/>
      <c r="G143" s="215"/>
      <c r="H143" s="218" t="str">
        <f>IF(ROUND(CF!H33,0)=ROUND(SUM(CF!D33:G33),0),"OK","ERROR")</f>
        <v>OK</v>
      </c>
      <c r="I143" s="208"/>
      <c r="J143" s="215"/>
      <c r="K143" s="215"/>
      <c r="L143" s="215"/>
      <c r="M143" s="215"/>
      <c r="N143" s="218" t="str">
        <f>IF(ROUND(CF!N33,0)=ROUND(SUM(CF!J33:M33),0),"OK","ERROR")</f>
        <v>OK</v>
      </c>
      <c r="O143" s="208"/>
      <c r="P143" s="215"/>
      <c r="Q143" s="215"/>
      <c r="R143" s="215"/>
      <c r="S143" s="215"/>
      <c r="T143" s="218" t="str">
        <f>IF(ROUND(CF!T33,0)=ROUND(SUM(CF!P33:S33),0),"OK","ERROR")</f>
        <v>OK</v>
      </c>
      <c r="U143" s="208"/>
      <c r="V143" s="215"/>
      <c r="W143" s="215"/>
      <c r="X143" s="215"/>
      <c r="Y143" s="215"/>
      <c r="Z143" s="218" t="str">
        <f>IF(ROUND(CF!Z33,0)=ROUND(SUM(CF!V33:Y33),0),"OK","ERROR")</f>
        <v>OK</v>
      </c>
      <c r="AA143" s="211"/>
      <c r="AB143" s="215"/>
      <c r="AC143" s="215"/>
      <c r="AD143" s="215"/>
      <c r="AE143" s="215"/>
      <c r="AF143" s="218" t="str">
        <f>IF(ROUND(CF!AF33,0)=ROUND(SUM(CF!AB33:AE33),0),"OK","ERROR")</f>
        <v>OK</v>
      </c>
      <c r="AG143" s="209"/>
      <c r="AH143" s="215"/>
      <c r="AI143" s="215"/>
      <c r="AJ143" s="210"/>
      <c r="AK143" s="210"/>
      <c r="AL143" s="218" t="str">
        <f>IF(ROUND(CF!AL33,0)=ROUND(SUM(CF!AH33:AK33),0),"OK","ERROR")</f>
        <v>OK</v>
      </c>
      <c r="AM143" s="223"/>
      <c r="AN143" s="210"/>
      <c r="AO143" s="210"/>
      <c r="AP143" s="210"/>
      <c r="AQ143" s="210"/>
      <c r="AR143" s="218" t="str">
        <f>IF(ROUND(CF!AR33,0)=ROUND(SUM(CF!AN33:AQ33),0),"OK","ERROR")</f>
        <v>OK</v>
      </c>
      <c r="AS143" s="223"/>
      <c r="AT143" s="218" t="str">
        <f>IF(ROUND(CF!AT33,0)=ROUND(SUM(CF!AP33:AS33),0),"OK","ERROR")</f>
        <v>OK</v>
      </c>
      <c r="AU143" s="223"/>
      <c r="AV143" s="218" t="str">
        <f>IF(ROUND(CF!AV33,0)=ROUND(SUM(CF!AR33:AU33),0),"OK","ERROR")</f>
        <v>OK</v>
      </c>
      <c r="AW143" s="244"/>
      <c r="AX143" s="218" t="str">
        <f>IF(ROUND(CF!AX33,0)=ROUND(SUM(CF!AT33:AW33),0),"OK","ERROR")</f>
        <v>OK</v>
      </c>
    </row>
    <row r="144" spans="1:50" s="54" customFormat="1" ht="15" customHeight="1">
      <c r="A144" s="43"/>
      <c r="B144" s="157" t="s">
        <v>679</v>
      </c>
      <c r="C144" s="17"/>
      <c r="D144" s="215"/>
      <c r="E144" s="215"/>
      <c r="F144" s="215"/>
      <c r="G144" s="215"/>
      <c r="H144" s="218" t="str">
        <f>IF(ROUND(CF!H34,0)=ROUND(SUM(CF!D34:G34),0),"OK","ERROR")</f>
        <v>OK</v>
      </c>
      <c r="I144" s="208"/>
      <c r="J144" s="215"/>
      <c r="K144" s="215"/>
      <c r="L144" s="215"/>
      <c r="M144" s="215"/>
      <c r="N144" s="218" t="str">
        <f>IF(ROUND(CF!N34,0)=ROUND(SUM(CF!J34:M34),0),"OK","ERROR")</f>
        <v>OK</v>
      </c>
      <c r="O144" s="208"/>
      <c r="P144" s="215"/>
      <c r="Q144" s="215"/>
      <c r="R144" s="215"/>
      <c r="S144" s="215"/>
      <c r="T144" s="218" t="str">
        <f>IF(ROUND(CF!T34,0)=ROUND(SUM(CF!P34:S34),0),"OK","ERROR")</f>
        <v>OK</v>
      </c>
      <c r="U144" s="208"/>
      <c r="V144" s="215"/>
      <c r="W144" s="215"/>
      <c r="X144" s="215"/>
      <c r="Y144" s="215"/>
      <c r="Z144" s="218" t="str">
        <f>IF(ROUND(CF!Z34,0)=ROUND(SUM(CF!V34:Y34),0),"OK","ERROR")</f>
        <v>OK</v>
      </c>
      <c r="AA144" s="211"/>
      <c r="AB144" s="215"/>
      <c r="AC144" s="215"/>
      <c r="AD144" s="215"/>
      <c r="AE144" s="215"/>
      <c r="AF144" s="218" t="str">
        <f>IF(ROUND(CF!AF34,0)=ROUND(SUM(CF!AB34:AE34),0),"OK","ERROR")</f>
        <v>OK</v>
      </c>
      <c r="AG144" s="209"/>
      <c r="AH144" s="215"/>
      <c r="AI144" s="215"/>
      <c r="AJ144" s="210"/>
      <c r="AK144" s="210"/>
      <c r="AL144" s="218" t="str">
        <f>IF(ROUND(CF!AL34,0)=ROUND(SUM(CF!AH34:AK34),0),"OK","ERROR")</f>
        <v>ERROR</v>
      </c>
      <c r="AM144" s="223"/>
      <c r="AN144" s="210"/>
      <c r="AO144" s="210"/>
      <c r="AP144" s="210"/>
      <c r="AQ144" s="210"/>
      <c r="AR144" s="218" t="str">
        <f>IF(ROUND(CF!AR34,0)=ROUND(SUM(CF!AN34:AQ34),0),"OK","ERROR")</f>
        <v>OK</v>
      </c>
      <c r="AS144" s="223"/>
      <c r="AT144" s="218" t="str">
        <f>IF(ROUND(CF!AT34,0)=ROUND(SUM(CF!AP34:AS34),0),"OK","ERROR")</f>
        <v>OK</v>
      </c>
      <c r="AU144" s="223"/>
      <c r="AV144" s="218" t="str">
        <f>IF(ROUND(CF!AV34,0)=ROUND(SUM(CF!AR34:AU34),0),"OK","ERROR")</f>
        <v>OK</v>
      </c>
      <c r="AW144" s="244"/>
      <c r="AX144" s="218" t="str">
        <f>IF(ROUND(CF!AX34,0)=ROUND(SUM(CF!AT34:AW34),0),"OK","ERROR")</f>
        <v>OK</v>
      </c>
    </row>
    <row r="145" spans="1:50" s="54" customFormat="1" ht="15" customHeight="1">
      <c r="B145" s="157" t="s">
        <v>680</v>
      </c>
      <c r="C145" s="113"/>
      <c r="D145" s="215"/>
      <c r="E145" s="215"/>
      <c r="F145" s="215"/>
      <c r="G145" s="215"/>
      <c r="H145" s="224" t="str">
        <f>IF(ROUND(CF!H35,0)=ROUND(SUM(CF!D35:G35),0),"OK","ERROR")</f>
        <v>OK</v>
      </c>
      <c r="I145" s="208"/>
      <c r="J145" s="215"/>
      <c r="K145" s="215"/>
      <c r="L145" s="215"/>
      <c r="M145" s="215"/>
      <c r="N145" s="224" t="str">
        <f>IF(ROUND(CF!N35,0)=ROUND(SUM(CF!J35:M35),0),"OK","ERROR")</f>
        <v>OK</v>
      </c>
      <c r="O145" s="208"/>
      <c r="P145" s="215"/>
      <c r="Q145" s="215"/>
      <c r="R145" s="215"/>
      <c r="S145" s="215"/>
      <c r="T145" s="224" t="str">
        <f>IF(ROUND(CF!T35,0)=ROUND(SUM(CF!P35:S35),0),"OK","ERROR")</f>
        <v>OK</v>
      </c>
      <c r="U145" s="208"/>
      <c r="V145" s="215"/>
      <c r="W145" s="215"/>
      <c r="X145" s="215"/>
      <c r="Y145" s="215"/>
      <c r="Z145" s="224" t="str">
        <f>IF(ROUND(CF!Z35,0)=ROUND(SUM(CF!V35:Y35),0),"OK","ERROR")</f>
        <v>OK</v>
      </c>
      <c r="AA145" s="226"/>
      <c r="AB145" s="215"/>
      <c r="AC145" s="215"/>
      <c r="AD145" s="215"/>
      <c r="AE145" s="215"/>
      <c r="AF145" s="224" t="str">
        <f>IF(ROUND(CF!AF35,0)=ROUND(SUM(CF!AB35:AE35),0),"OK","ERROR")</f>
        <v>OK</v>
      </c>
      <c r="AG145" s="227"/>
      <c r="AH145" s="215"/>
      <c r="AI145" s="215"/>
      <c r="AJ145" s="210"/>
      <c r="AK145" s="210"/>
      <c r="AL145" s="224" t="str">
        <f>IF(ROUND(CF!AL35,0)=ROUND(SUM(CF!AH35:AK35),0),"OK","ERROR")</f>
        <v>ERROR</v>
      </c>
      <c r="AM145" s="228"/>
      <c r="AN145" s="210"/>
      <c r="AO145" s="210"/>
      <c r="AP145" s="210"/>
      <c r="AQ145" s="210"/>
      <c r="AR145" s="224" t="str">
        <f>IF(ROUND(CF!AR35,0)=ROUND(SUM(CF!AN35:AQ35),0),"OK","ERROR")</f>
        <v>OK</v>
      </c>
      <c r="AS145" s="228"/>
      <c r="AT145" s="224" t="str">
        <f>IF(ROUND(CF!AT35,0)=ROUND(SUM(CF!AP35:AS35),0),"OK","ERROR")</f>
        <v>OK</v>
      </c>
      <c r="AU145" s="228"/>
      <c r="AV145" s="224" t="str">
        <f>IF(ROUND(CF!AV35,0)=ROUND(SUM(CF!AR35:AU35),0),"OK","ERROR")</f>
        <v>OK</v>
      </c>
      <c r="AW145" s="244"/>
      <c r="AX145" s="224" t="str">
        <f>IF(ROUND(CF!AX35,0)=ROUND(SUM(CF!AT35:AW35),0),"OK","ERROR")</f>
        <v>OK</v>
      </c>
    </row>
    <row r="146" spans="1:50" s="54" customFormat="1" ht="15" customHeight="1" thickBot="1">
      <c r="A146" s="111"/>
      <c r="B146" s="158" t="s">
        <v>681</v>
      </c>
      <c r="C146" s="17"/>
      <c r="D146" s="215"/>
      <c r="E146" s="215"/>
      <c r="F146" s="215"/>
      <c r="G146" s="215"/>
      <c r="H146" s="235" t="str">
        <f>IF(ROUND(CF!H36,0)=ROUND(SUM(CF!D36:G36),0),"OK","ERROR")</f>
        <v>OK</v>
      </c>
      <c r="I146" s="208"/>
      <c r="J146" s="215"/>
      <c r="K146" s="215"/>
      <c r="L146" s="215"/>
      <c r="M146" s="215"/>
      <c r="N146" s="235" t="str">
        <f>IF(ROUND(CF!N36,0)=ROUND(SUM(CF!J36:M36),0),"OK","ERROR")</f>
        <v>OK</v>
      </c>
      <c r="O146" s="208"/>
      <c r="P146" s="215"/>
      <c r="Q146" s="215"/>
      <c r="R146" s="215"/>
      <c r="S146" s="215"/>
      <c r="T146" s="235" t="str">
        <f>IF(ROUND(CF!T36,0)=ROUND(SUM(CF!P36:S36),0),"OK","ERROR")</f>
        <v>OK</v>
      </c>
      <c r="U146" s="208"/>
      <c r="V146" s="215"/>
      <c r="W146" s="215"/>
      <c r="X146" s="215"/>
      <c r="Y146" s="215"/>
      <c r="Z146" s="235" t="str">
        <f>IF(ROUND(CF!Z36,0)=ROUND(SUM(CF!V36:Y36),0),"OK","ERROR")</f>
        <v>OK</v>
      </c>
      <c r="AA146" s="211"/>
      <c r="AB146" s="215"/>
      <c r="AC146" s="215"/>
      <c r="AD146" s="215"/>
      <c r="AE146" s="215"/>
      <c r="AF146" s="235" t="str">
        <f>IF(ROUND(CF!AF36,0)=ROUND(SUM(CF!AB36:AE36),0),"OK","ERROR")</f>
        <v>OK</v>
      </c>
      <c r="AG146" s="209"/>
      <c r="AH146" s="215"/>
      <c r="AI146" s="215"/>
      <c r="AJ146" s="210"/>
      <c r="AK146" s="210"/>
      <c r="AL146" s="235" t="str">
        <f>IF(ROUND(CF!AL36,0)=ROUND(SUM(CF!AH36:AK36),0),"OK","ERROR")</f>
        <v>ERROR</v>
      </c>
      <c r="AM146" s="213"/>
      <c r="AN146" s="210"/>
      <c r="AO146" s="210"/>
      <c r="AP146" s="210"/>
      <c r="AQ146" s="210"/>
      <c r="AR146" s="235" t="str">
        <f>IF(ROUND(CF!AR36,0)=ROUND(SUM(CF!AN36:AQ36),0),"OK","ERROR")</f>
        <v>OK</v>
      </c>
      <c r="AS146" s="213"/>
      <c r="AT146" s="235" t="str">
        <f>IF(ROUND(CF!AT36,0)=ROUND(SUM(CF!AP36:AS36),0),"OK","ERROR")</f>
        <v>OK</v>
      </c>
      <c r="AU146" s="213"/>
      <c r="AV146" s="235" t="str">
        <f>IF(ROUND(CF!AV36,0)=ROUND(SUM(CF!AR36:AU36),0),"OK","ERROR")</f>
        <v>OK</v>
      </c>
      <c r="AW146" s="244"/>
      <c r="AX146" s="235" t="str">
        <f>IF(ROUND(CF!AX36,0)=ROUND(SUM(CF!AT36:AW36),0),"OK","ERROR")</f>
        <v>OK</v>
      </c>
    </row>
    <row r="147" spans="1:50" s="54" customFormat="1" ht="15" customHeight="1" thickTop="1">
      <c r="A147" s="43"/>
      <c r="B147" s="152"/>
      <c r="C147" s="113"/>
      <c r="D147" s="206"/>
      <c r="E147" s="206"/>
      <c r="F147" s="206"/>
      <c r="G147" s="206"/>
      <c r="H147" s="218"/>
      <c r="I147" s="208"/>
      <c r="J147" s="206"/>
      <c r="K147" s="206"/>
      <c r="L147" s="206"/>
      <c r="M147" s="206"/>
      <c r="N147" s="218"/>
      <c r="O147" s="208"/>
      <c r="P147" s="206"/>
      <c r="Q147" s="206"/>
      <c r="R147" s="206"/>
      <c r="S147" s="206"/>
      <c r="T147" s="218"/>
      <c r="U147" s="208"/>
      <c r="V147" s="206"/>
      <c r="W147" s="206"/>
      <c r="X147" s="206"/>
      <c r="Y147" s="206"/>
      <c r="Z147" s="218"/>
      <c r="AA147" s="230"/>
      <c r="AB147" s="206"/>
      <c r="AC147" s="206"/>
      <c r="AD147" s="206"/>
      <c r="AE147" s="206"/>
      <c r="AF147" s="218"/>
      <c r="AG147" s="227"/>
      <c r="AH147" s="206"/>
      <c r="AI147" s="206"/>
      <c r="AJ147" s="210"/>
      <c r="AK147" s="210"/>
      <c r="AL147" s="218"/>
      <c r="AM147" s="228"/>
      <c r="AN147" s="210"/>
      <c r="AO147" s="210"/>
      <c r="AP147" s="210"/>
      <c r="AQ147" s="210"/>
      <c r="AR147" s="218"/>
      <c r="AS147" s="228"/>
      <c r="AT147" s="218"/>
      <c r="AU147" s="228"/>
      <c r="AV147" s="218"/>
      <c r="AW147" s="244"/>
      <c r="AX147" s="218"/>
    </row>
    <row r="148" spans="1:50" s="54" customFormat="1" ht="15" customHeight="1">
      <c r="A148" s="44" t="s">
        <v>39</v>
      </c>
      <c r="B148" s="156" t="s">
        <v>682</v>
      </c>
      <c r="C148" s="27"/>
      <c r="D148" s="206"/>
      <c r="E148" s="206"/>
      <c r="F148" s="206"/>
      <c r="G148" s="206"/>
      <c r="H148" s="218"/>
      <c r="I148" s="208"/>
      <c r="J148" s="206"/>
      <c r="K148" s="206"/>
      <c r="L148" s="206"/>
      <c r="M148" s="206"/>
      <c r="N148" s="218"/>
      <c r="O148" s="208"/>
      <c r="P148" s="206"/>
      <c r="Q148" s="206"/>
      <c r="R148" s="206"/>
      <c r="S148" s="206"/>
      <c r="T148" s="218"/>
      <c r="U148" s="208"/>
      <c r="V148" s="206"/>
      <c r="W148" s="206"/>
      <c r="X148" s="206"/>
      <c r="Y148" s="206"/>
      <c r="Z148" s="218"/>
      <c r="AA148" s="211"/>
      <c r="AB148" s="206"/>
      <c r="AC148" s="206"/>
      <c r="AD148" s="206"/>
      <c r="AE148" s="206"/>
      <c r="AF148" s="218"/>
      <c r="AG148" s="209"/>
      <c r="AH148" s="206"/>
      <c r="AI148" s="206"/>
      <c r="AJ148" s="210"/>
      <c r="AK148" s="210"/>
      <c r="AL148" s="218"/>
      <c r="AM148" s="213"/>
      <c r="AN148" s="210"/>
      <c r="AO148" s="210"/>
      <c r="AP148" s="210"/>
      <c r="AQ148" s="210"/>
      <c r="AR148" s="218"/>
      <c r="AS148" s="213"/>
      <c r="AT148" s="218"/>
      <c r="AU148" s="213"/>
      <c r="AV148" s="218"/>
      <c r="AW148" s="244"/>
      <c r="AX148" s="218"/>
    </row>
    <row r="149" spans="1:50" s="54" customFormat="1" ht="15" customHeight="1">
      <c r="A149" s="111"/>
      <c r="B149" s="157" t="s">
        <v>683</v>
      </c>
      <c r="C149" s="113"/>
      <c r="D149" s="215"/>
      <c r="E149" s="215"/>
      <c r="F149" s="215"/>
      <c r="G149" s="215"/>
      <c r="H149" s="218" t="str">
        <f>IF(ROUND(CF!H39,0)=ROUND(SUM(CF!D39:G39),0),"OK","ERROR")</f>
        <v>OK</v>
      </c>
      <c r="I149" s="208"/>
      <c r="J149" s="215"/>
      <c r="K149" s="215"/>
      <c r="L149" s="215"/>
      <c r="M149" s="215"/>
      <c r="N149" s="218" t="str">
        <f>IF(ROUND(CF!N39,0)=ROUND(SUM(CF!J39:M39),0),"OK","ERROR")</f>
        <v>OK</v>
      </c>
      <c r="O149" s="208"/>
      <c r="P149" s="215"/>
      <c r="Q149" s="215"/>
      <c r="R149" s="215"/>
      <c r="S149" s="215"/>
      <c r="T149" s="218" t="str">
        <f>IF(ROUND(CF!T39,0)=ROUND(SUM(CF!P39:S39),0),"OK","ERROR")</f>
        <v>OK</v>
      </c>
      <c r="U149" s="208"/>
      <c r="V149" s="215"/>
      <c r="W149" s="215"/>
      <c r="X149" s="215"/>
      <c r="Y149" s="215"/>
      <c r="Z149" s="218" t="str">
        <f>IF(ROUND(CF!Z39,0)=ROUND(SUM(CF!V39:Y39),0),"OK","ERROR")</f>
        <v>OK</v>
      </c>
      <c r="AA149" s="211"/>
      <c r="AB149" s="215"/>
      <c r="AC149" s="215"/>
      <c r="AD149" s="215"/>
      <c r="AE149" s="215"/>
      <c r="AF149" s="218" t="str">
        <f>IF(ROUND(CF!AF39,0)=ROUND(SUM(CF!AB39:AE39),0),"OK","ERROR")</f>
        <v>OK</v>
      </c>
      <c r="AG149" s="209"/>
      <c r="AH149" s="215"/>
      <c r="AI149" s="215"/>
      <c r="AJ149" s="210"/>
      <c r="AK149" s="210"/>
      <c r="AL149" s="218" t="str">
        <f>IF(ROUND(CF!AL39,0)=ROUND(SUM(CF!AH39:AK39),0),"OK","ERROR")</f>
        <v>OK</v>
      </c>
      <c r="AM149" s="213"/>
      <c r="AN149" s="210"/>
      <c r="AO149" s="210"/>
      <c r="AP149" s="210"/>
      <c r="AQ149" s="210"/>
      <c r="AR149" s="218" t="str">
        <f>IF(ROUND(CF!AR39,0)=ROUND(SUM(CF!AN39:AQ39),0),"OK","ERROR")</f>
        <v>OK</v>
      </c>
      <c r="AS149" s="213"/>
      <c r="AT149" s="218" t="str">
        <f>IF(ROUND(CF!AT39,0)=ROUND(SUM(CF!AP39:AS39),0),"OK","ERROR")</f>
        <v>OK</v>
      </c>
      <c r="AU149" s="213"/>
      <c r="AV149" s="218" t="str">
        <f>IF(ROUND(CF!AV39,0)=ROUND(SUM(CF!AR39:AU39),0),"OK","ERROR")</f>
        <v>OK</v>
      </c>
      <c r="AW149" s="244"/>
      <c r="AX149" s="218" t="str">
        <f>IF(ROUND(CF!AX39,0)=ROUND(SUM(CF!AT39:AW39),0),"OK","ERROR")</f>
        <v>OK</v>
      </c>
    </row>
    <row r="150" spans="1:50" s="54" customFormat="1" ht="15" customHeight="1">
      <c r="A150" s="111"/>
      <c r="B150" s="157" t="s">
        <v>684</v>
      </c>
      <c r="C150" s="113"/>
      <c r="D150" s="215"/>
      <c r="E150" s="215"/>
      <c r="F150" s="215"/>
      <c r="G150" s="215"/>
      <c r="H150" s="218" t="str">
        <f>IF(ROUND(CF!H40,0)=ROUND(SUM(CF!D40:G40),0),"OK","ERROR")</f>
        <v>OK</v>
      </c>
      <c r="I150" s="208"/>
      <c r="J150" s="215"/>
      <c r="K150" s="215"/>
      <c r="L150" s="215"/>
      <c r="M150" s="215"/>
      <c r="N150" s="218" t="str">
        <f>IF(ROUND(CF!N40,0)=ROUND(SUM(CF!J40:M40),0),"OK","ERROR")</f>
        <v>OK</v>
      </c>
      <c r="O150" s="208"/>
      <c r="P150" s="215"/>
      <c r="Q150" s="215"/>
      <c r="R150" s="215"/>
      <c r="S150" s="215"/>
      <c r="T150" s="218" t="str">
        <f>IF(ROUND(CF!T40,0)=ROUND(SUM(CF!P40:S40),0),"OK","ERROR")</f>
        <v>OK</v>
      </c>
      <c r="U150" s="208"/>
      <c r="V150" s="215"/>
      <c r="W150" s="215"/>
      <c r="X150" s="215"/>
      <c r="Y150" s="215"/>
      <c r="Z150" s="218" t="str">
        <f>IF(ROUND(CF!Z40,0)=ROUND(SUM(CF!V40:Y40),0),"OK","ERROR")</f>
        <v>OK</v>
      </c>
      <c r="AA150" s="211"/>
      <c r="AB150" s="215"/>
      <c r="AC150" s="215"/>
      <c r="AD150" s="215"/>
      <c r="AE150" s="215"/>
      <c r="AF150" s="218" t="str">
        <f>IF(ROUND(CF!AF40,0)=ROUND(SUM(CF!AB40:AE40),0),"OK","ERROR")</f>
        <v>OK</v>
      </c>
      <c r="AG150" s="209"/>
      <c r="AH150" s="215"/>
      <c r="AI150" s="215"/>
      <c r="AJ150" s="210"/>
      <c r="AK150" s="210"/>
      <c r="AL150" s="218" t="str">
        <f>IF(ROUND(CF!AL40,0)=ROUND(SUM(CF!AH40:AK40),0),"OK","ERROR")</f>
        <v>OK</v>
      </c>
      <c r="AM150" s="213"/>
      <c r="AN150" s="210"/>
      <c r="AO150" s="210"/>
      <c r="AP150" s="210"/>
      <c r="AQ150" s="210"/>
      <c r="AR150" s="218" t="str">
        <f>IF(ROUND(CF!AR40,0)=ROUND(SUM(CF!AN40:AQ40),0),"OK","ERROR")</f>
        <v>OK</v>
      </c>
      <c r="AS150" s="213"/>
      <c r="AT150" s="218" t="str">
        <f>IF(ROUND(CF!AT40,0)=ROUND(SUM(CF!AP40:AS40),0),"OK","ERROR")</f>
        <v>OK</v>
      </c>
      <c r="AU150" s="213"/>
      <c r="AV150" s="218" t="str">
        <f>IF(ROUND(CF!AV40,0)=ROUND(SUM(CF!AR40:AU40),0),"OK","ERROR")</f>
        <v>OK</v>
      </c>
      <c r="AW150" s="244"/>
      <c r="AX150" s="218" t="str">
        <f>IF(ROUND(CF!AX40,0)=ROUND(SUM(CF!AT40:AW40),0),"OK","ERROR")</f>
        <v>OK</v>
      </c>
    </row>
    <row r="151" spans="1:50" s="54" customFormat="1" ht="15" customHeight="1">
      <c r="A151" s="111"/>
      <c r="B151" s="157" t="s">
        <v>685</v>
      </c>
      <c r="C151" s="113"/>
      <c r="D151" s="215"/>
      <c r="E151" s="215"/>
      <c r="F151" s="215"/>
      <c r="G151" s="215"/>
      <c r="H151" s="218" t="str">
        <f>IF(ROUND(CF!H41,0)=ROUND(SUM(CF!D41:G41),0),"OK","ERROR")</f>
        <v>OK</v>
      </c>
      <c r="I151" s="208"/>
      <c r="J151" s="215"/>
      <c r="K151" s="215"/>
      <c r="L151" s="215"/>
      <c r="M151" s="215"/>
      <c r="N151" s="218" t="str">
        <f>IF(ROUND(CF!N41,0)=ROUND(SUM(CF!J41:M41),0),"OK","ERROR")</f>
        <v>OK</v>
      </c>
      <c r="O151" s="208"/>
      <c r="P151" s="215"/>
      <c r="Q151" s="215"/>
      <c r="R151" s="215"/>
      <c r="S151" s="215"/>
      <c r="T151" s="218" t="str">
        <f>IF(ROUND(CF!T41,0)=ROUND(SUM(CF!P41:S41),0),"OK","ERROR")</f>
        <v>OK</v>
      </c>
      <c r="U151" s="208"/>
      <c r="V151" s="215"/>
      <c r="W151" s="215"/>
      <c r="X151" s="215"/>
      <c r="Y151" s="215"/>
      <c r="Z151" s="218" t="str">
        <f>IF(ROUND(CF!Z41,0)=ROUND(SUM(CF!V41:Y41),0),"OK","ERROR")</f>
        <v>OK</v>
      </c>
      <c r="AA151" s="211"/>
      <c r="AB151" s="215"/>
      <c r="AC151" s="215"/>
      <c r="AD151" s="215"/>
      <c r="AE151" s="215"/>
      <c r="AF151" s="218" t="str">
        <f>IF(ROUND(CF!AF41,0)=ROUND(SUM(CF!AB41:AE41),0),"OK","ERROR")</f>
        <v>OK</v>
      </c>
      <c r="AG151" s="209"/>
      <c r="AH151" s="215"/>
      <c r="AI151" s="215"/>
      <c r="AJ151" s="210"/>
      <c r="AK151" s="210"/>
      <c r="AL151" s="218" t="str">
        <f>IF(ROUND(CF!AL41,0)=ROUND(SUM(CF!AH41:AK41),0),"OK","ERROR")</f>
        <v>OK</v>
      </c>
      <c r="AM151" s="213"/>
      <c r="AN151" s="210"/>
      <c r="AO151" s="210"/>
      <c r="AP151" s="210"/>
      <c r="AQ151" s="210"/>
      <c r="AR151" s="218" t="str">
        <f>IF(ROUND(CF!AR41,0)=ROUND(SUM(CF!AN41:AQ41),0),"OK","ERROR")</f>
        <v>OK</v>
      </c>
      <c r="AS151" s="213"/>
      <c r="AT151" s="218" t="str">
        <f>IF(ROUND(CF!AT41,0)=ROUND(SUM(CF!AP41:AS41),0),"OK","ERROR")</f>
        <v>OK</v>
      </c>
      <c r="AU151" s="213"/>
      <c r="AV151" s="218" t="str">
        <f>IF(ROUND(CF!AV41,0)=ROUND(SUM(CF!AR41:AU41),0),"OK","ERROR")</f>
        <v>OK</v>
      </c>
      <c r="AW151" s="244"/>
      <c r="AX151" s="218" t="str">
        <f>IF(ROUND(CF!AX41,0)=ROUND(SUM(CF!AT41:AW41),0),"OK","ERROR")</f>
        <v>OK</v>
      </c>
    </row>
    <row r="152" spans="1:50" s="54" customFormat="1" ht="15" customHeight="1">
      <c r="A152" s="140"/>
      <c r="B152" s="157" t="s">
        <v>686</v>
      </c>
      <c r="C152" s="27"/>
      <c r="D152" s="215"/>
      <c r="E152" s="215"/>
      <c r="F152" s="215"/>
      <c r="G152" s="215"/>
      <c r="H152" s="218" t="str">
        <f>IF(ROUND(CF!H42,0)=ROUND(SUM(CF!D42:G42),0),"OK","ERROR")</f>
        <v>OK</v>
      </c>
      <c r="I152" s="208"/>
      <c r="J152" s="215"/>
      <c r="K152" s="215"/>
      <c r="L152" s="215"/>
      <c r="M152" s="215"/>
      <c r="N152" s="218" t="str">
        <f>IF(ROUND(CF!N42,0)=ROUND(SUM(CF!J42:M42),0),"OK","ERROR")</f>
        <v>OK</v>
      </c>
      <c r="O152" s="208"/>
      <c r="P152" s="215"/>
      <c r="Q152" s="215"/>
      <c r="R152" s="215"/>
      <c r="S152" s="215"/>
      <c r="T152" s="218" t="str">
        <f>IF(ROUND(CF!T42,0)=ROUND(SUM(CF!P42:S42),0),"OK","ERROR")</f>
        <v>OK</v>
      </c>
      <c r="U152" s="208"/>
      <c r="V152" s="215"/>
      <c r="W152" s="215"/>
      <c r="X152" s="215"/>
      <c r="Y152" s="215"/>
      <c r="Z152" s="218" t="str">
        <f>IF(ROUND(CF!Z42,0)=ROUND(SUM(CF!V42:Y42),0),"OK","ERROR")</f>
        <v>OK</v>
      </c>
      <c r="AA152" s="211"/>
      <c r="AB152" s="215"/>
      <c r="AC152" s="215"/>
      <c r="AD152" s="215"/>
      <c r="AE152" s="215"/>
      <c r="AF152" s="218" t="str">
        <f>IF(ROUND(CF!AF42,0)=ROUND(SUM(CF!AB42:AE42),0),"OK","ERROR")</f>
        <v>OK</v>
      </c>
      <c r="AG152" s="209"/>
      <c r="AH152" s="215"/>
      <c r="AI152" s="215"/>
      <c r="AJ152" s="210"/>
      <c r="AK152" s="210"/>
      <c r="AL152" s="218" t="str">
        <f>IF(ROUND(CF!AL42,0)=ROUND(SUM(CF!AH42:AK42),0),"OK","ERROR")</f>
        <v>ERROR</v>
      </c>
      <c r="AM152" s="245"/>
      <c r="AN152" s="210"/>
      <c r="AO152" s="210"/>
      <c r="AP152" s="210"/>
      <c r="AQ152" s="210"/>
      <c r="AR152" s="218" t="str">
        <f>IF(ROUND(CF!AR42,0)=ROUND(SUM(CF!AN42:AQ42),0),"OK","ERROR")</f>
        <v>OK</v>
      </c>
      <c r="AS152" s="213"/>
      <c r="AT152" s="218" t="str">
        <f>IF(ROUND(CF!AT42,0)=ROUND(SUM(CF!AP42:AS42),0),"OK","ERROR")</f>
        <v>OK</v>
      </c>
      <c r="AU152" s="213"/>
      <c r="AV152" s="218" t="str">
        <f>IF(ROUND(CF!AV42,0)=ROUND(SUM(CF!AR42:AU42),0),"OK","ERROR")</f>
        <v>OK</v>
      </c>
      <c r="AW152" s="244"/>
      <c r="AX152" s="218" t="str">
        <f>IF(ROUND(CF!AX42,0)=ROUND(SUM(CF!AT42:AW42),0),"OK","ERROR")</f>
        <v>OK</v>
      </c>
    </row>
    <row r="153" spans="1:50" s="54" customFormat="1" ht="15" customHeight="1">
      <c r="A153" s="111"/>
      <c r="B153" s="157" t="s">
        <v>687</v>
      </c>
      <c r="C153" s="113"/>
      <c r="D153" s="215"/>
      <c r="E153" s="215"/>
      <c r="F153" s="215"/>
      <c r="G153" s="215"/>
      <c r="H153" s="218" t="str">
        <f>IF(ROUND(CF!H43,0)=ROUND(SUM(CF!D43:G43),0),"OK","ERROR")</f>
        <v>OK</v>
      </c>
      <c r="I153" s="208"/>
      <c r="J153" s="215"/>
      <c r="K153" s="215"/>
      <c r="L153" s="215"/>
      <c r="M153" s="215"/>
      <c r="N153" s="218" t="str">
        <f>IF(ROUND(CF!N43,0)=ROUND(SUM(CF!J43:M43),0),"OK","ERROR")</f>
        <v>OK</v>
      </c>
      <c r="O153" s="208"/>
      <c r="P153" s="215"/>
      <c r="Q153" s="215"/>
      <c r="R153" s="215"/>
      <c r="S153" s="215"/>
      <c r="T153" s="218" t="str">
        <f>IF(ROUND(CF!T43,0)=ROUND(SUM(CF!P43:S43),0),"OK","ERROR")</f>
        <v>OK</v>
      </c>
      <c r="U153" s="208"/>
      <c r="V153" s="215"/>
      <c r="W153" s="215"/>
      <c r="X153" s="215"/>
      <c r="Y153" s="215"/>
      <c r="Z153" s="218" t="str">
        <f>IF(ROUND(CF!Z43,0)=ROUND(SUM(CF!V43:Y43),0),"OK","ERROR")</f>
        <v>OK</v>
      </c>
      <c r="AA153" s="211"/>
      <c r="AB153" s="215"/>
      <c r="AC153" s="215"/>
      <c r="AD153" s="215"/>
      <c r="AE153" s="215"/>
      <c r="AF153" s="218" t="str">
        <f>IF(ROUND(CF!AF43,0)=ROUND(SUM(CF!AB43:AE43),0),"OK","ERROR")</f>
        <v>OK</v>
      </c>
      <c r="AG153" s="209"/>
      <c r="AH153" s="215"/>
      <c r="AI153" s="215"/>
      <c r="AJ153" s="210"/>
      <c r="AK153" s="210"/>
      <c r="AL153" s="218" t="str">
        <f>IF(ROUND(CF!AL43,0)=ROUND(SUM(CF!AH43:AK43),0),"OK","ERROR")</f>
        <v>ERROR</v>
      </c>
      <c r="AM153" s="245"/>
      <c r="AN153" s="210"/>
      <c r="AO153" s="210"/>
      <c r="AP153" s="210"/>
      <c r="AQ153" s="210"/>
      <c r="AR153" s="218" t="str">
        <f>IF(ROUND(CF!AR43,0)=ROUND(SUM(CF!AN43:AQ43),0),"OK","ERROR")</f>
        <v>OK</v>
      </c>
      <c r="AS153" s="213"/>
      <c r="AT153" s="218" t="str">
        <f>IF(ROUND(CF!AT43,0)=ROUND(SUM(CF!AP43:AS43),0),"OK","ERROR")</f>
        <v>OK</v>
      </c>
      <c r="AU153" s="213"/>
      <c r="AV153" s="218" t="str">
        <f>IF(ROUND(CF!AV43,0)=ROUND(SUM(CF!AR43:AU43),0),"OK","ERROR")</f>
        <v>OK</v>
      </c>
      <c r="AW153" s="244"/>
      <c r="AX153" s="218" t="str">
        <f>IF(ROUND(CF!AX43,0)=ROUND(SUM(CF!AT43:AW43),0),"OK","ERROR")</f>
        <v>OK</v>
      </c>
    </row>
    <row r="154" spans="1:50" s="54" customFormat="1" ht="15" customHeight="1">
      <c r="A154" s="111"/>
      <c r="B154" s="157" t="s">
        <v>688</v>
      </c>
      <c r="C154" s="113"/>
      <c r="D154" s="215"/>
      <c r="E154" s="215"/>
      <c r="F154" s="215"/>
      <c r="G154" s="215"/>
      <c r="H154" s="224" t="str">
        <f>IF(ROUND(CF!H44,0)=ROUND(SUM(CF!D44:G44),0),"OK","ERROR")</f>
        <v>OK</v>
      </c>
      <c r="I154" s="208"/>
      <c r="J154" s="215"/>
      <c r="K154" s="215"/>
      <c r="L154" s="215"/>
      <c r="M154" s="215"/>
      <c r="N154" s="224" t="str">
        <f>IF(ROUND(CF!N44,0)=ROUND(SUM(CF!J44:M44),0),"OK","ERROR")</f>
        <v>OK</v>
      </c>
      <c r="O154" s="208"/>
      <c r="P154" s="215"/>
      <c r="Q154" s="215"/>
      <c r="R154" s="215"/>
      <c r="S154" s="215"/>
      <c r="T154" s="224" t="str">
        <f>IF(ROUND(CF!T44,0)=ROUND(SUM(CF!P44:S44),0),"OK","ERROR")</f>
        <v>OK</v>
      </c>
      <c r="U154" s="208"/>
      <c r="V154" s="215"/>
      <c r="W154" s="215"/>
      <c r="X154" s="215"/>
      <c r="Y154" s="215"/>
      <c r="Z154" s="224" t="str">
        <f>IF(ROUND(CF!Z44,0)=ROUND(SUM(CF!V44:Y44),0),"OK","ERROR")</f>
        <v>OK</v>
      </c>
      <c r="AA154" s="226"/>
      <c r="AB154" s="215"/>
      <c r="AC154" s="215"/>
      <c r="AD154" s="215"/>
      <c r="AE154" s="215"/>
      <c r="AF154" s="224" t="str">
        <f>IF(ROUND(CF!AF44,0)=ROUND(SUM(CF!AB44:AE44),0),"OK","ERROR")</f>
        <v>OK</v>
      </c>
      <c r="AG154" s="227"/>
      <c r="AH154" s="215"/>
      <c r="AI154" s="215"/>
      <c r="AJ154" s="210"/>
      <c r="AK154" s="210"/>
      <c r="AL154" s="224" t="str">
        <f>IF(ROUND(CF!AL44,0)=ROUND(SUM(CF!AH44:AK44),0),"OK","ERROR")</f>
        <v>ERROR</v>
      </c>
      <c r="AM154" s="228"/>
      <c r="AN154" s="210"/>
      <c r="AO154" s="210"/>
      <c r="AP154" s="210"/>
      <c r="AQ154" s="210"/>
      <c r="AR154" s="224" t="str">
        <f>IF(ROUND(CF!AR44,0)=ROUND(SUM(CF!AN44:AQ44),0),"OK","ERROR")</f>
        <v>OK</v>
      </c>
      <c r="AS154" s="228"/>
      <c r="AT154" s="224" t="str">
        <f>IF(ROUND(CF!AT44,0)=ROUND(SUM(CF!AP44:AS44),0),"OK","ERROR")</f>
        <v>OK</v>
      </c>
      <c r="AU154" s="228"/>
      <c r="AV154" s="224" t="str">
        <f>IF(ROUND(CF!AV44,0)=ROUND(SUM(CF!AR44:AU44),0),"OK","ERROR")</f>
        <v>OK</v>
      </c>
      <c r="AW154" s="244"/>
      <c r="AX154" s="224" t="str">
        <f>IF(ROUND(CF!AX44,0)=ROUND(SUM(CF!AT44:AW44),0),"OK","ERROR")</f>
        <v>OK</v>
      </c>
    </row>
    <row r="155" spans="1:50" s="54" customFormat="1" ht="15" customHeight="1" thickBot="1">
      <c r="A155" s="111"/>
      <c r="B155" s="158" t="s">
        <v>689</v>
      </c>
      <c r="C155" s="17"/>
      <c r="D155" s="215"/>
      <c r="E155" s="215"/>
      <c r="F155" s="215"/>
      <c r="G155" s="215"/>
      <c r="H155" s="235" t="str">
        <f>IF(ROUND(CF!H45,0)=ROUND(SUM(CF!D45:G45),0),"OK","ERROR")</f>
        <v>OK</v>
      </c>
      <c r="I155" s="208"/>
      <c r="J155" s="215"/>
      <c r="K155" s="215"/>
      <c r="L155" s="215"/>
      <c r="M155" s="215"/>
      <c r="N155" s="235" t="str">
        <f>IF(ROUND(CF!N45,0)=ROUND(SUM(CF!J45:M45),0),"OK","ERROR")</f>
        <v>OK</v>
      </c>
      <c r="O155" s="208"/>
      <c r="P155" s="215"/>
      <c r="Q155" s="215"/>
      <c r="R155" s="215"/>
      <c r="S155" s="215"/>
      <c r="T155" s="235" t="str">
        <f>IF(ROUND(CF!T45,0)=ROUND(SUM(CF!P45:S45),0),"OK","ERROR")</f>
        <v>OK</v>
      </c>
      <c r="U155" s="208"/>
      <c r="V155" s="215"/>
      <c r="W155" s="215"/>
      <c r="X155" s="215"/>
      <c r="Y155" s="215"/>
      <c r="Z155" s="235" t="str">
        <f>IF(ROUND(CF!Z45,0)=ROUND(SUM(CF!V45:Y45),0),"OK","ERROR")</f>
        <v>OK</v>
      </c>
      <c r="AA155" s="208"/>
      <c r="AB155" s="215"/>
      <c r="AC155" s="215"/>
      <c r="AD155" s="215"/>
      <c r="AE155" s="215"/>
      <c r="AF155" s="235" t="str">
        <f>IF(ROUND(CF!AF45,0)=ROUND(SUM(CF!AB45:AE45),0),"OK","ERROR")</f>
        <v>OK</v>
      </c>
      <c r="AG155" s="236"/>
      <c r="AH155" s="215"/>
      <c r="AI155" s="215"/>
      <c r="AJ155" s="210"/>
      <c r="AK155" s="210"/>
      <c r="AL155" s="235" t="str">
        <f>IF(ROUND(CF!AL45,0)=ROUND(SUM(CF!AH45:AK45),0),"OK","ERROR")</f>
        <v>ERROR</v>
      </c>
      <c r="AM155" s="237"/>
      <c r="AN155" s="210"/>
      <c r="AO155" s="210"/>
      <c r="AP155" s="210"/>
      <c r="AQ155" s="210"/>
      <c r="AR155" s="235" t="str">
        <f>IF(ROUND(CF!AR45,0)=ROUND(SUM(CF!AN45:AQ45),0),"OK","ERROR")</f>
        <v>OK</v>
      </c>
      <c r="AS155" s="237"/>
      <c r="AT155" s="235" t="str">
        <f>IF(ROUND(CF!AT45,0)=ROUND(SUM(CF!AP45:AS45),0),"OK","ERROR")</f>
        <v>OK</v>
      </c>
      <c r="AU155" s="237"/>
      <c r="AV155" s="235" t="str">
        <f>IF(ROUND(CF!AV45,0)=ROUND(SUM(CF!AR45:AU45),0),"OK","ERROR")</f>
        <v>OK</v>
      </c>
      <c r="AW155" s="244"/>
      <c r="AX155" s="235" t="str">
        <f>IF(ROUND(CF!AX45,0)=ROUND(SUM(CF!AT45:AW45),0),"OK","ERROR")</f>
        <v>OK</v>
      </c>
    </row>
    <row r="156" spans="1:50" s="54" customFormat="1" ht="15" customHeight="1" thickTop="1">
      <c r="A156" s="111"/>
      <c r="B156" s="9"/>
      <c r="C156" s="113"/>
      <c r="D156" s="206"/>
      <c r="E156" s="206"/>
      <c r="F156" s="206"/>
      <c r="G156" s="206"/>
      <c r="H156" s="218"/>
      <c r="I156" s="208"/>
      <c r="J156" s="206"/>
      <c r="K156" s="206"/>
      <c r="L156" s="206"/>
      <c r="M156" s="206"/>
      <c r="N156" s="218"/>
      <c r="O156" s="208"/>
      <c r="P156" s="206"/>
      <c r="Q156" s="206"/>
      <c r="R156" s="206"/>
      <c r="S156" s="206"/>
      <c r="T156" s="218"/>
      <c r="U156" s="208"/>
      <c r="V156" s="206"/>
      <c r="W156" s="206"/>
      <c r="X156" s="206"/>
      <c r="Y156" s="206"/>
      <c r="Z156" s="218"/>
      <c r="AA156" s="226"/>
      <c r="AB156" s="206"/>
      <c r="AC156" s="206"/>
      <c r="AD156" s="206"/>
      <c r="AE156" s="206"/>
      <c r="AF156" s="218"/>
      <c r="AG156" s="227"/>
      <c r="AH156" s="206"/>
      <c r="AI156" s="206"/>
      <c r="AJ156" s="210"/>
      <c r="AK156" s="210"/>
      <c r="AL156" s="218"/>
      <c r="AM156" s="228"/>
      <c r="AN156" s="210"/>
      <c r="AO156" s="210"/>
      <c r="AP156" s="210"/>
      <c r="AQ156" s="210"/>
      <c r="AR156" s="218"/>
      <c r="AS156" s="228"/>
      <c r="AT156" s="218"/>
      <c r="AU156" s="228"/>
      <c r="AV156" s="218"/>
      <c r="AW156" s="244"/>
      <c r="AX156" s="218"/>
    </row>
    <row r="157" spans="1:50" s="54" customFormat="1" ht="15" customHeight="1">
      <c r="A157" s="44" t="s">
        <v>39</v>
      </c>
      <c r="B157" s="156" t="s">
        <v>690</v>
      </c>
      <c r="C157" s="17"/>
      <c r="D157" s="215"/>
      <c r="E157" s="215"/>
      <c r="F157" s="215"/>
      <c r="G157" s="215"/>
      <c r="H157" s="218" t="str">
        <f>IF(ROUND(CF!H47,0)=ROUND(SUM(CF!D47:G47),0),"OK","ERROR")</f>
        <v>OK</v>
      </c>
      <c r="I157" s="208"/>
      <c r="J157" s="215"/>
      <c r="K157" s="215"/>
      <c r="L157" s="215"/>
      <c r="M157" s="215"/>
      <c r="N157" s="218" t="str">
        <f>IF(ROUND(CF!N47,0)=ROUND(SUM(CF!J47:M47),0),"OK","ERROR")</f>
        <v>OK</v>
      </c>
      <c r="O157" s="208"/>
      <c r="P157" s="215"/>
      <c r="Q157" s="215"/>
      <c r="R157" s="215"/>
      <c r="S157" s="215"/>
      <c r="T157" s="218" t="str">
        <f>IF(ROUND(CF!T47,0)=ROUND(SUM(CF!P47:S47),0),"OK","ERROR")</f>
        <v>OK</v>
      </c>
      <c r="U157" s="208"/>
      <c r="V157" s="215"/>
      <c r="W157" s="215"/>
      <c r="X157" s="215"/>
      <c r="Y157" s="215"/>
      <c r="Z157" s="218" t="str">
        <f>IF(ROUND(CF!Z47,0)=ROUND(SUM(CF!V47:Y47),0),"OK","ERROR")</f>
        <v>OK</v>
      </c>
      <c r="AA157" s="208"/>
      <c r="AB157" s="215"/>
      <c r="AC157" s="215"/>
      <c r="AD157" s="215"/>
      <c r="AE157" s="215"/>
      <c r="AF157" s="218" t="str">
        <f>IF(ROUND(CF!AF47,0)=ROUND(SUM(CF!AB47:AE47),0),"OK","ERROR")</f>
        <v>OK</v>
      </c>
      <c r="AG157" s="236"/>
      <c r="AH157" s="215"/>
      <c r="AI157" s="215"/>
      <c r="AJ157" s="210"/>
      <c r="AK157" s="210"/>
      <c r="AL157" s="218" t="str">
        <f>IF(ROUND(CF!AL47,0)=ROUND(SUM(CF!AH47:AK47),0),"OK","ERROR")</f>
        <v>OK</v>
      </c>
      <c r="AM157" s="223"/>
      <c r="AN157" s="210"/>
      <c r="AO157" s="210"/>
      <c r="AP157" s="210"/>
      <c r="AQ157" s="210"/>
      <c r="AR157" s="218" t="str">
        <f>IF(ROUND(CF!AR47,0)=ROUND(SUM(CF!AN47:AQ47),0),"OK","ERROR")</f>
        <v>OK</v>
      </c>
      <c r="AS157" s="223"/>
      <c r="AT157" s="218" t="str">
        <f>IF(ROUND(CF!AT47,0)=ROUND(SUM(CF!AP47:AS47),0),"OK","ERROR")</f>
        <v>OK</v>
      </c>
      <c r="AU157" s="223"/>
      <c r="AV157" s="218" t="str">
        <f>IF(ROUND(CF!AV47,0)=ROUND(SUM(CF!AR47:AU47),0),"OK","ERROR")</f>
        <v>OK</v>
      </c>
      <c r="AW157" s="244"/>
      <c r="AX157" s="218" t="str">
        <f>IF(ROUND(CF!AX47,0)=ROUND(SUM(CF!AT47:AW47),0),"OK","ERROR")</f>
        <v>OK</v>
      </c>
    </row>
    <row r="158" spans="1:50" s="54" customFormat="1" ht="15" customHeight="1">
      <c r="A158" s="111"/>
      <c r="C158" s="113"/>
      <c r="D158" s="206"/>
      <c r="E158" s="206"/>
      <c r="F158" s="206"/>
      <c r="G158" s="206"/>
      <c r="H158" s="218"/>
      <c r="I158" s="208"/>
      <c r="J158" s="206"/>
      <c r="K158" s="206"/>
      <c r="L158" s="206"/>
      <c r="M158" s="206"/>
      <c r="N158" s="218"/>
      <c r="O158" s="208"/>
      <c r="P158" s="206"/>
      <c r="Q158" s="206"/>
      <c r="R158" s="206"/>
      <c r="S158" s="206"/>
      <c r="T158" s="218"/>
      <c r="U158" s="208"/>
      <c r="V158" s="206"/>
      <c r="W158" s="206"/>
      <c r="X158" s="206"/>
      <c r="Y158" s="206"/>
      <c r="Z158" s="218"/>
      <c r="AA158" s="208"/>
      <c r="AB158" s="206"/>
      <c r="AC158" s="206"/>
      <c r="AD158" s="206"/>
      <c r="AE158" s="206"/>
      <c r="AF158" s="218"/>
      <c r="AG158" s="236"/>
      <c r="AH158" s="206"/>
      <c r="AI158" s="206"/>
      <c r="AJ158" s="210"/>
      <c r="AK158" s="210"/>
      <c r="AL158" s="218"/>
      <c r="AM158" s="237"/>
      <c r="AN158" s="210"/>
      <c r="AO158" s="210"/>
      <c r="AP158" s="210"/>
      <c r="AQ158" s="210"/>
      <c r="AR158" s="218"/>
      <c r="AS158" s="237"/>
      <c r="AT158" s="218"/>
      <c r="AU158" s="237"/>
      <c r="AV158" s="218"/>
      <c r="AW158" s="244"/>
      <c r="AX158" s="218"/>
    </row>
    <row r="159" spans="1:50" s="54" customFormat="1" ht="15" customHeight="1">
      <c r="A159" s="44" t="s">
        <v>39</v>
      </c>
      <c r="B159" s="156" t="s">
        <v>691</v>
      </c>
      <c r="C159" s="17"/>
      <c r="D159" s="215"/>
      <c r="E159" s="215"/>
      <c r="F159" s="215"/>
      <c r="G159" s="215"/>
      <c r="H159" s="224" t="str">
        <f>IF(ROUND(CF!H49,0)=ROUND(SUM(CF!D49:G49),0),"OK","ERROR")</f>
        <v>OK</v>
      </c>
      <c r="I159" s="208"/>
      <c r="J159" s="215"/>
      <c r="K159" s="215"/>
      <c r="L159" s="215"/>
      <c r="M159" s="215"/>
      <c r="N159" s="224" t="str">
        <f>IF(ROUND(CF!N49,0)=ROUND(SUM(CF!J49:M49),0),"OK","ERROR")</f>
        <v>OK</v>
      </c>
      <c r="O159" s="208"/>
      <c r="P159" s="215"/>
      <c r="Q159" s="215"/>
      <c r="R159" s="215"/>
      <c r="S159" s="215"/>
      <c r="T159" s="224" t="str">
        <f>IF(ROUND(CF!T49,0)=ROUND(SUM(CF!P49:S49),0),"OK","ERROR")</f>
        <v>OK</v>
      </c>
      <c r="U159" s="208"/>
      <c r="V159" s="215"/>
      <c r="W159" s="215"/>
      <c r="X159" s="215"/>
      <c r="Y159" s="215"/>
      <c r="Z159" s="224" t="str">
        <f>IF(ROUND(CF!Z49,0)=ROUND(SUM(CF!V49:Y49),0),"OK","ERROR")</f>
        <v>OK</v>
      </c>
      <c r="AA159" s="208"/>
      <c r="AB159" s="215"/>
      <c r="AC159" s="215"/>
      <c r="AD159" s="215"/>
      <c r="AE159" s="215"/>
      <c r="AF159" s="224" t="str">
        <f>IF(ROUND(CF!AF49,0)=ROUND(SUM(CF!AB49:AE49),0),"OK","ERROR")</f>
        <v>OK</v>
      </c>
      <c r="AG159" s="236"/>
      <c r="AH159" s="215"/>
      <c r="AI159" s="215"/>
      <c r="AJ159" s="210"/>
      <c r="AK159" s="210"/>
      <c r="AL159" s="224" t="str">
        <f>IF(ROUND(CF!AL49,0)=ROUND(SUM(CF!AH49:AK49),0),"OK","ERROR")</f>
        <v>ERROR</v>
      </c>
      <c r="AM159" s="237"/>
      <c r="AN159" s="210"/>
      <c r="AO159" s="210"/>
      <c r="AP159" s="210"/>
      <c r="AQ159" s="210"/>
      <c r="AR159" s="224" t="str">
        <f>IF(ROUND(CF!AR49,0)=ROUND(SUM(CF!AN49:AQ49),0),"OK","ERROR")</f>
        <v>OK</v>
      </c>
      <c r="AS159" s="237"/>
      <c r="AT159" s="224" t="str">
        <f>IF(ROUND(CF!AT49,0)=ROUND(SUM(CF!AP49:AS49),0),"OK","ERROR")</f>
        <v>OK</v>
      </c>
      <c r="AU159" s="237"/>
      <c r="AV159" s="224" t="str">
        <f>IF(ROUND(CF!AV49,0)=ROUND(SUM(CF!AR49:AU49),0),"OK","ERROR")</f>
        <v>OK</v>
      </c>
      <c r="AW159" s="244"/>
      <c r="AX159" s="224" t="str">
        <f>IF(ROUND(CF!AX49,0)=ROUND(SUM(CF!AT49:AW49),0),"OK","ERROR")</f>
        <v>OK</v>
      </c>
    </row>
    <row r="161" spans="1:50" s="41" customFormat="1" ht="15" customHeight="1">
      <c r="A161" s="44" t="s">
        <v>39</v>
      </c>
      <c r="B161" s="159" t="s">
        <v>704</v>
      </c>
      <c r="C161" s="18"/>
      <c r="D161" s="200"/>
      <c r="E161" s="200">
        <f>F161</f>
        <v>2020</v>
      </c>
      <c r="F161" s="200">
        <v>2020</v>
      </c>
      <c r="G161" s="200">
        <f>F161</f>
        <v>2020</v>
      </c>
      <c r="H161" s="200">
        <f>F161</f>
        <v>2020</v>
      </c>
      <c r="I161" s="18"/>
      <c r="J161" s="200">
        <f>L161</f>
        <v>2021</v>
      </c>
      <c r="K161" s="200">
        <f>L161</f>
        <v>2021</v>
      </c>
      <c r="L161" s="200">
        <v>2021</v>
      </c>
      <c r="M161" s="200">
        <f>L161</f>
        <v>2021</v>
      </c>
      <c r="N161" s="200">
        <f>L161</f>
        <v>2021</v>
      </c>
      <c r="O161" s="167"/>
      <c r="P161" s="200">
        <f>R161</f>
        <v>2022</v>
      </c>
      <c r="Q161" s="200">
        <f>R161</f>
        <v>2022</v>
      </c>
      <c r="R161" s="200">
        <v>2022</v>
      </c>
      <c r="S161" s="200">
        <f>R161</f>
        <v>2022</v>
      </c>
      <c r="T161" s="200">
        <f>R161</f>
        <v>2022</v>
      </c>
      <c r="U161" s="167"/>
      <c r="V161" s="200">
        <f>X161</f>
        <v>2023</v>
      </c>
      <c r="W161" s="200">
        <f>X161</f>
        <v>2023</v>
      </c>
      <c r="X161" s="200">
        <v>2023</v>
      </c>
      <c r="Y161" s="200">
        <f>X161</f>
        <v>2023</v>
      </c>
      <c r="Z161" s="200">
        <f>X161</f>
        <v>2023</v>
      </c>
      <c r="AA161" s="168"/>
      <c r="AB161" s="200">
        <f>AD161</f>
        <v>2024</v>
      </c>
      <c r="AC161" s="200">
        <f>AD161</f>
        <v>2024</v>
      </c>
      <c r="AD161" s="200">
        <v>2024</v>
      </c>
      <c r="AE161" s="200">
        <f>AD161</f>
        <v>2024</v>
      </c>
      <c r="AF161" s="200">
        <f>AD161</f>
        <v>2024</v>
      </c>
      <c r="AG161" s="168"/>
      <c r="AH161" s="200">
        <f>AJ161</f>
        <v>2025</v>
      </c>
      <c r="AI161" s="200">
        <f>AJ161</f>
        <v>2025</v>
      </c>
      <c r="AJ161" s="201">
        <v>2025</v>
      </c>
      <c r="AK161" s="200">
        <f>AJ161</f>
        <v>2025</v>
      </c>
      <c r="AL161" s="200">
        <f>AJ161</f>
        <v>2025</v>
      </c>
      <c r="AM161" s="169"/>
      <c r="AN161" s="200">
        <f>AP161</f>
        <v>2025</v>
      </c>
      <c r="AO161" s="200">
        <f>AP161</f>
        <v>2025</v>
      </c>
      <c r="AP161" s="201">
        <v>2025</v>
      </c>
      <c r="AQ161" s="200">
        <f>AP161</f>
        <v>2025</v>
      </c>
      <c r="AR161" s="200">
        <f>AP161</f>
        <v>2025</v>
      </c>
      <c r="AS161" s="18"/>
      <c r="AT161" s="160"/>
      <c r="AU161" s="18"/>
      <c r="AV161" s="161"/>
      <c r="AW161" s="18"/>
      <c r="AX161" s="161"/>
    </row>
    <row r="162" spans="1:50" s="41" customFormat="1" ht="15" customHeight="1">
      <c r="B162" s="162"/>
      <c r="C162" s="18"/>
      <c r="D162" s="950">
        <v>2020</v>
      </c>
      <c r="E162" s="950"/>
      <c r="F162" s="950"/>
      <c r="G162" s="950"/>
      <c r="H162" s="950"/>
      <c r="I162" s="167"/>
      <c r="J162" s="950">
        <f>D162+1</f>
        <v>2021</v>
      </c>
      <c r="K162" s="950"/>
      <c r="L162" s="950"/>
      <c r="M162" s="950"/>
      <c r="N162" s="950"/>
      <c r="O162" s="167"/>
      <c r="P162" s="950">
        <f>J162+1</f>
        <v>2022</v>
      </c>
      <c r="Q162" s="950"/>
      <c r="R162" s="950"/>
      <c r="S162" s="950"/>
      <c r="T162" s="950"/>
      <c r="U162" s="167"/>
      <c r="V162" s="950">
        <f>P162+1</f>
        <v>2023</v>
      </c>
      <c r="W162" s="950"/>
      <c r="X162" s="950"/>
      <c r="Y162" s="950"/>
      <c r="Z162" s="950"/>
      <c r="AA162" s="167"/>
      <c r="AB162" s="950">
        <f>V162+1</f>
        <v>2024</v>
      </c>
      <c r="AC162" s="950"/>
      <c r="AD162" s="950"/>
      <c r="AE162" s="950"/>
      <c r="AF162" s="950"/>
      <c r="AG162" s="167"/>
      <c r="AH162" s="949">
        <f>AB162+1</f>
        <v>2025</v>
      </c>
      <c r="AI162" s="949"/>
      <c r="AJ162" s="949"/>
      <c r="AK162" s="949"/>
      <c r="AL162" s="949"/>
      <c r="AM162" s="167"/>
      <c r="AN162" s="949">
        <f>AH162+1</f>
        <v>2026</v>
      </c>
      <c r="AO162" s="949"/>
      <c r="AP162" s="949"/>
      <c r="AQ162" s="949"/>
      <c r="AR162" s="949"/>
      <c r="AS162" s="169"/>
      <c r="AT162" s="164">
        <f>AN162+1</f>
        <v>2027</v>
      </c>
      <c r="AU162" s="165"/>
      <c r="AV162" s="164">
        <f>+AT162+1</f>
        <v>2028</v>
      </c>
      <c r="AW162" s="165"/>
      <c r="AX162" s="164">
        <f>+AV162+1</f>
        <v>2029</v>
      </c>
    </row>
    <row r="163" spans="1:50" s="41" customFormat="1" ht="15" customHeight="1">
      <c r="B163" s="162"/>
      <c r="C163" s="18"/>
      <c r="D163" s="166" t="s">
        <v>197</v>
      </c>
      <c r="E163" s="166" t="s">
        <v>198</v>
      </c>
      <c r="F163" s="166" t="s">
        <v>199</v>
      </c>
      <c r="G163" s="166" t="s">
        <v>200</v>
      </c>
      <c r="H163" s="166" t="s">
        <v>201</v>
      </c>
      <c r="I163" s="18"/>
      <c r="J163" s="166" t="s">
        <v>197</v>
      </c>
      <c r="K163" s="166" t="s">
        <v>198</v>
      </c>
      <c r="L163" s="166" t="s">
        <v>199</v>
      </c>
      <c r="M163" s="166" t="s">
        <v>200</v>
      </c>
      <c r="N163" s="166" t="s">
        <v>201</v>
      </c>
      <c r="O163" s="163"/>
      <c r="P163" s="166" t="s">
        <v>197</v>
      </c>
      <c r="Q163" s="166" t="s">
        <v>198</v>
      </c>
      <c r="R163" s="166" t="s">
        <v>199</v>
      </c>
      <c r="S163" s="166" t="s">
        <v>200</v>
      </c>
      <c r="T163" s="166" t="s">
        <v>201</v>
      </c>
      <c r="U163" s="163"/>
      <c r="V163" s="166" t="s">
        <v>197</v>
      </c>
      <c r="W163" s="166" t="s">
        <v>198</v>
      </c>
      <c r="X163" s="166" t="s">
        <v>199</v>
      </c>
      <c r="Y163" s="166" t="s">
        <v>200</v>
      </c>
      <c r="Z163" s="166" t="s">
        <v>201</v>
      </c>
      <c r="AA163" s="163"/>
      <c r="AB163" s="166" t="s">
        <v>197</v>
      </c>
      <c r="AC163" s="166" t="s">
        <v>198</v>
      </c>
      <c r="AD163" s="166" t="s">
        <v>199</v>
      </c>
      <c r="AE163" s="166" t="s">
        <v>200</v>
      </c>
      <c r="AF163" s="166" t="s">
        <v>201</v>
      </c>
      <c r="AG163" s="163"/>
      <c r="AH163" s="166" t="s">
        <v>197</v>
      </c>
      <c r="AI163" s="166" t="s">
        <v>198</v>
      </c>
      <c r="AJ163" s="166" t="s">
        <v>199</v>
      </c>
      <c r="AK163" s="166" t="s">
        <v>200</v>
      </c>
      <c r="AL163" s="166" t="s">
        <v>201</v>
      </c>
      <c r="AM163" s="163"/>
      <c r="AN163" s="166" t="s">
        <v>197</v>
      </c>
      <c r="AO163" s="166" t="s">
        <v>198</v>
      </c>
      <c r="AP163" s="166" t="s">
        <v>199</v>
      </c>
      <c r="AQ163" s="166" t="s">
        <v>200</v>
      </c>
      <c r="AR163" s="166" t="s">
        <v>201</v>
      </c>
      <c r="AS163" s="163"/>
      <c r="AT163" s="166" t="s">
        <v>201</v>
      </c>
      <c r="AU163" s="163"/>
      <c r="AV163" s="166" t="s">
        <v>201</v>
      </c>
      <c r="AW163" s="163"/>
      <c r="AX163" s="166" t="s">
        <v>201</v>
      </c>
    </row>
    <row r="164" spans="1:50" s="41" customFormat="1" ht="3.95" customHeight="1">
      <c r="A164" s="43"/>
      <c r="B164" s="174"/>
      <c r="C164" s="35"/>
      <c r="D164" s="175"/>
      <c r="E164" s="175"/>
      <c r="F164" s="175"/>
      <c r="G164" s="175"/>
      <c r="H164" s="175"/>
      <c r="I164" s="35"/>
      <c r="J164" s="175"/>
      <c r="K164" s="175"/>
      <c r="L164" s="175"/>
      <c r="M164" s="175"/>
      <c r="N164" s="175"/>
      <c r="O164" s="176"/>
      <c r="P164" s="175"/>
      <c r="Q164" s="175"/>
      <c r="R164" s="175"/>
      <c r="S164" s="175"/>
      <c r="T164" s="175"/>
      <c r="U164" s="176"/>
      <c r="V164" s="175"/>
      <c r="W164" s="175"/>
      <c r="X164" s="175"/>
      <c r="Y164" s="175"/>
      <c r="Z164" s="175"/>
      <c r="AA164" s="176"/>
      <c r="AB164" s="175"/>
      <c r="AC164" s="175"/>
      <c r="AD164" s="175"/>
      <c r="AE164" s="175"/>
      <c r="AF164" s="175"/>
      <c r="AG164" s="176"/>
      <c r="AH164" s="175"/>
      <c r="AI164" s="175"/>
      <c r="AJ164" s="175"/>
      <c r="AK164" s="175"/>
      <c r="AL164" s="177"/>
      <c r="AM164" s="178"/>
      <c r="AN164" s="177"/>
      <c r="AO164" s="177"/>
      <c r="AP164" s="177"/>
      <c r="AQ164" s="177"/>
      <c r="AR164" s="177"/>
      <c r="AS164" s="178"/>
      <c r="AT164" s="177"/>
      <c r="AU164" s="178"/>
      <c r="AV164" s="177"/>
      <c r="AW164" s="178"/>
      <c r="AX164" s="177"/>
    </row>
    <row r="165" spans="1:50" s="41" customFormat="1" ht="3.95" customHeight="1">
      <c r="A165" s="43"/>
      <c r="B165" s="170"/>
      <c r="C165" s="19"/>
      <c r="D165" s="171"/>
      <c r="E165" s="171"/>
      <c r="F165" s="171"/>
      <c r="G165" s="171"/>
      <c r="H165" s="171"/>
      <c r="I165" s="19"/>
      <c r="J165" s="171"/>
      <c r="K165" s="171"/>
      <c r="L165" s="171"/>
      <c r="M165" s="171"/>
      <c r="N165" s="171"/>
      <c r="O165" s="172"/>
      <c r="P165" s="171"/>
      <c r="Q165" s="171"/>
      <c r="R165" s="171"/>
      <c r="S165" s="171"/>
      <c r="T165" s="171"/>
      <c r="U165" s="172"/>
      <c r="V165" s="171"/>
      <c r="W165" s="171"/>
      <c r="X165" s="171"/>
      <c r="Y165" s="171"/>
      <c r="Z165" s="171"/>
      <c r="AA165" s="172"/>
      <c r="AB165" s="171"/>
      <c r="AC165" s="171"/>
      <c r="AD165" s="171"/>
      <c r="AE165" s="171"/>
      <c r="AF165" s="171"/>
      <c r="AG165" s="202"/>
      <c r="AH165" s="171"/>
      <c r="AI165" s="171"/>
      <c r="AJ165" s="171"/>
      <c r="AK165" s="171"/>
      <c r="AL165" s="173"/>
      <c r="AM165" s="34"/>
      <c r="AN165" s="173"/>
      <c r="AO165" s="173"/>
      <c r="AP165" s="173"/>
      <c r="AQ165" s="173"/>
      <c r="AR165" s="173"/>
      <c r="AS165" s="34"/>
      <c r="AT165" s="173"/>
      <c r="AU165" s="34"/>
      <c r="AV165" s="173"/>
      <c r="AW165" s="34"/>
      <c r="AX165" s="173"/>
    </row>
    <row r="166" spans="1:50" s="54" customFormat="1" ht="15" customHeight="1">
      <c r="A166" s="43"/>
      <c r="B166" s="152"/>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39</v>
      </c>
      <c r="B167" s="152" t="s">
        <v>664</v>
      </c>
      <c r="C167" s="17"/>
      <c r="D167" s="206"/>
      <c r="E167" s="206"/>
      <c r="F167" s="206"/>
      <c r="G167" s="206"/>
      <c r="H167" s="218"/>
      <c r="I167" s="208"/>
      <c r="J167" s="206"/>
      <c r="K167" s="206"/>
      <c r="L167" s="206"/>
      <c r="M167" s="206"/>
      <c r="N167" s="218"/>
      <c r="O167" s="207"/>
      <c r="P167" s="206"/>
      <c r="Q167" s="206"/>
      <c r="R167" s="206"/>
      <c r="S167" s="206"/>
      <c r="T167" s="218"/>
      <c r="U167" s="207"/>
      <c r="V167" s="206"/>
      <c r="W167" s="206"/>
      <c r="X167" s="206"/>
      <c r="Y167" s="206"/>
      <c r="Z167" s="218"/>
      <c r="AA167" s="207"/>
      <c r="AB167" s="206"/>
      <c r="AC167" s="206"/>
      <c r="AD167" s="206"/>
      <c r="AE167" s="206"/>
      <c r="AF167" s="218"/>
      <c r="AG167" s="209"/>
      <c r="AH167" s="206"/>
      <c r="AI167" s="206"/>
      <c r="AJ167" s="210"/>
      <c r="AK167" s="210"/>
      <c r="AL167" s="220"/>
      <c r="AM167" s="213"/>
      <c r="AN167" s="210"/>
      <c r="AO167" s="210"/>
      <c r="AP167" s="210"/>
      <c r="AQ167" s="210"/>
      <c r="AR167" s="220"/>
      <c r="AS167" s="213"/>
      <c r="AT167" s="220"/>
      <c r="AU167" s="213"/>
      <c r="AV167" s="220"/>
      <c r="AW167" s="244"/>
      <c r="AX167" s="220"/>
    </row>
    <row r="168" spans="1:50" s="54" customFormat="1" ht="15" customHeight="1" thickBot="1">
      <c r="A168" s="84"/>
      <c r="B168" s="155" t="s">
        <v>671</v>
      </c>
      <c r="C168" s="26"/>
      <c r="D168" s="215" t="str">
        <f>IF(ROUND(CF!D25,0)=ROUND(SUM(CF!D15,CF!D17:D19,CF!D21:D24),0),"OK","ERROR")</f>
        <v>ERROR</v>
      </c>
      <c r="E168" s="215" t="str">
        <f>IF(ROUND(CF!E25,0)=ROUND(SUM(CF!E15,CF!E17:E19,CF!E21:E24),0),"OK","ERROR")</f>
        <v>ERROR</v>
      </c>
      <c r="F168" s="215" t="str">
        <f>IF(ROUND(CF!F25,0)=ROUND(SUM(CF!F15,CF!F17:F19,CF!F21:F24),0),"OK","ERROR")</f>
        <v>ERROR</v>
      </c>
      <c r="G168" s="215" t="str">
        <f>IF(ROUND(CF!G25,0)=ROUND(SUM(CF!G15,CF!G17:G19,CF!G21:G24),0),"OK","ERROR")</f>
        <v>ERROR</v>
      </c>
      <c r="H168" s="235" t="str">
        <f>IF(ROUND(CF!H25,0)=ROUND(SUM(CF!H15,CF!H17:H19,CF!H21:H24),0),"OK","ERROR")</f>
        <v>ERROR</v>
      </c>
      <c r="I168" s="208"/>
      <c r="J168" s="215" t="str">
        <f>IF(ROUND(CF!J25,0)=ROUND(SUM(CF!J15,CF!J17:J19,CF!J21:J24),0),"OK","ERROR")</f>
        <v>ERROR</v>
      </c>
      <c r="K168" s="215" t="str">
        <f>IF(ROUND(CF!K25,0)=ROUND(SUM(CF!K15,CF!K17:K19,CF!K21:K24),0),"OK","ERROR")</f>
        <v>ERROR</v>
      </c>
      <c r="L168" s="215" t="str">
        <f>IF(ROUND(CF!L25,0)=ROUND(SUM(CF!L15,CF!L17:L19,CF!L21:L24),0),"OK","ERROR")</f>
        <v>ERROR</v>
      </c>
      <c r="M168" s="215" t="str">
        <f>IF(ROUND(CF!M25,0)=ROUND(SUM(CF!M15,CF!M17:M19,CF!M21:M24),0),"OK","ERROR")</f>
        <v>ERROR</v>
      </c>
      <c r="N168" s="235" t="str">
        <f>IF(ROUND(CF!N25,0)=ROUND(SUM(CF!N15,CF!N17:N19,CF!N21:N24),0),"OK","ERROR")</f>
        <v>ERROR</v>
      </c>
      <c r="O168" s="208"/>
      <c r="P168" s="215" t="str">
        <f>IF(ROUND(CF!P25,0)=ROUND(SUM(CF!P15,CF!P17:P19,CF!P21:P24),0),"OK","ERROR")</f>
        <v>ERROR</v>
      </c>
      <c r="Q168" s="215" t="str">
        <f>IF(ROUND(CF!Q25,0)=ROUND(SUM(CF!Q15,CF!Q17:Q19,CF!Q21:Q24),0),"OK","ERROR")</f>
        <v>ERROR</v>
      </c>
      <c r="R168" s="215" t="str">
        <f>IF(ROUND(CF!R25,0)=ROUND(SUM(CF!R15,CF!R17:R19,CF!R21:R24),0),"OK","ERROR")</f>
        <v>ERROR</v>
      </c>
      <c r="S168" s="215" t="str">
        <f>IF(ROUND(CF!S25,0)=ROUND(SUM(CF!S15,CF!S17:S19,CF!S21:S24),0),"OK","ERROR")</f>
        <v>ERROR</v>
      </c>
      <c r="T168" s="235" t="str">
        <f>IF(ROUND(CF!T25,0)=ROUND(SUM(CF!T15,CF!T17:T19,CF!T21:T24),0),"OK","ERROR")</f>
        <v>ERROR</v>
      </c>
      <c r="U168" s="208"/>
      <c r="V168" s="215" t="str">
        <f>IF(ROUND(CF!V25,0)=ROUND(SUM(CF!V15,CF!V17:V19,CF!V21:V24),0),"OK","ERROR")</f>
        <v>ERROR</v>
      </c>
      <c r="W168" s="215" t="str">
        <f>IF(ROUND(CF!W25,0)=ROUND(SUM(CF!W15,CF!W17:W19,CF!W21:W24),0),"OK","ERROR")</f>
        <v>ERROR</v>
      </c>
      <c r="X168" s="215" t="str">
        <f>IF(ROUND(CF!X25,0)=ROUND(SUM(CF!X15,CF!X17:X19,CF!X21:X24),0),"OK","ERROR")</f>
        <v>ERROR</v>
      </c>
      <c r="Y168" s="215" t="str">
        <f>IF(ROUND(CF!Y25,0)=ROUND(SUM(CF!Y15,CF!Y17:Y19,CF!Y21:Y24),0),"OK","ERROR")</f>
        <v>ERROR</v>
      </c>
      <c r="Z168" s="235" t="str">
        <f>IF(ROUND(CF!Z25,0)=ROUND(SUM(CF!Z15,CF!Z17:Z19,CF!Z21:Z24),0),"OK","ERROR")</f>
        <v>ERROR</v>
      </c>
      <c r="AA168" s="226"/>
      <c r="AB168" s="215" t="str">
        <f>IF(ROUND(CF!AB25,0)=ROUND(SUM(CF!AB15,CF!AB17:AB19,CF!AB21:AB24),0),"OK","ERROR")</f>
        <v>ERROR</v>
      </c>
      <c r="AC168" s="215" t="str">
        <f>IF(ROUND(CF!AC25,0)=ROUND(SUM(CF!AC15,CF!AC17:AC19,CF!AC21:AC24),0),"OK","ERROR")</f>
        <v>ERROR</v>
      </c>
      <c r="AD168" s="215" t="str">
        <f>IF(ROUND(CF!AD25,0)=ROUND(SUM(CF!AD15,CF!AD17:AD19,CF!AD21:AD24),0),"OK","ERROR")</f>
        <v>ERROR</v>
      </c>
      <c r="AE168" s="215" t="str">
        <f>IF(ROUND(CF!AE25,0)=ROUND(SUM(CF!AE15,CF!AE17:AE19,CF!AE21:AE24),0),"OK","ERROR")</f>
        <v>ERROR</v>
      </c>
      <c r="AF168" s="235" t="str">
        <f>IF(ROUND(CF!AF25,0)=ROUND(SUM(CF!AF15,CF!AF17:AF19,CF!AF21:AF24),0),"OK","ERROR")</f>
        <v>ERROR</v>
      </c>
      <c r="AG168" s="227"/>
      <c r="AH168" s="215" t="str">
        <f>IF(ROUND(CF!AH25,0)=ROUND(SUM(CF!AH15,CF!AH17:AH19,CF!AH21:AH24),0),"OK","ERROR")</f>
        <v>ERROR</v>
      </c>
      <c r="AI168" s="215" t="str">
        <f>IF(ROUND(CF!AI25,0)=ROUND(SUM(CF!AI15,CF!AI17:AI19,CF!AI21:AI24),0),"OK","ERROR")</f>
        <v>ERROR</v>
      </c>
      <c r="AJ168" s="215" t="str">
        <f>IF(ROUND(CF!AJ24,0)=ROUND(SUM(CF!AJ15,CF!AJ17:AJ19,CF!AJ21:AJ24),0),"OK","ERROR")</f>
        <v>OK</v>
      </c>
      <c r="AK168" s="215" t="str">
        <f>IF(ROUND(CF!AK25,0)=ROUND(SUM(CF!AK15,CF!AK17:AK19,CF!AK21:AK24),0),"OK","ERROR")</f>
        <v>OK</v>
      </c>
      <c r="AL168" s="235" t="str">
        <f>IF(ROUND(CF!AL25,0)=ROUND(SUM(CF!AL15,CF!AL17:AL19,CF!AL21:AL24),0),"OK","ERROR")</f>
        <v>OK</v>
      </c>
      <c r="AM168" s="228"/>
      <c r="AN168" s="215" t="str">
        <f>IF(ROUND(CF!AN25,0)=ROUND(SUM(CF!AN15,CF!AN17:AN19,CF!AN21:AN24),0),"OK","ERROR")</f>
        <v>OK</v>
      </c>
      <c r="AO168" s="215" t="str">
        <f>IF(ROUND(CF!AO25,0)=ROUND(SUM(CF!AO15,CF!AO17:AO19,CF!AO21:AO24),0),"OK","ERROR")</f>
        <v>OK</v>
      </c>
      <c r="AP168" s="215" t="str">
        <f>IF(ROUND(CF!AP25,0)=ROUND(SUM(CF!AP15,CF!AP17:AP19,CF!AP21:AP24),0),"OK","ERROR")</f>
        <v>OK</v>
      </c>
      <c r="AQ168" s="215" t="str">
        <f>IF(ROUND(CF!AQ25,0)=ROUND(SUM(CF!AQ15,CF!AQ17:AQ19,CF!AQ21:AQ24),0),"OK","ERROR")</f>
        <v>OK</v>
      </c>
      <c r="AR168" s="235" t="str">
        <f>IF(ROUND(CF!AR25,0)=ROUND(SUM(CF!AR15,CF!AR17:AR19,CF!AR21:AR24),0),"OK","ERROR")</f>
        <v>OK</v>
      </c>
      <c r="AS168" s="228"/>
      <c r="AT168" s="235" t="str">
        <f>IF(ROUND(CF!AT25,0)=ROUND(SUM(CF!AT15,CF!AT17:AT19,CF!AT21:AT24),0),"OK","ERROR")</f>
        <v>OK</v>
      </c>
      <c r="AU168" s="228"/>
      <c r="AV168" s="235" t="str">
        <f>IF(ROUND(CF!AV25,0)=ROUND(SUM(CF!AV15,CF!AV17:AV19,CF!AV21:AV24),0),"OK","ERROR")</f>
        <v>OK</v>
      </c>
      <c r="AW168" s="244"/>
      <c r="AX168" s="235" t="str">
        <f>IF(ROUND(CF!AX25,0)=ROUND(SUM(CF!AX15,CF!AX17:AX19,CF!AX21:AX24),0),"OK","ERROR")</f>
        <v>OK</v>
      </c>
    </row>
    <row r="169" spans="1:50" s="54" customFormat="1" ht="15" customHeight="1" thickTop="1">
      <c r="A169" s="43"/>
      <c r="B169" s="152"/>
      <c r="C169" s="17"/>
      <c r="D169" s="206"/>
      <c r="E169" s="206"/>
      <c r="F169" s="206"/>
      <c r="G169" s="206"/>
      <c r="H169" s="218"/>
      <c r="I169" s="208"/>
      <c r="J169" s="206"/>
      <c r="K169" s="206"/>
      <c r="L169" s="206"/>
      <c r="M169" s="206"/>
      <c r="N169" s="218"/>
      <c r="O169" s="208"/>
      <c r="P169" s="206"/>
      <c r="Q169" s="206"/>
      <c r="R169" s="206"/>
      <c r="S169" s="206"/>
      <c r="T169" s="218"/>
      <c r="U169" s="208"/>
      <c r="V169" s="206"/>
      <c r="W169" s="206"/>
      <c r="X169" s="206"/>
      <c r="Y169" s="206"/>
      <c r="Z169" s="218"/>
      <c r="AA169" s="211"/>
      <c r="AB169" s="206"/>
      <c r="AC169" s="206"/>
      <c r="AD169" s="206"/>
      <c r="AE169" s="206"/>
      <c r="AF169" s="218"/>
      <c r="AG169" s="209"/>
      <c r="AH169" s="206"/>
      <c r="AI169" s="206"/>
      <c r="AJ169" s="206"/>
      <c r="AK169" s="206"/>
      <c r="AL169" s="218"/>
      <c r="AM169" s="223"/>
      <c r="AN169" s="206"/>
      <c r="AO169" s="206"/>
      <c r="AP169" s="206"/>
      <c r="AQ169" s="206"/>
      <c r="AR169" s="218"/>
      <c r="AS169" s="223"/>
      <c r="AT169" s="218"/>
      <c r="AU169" s="223"/>
      <c r="AV169" s="218"/>
      <c r="AW169" s="244"/>
      <c r="AX169" s="218"/>
    </row>
    <row r="170" spans="1:50" s="54" customFormat="1" ht="15" customHeight="1">
      <c r="A170" s="44" t="s">
        <v>39</v>
      </c>
      <c r="B170" s="156" t="s">
        <v>672</v>
      </c>
      <c r="C170" s="113"/>
      <c r="D170" s="206"/>
      <c r="E170" s="206"/>
      <c r="F170" s="206"/>
      <c r="G170" s="206"/>
      <c r="H170" s="218"/>
      <c r="I170" s="208"/>
      <c r="J170" s="206"/>
      <c r="K170" s="206"/>
      <c r="L170" s="206"/>
      <c r="M170" s="206"/>
      <c r="N170" s="218"/>
      <c r="O170" s="208"/>
      <c r="P170" s="206"/>
      <c r="Q170" s="206"/>
      <c r="R170" s="206"/>
      <c r="S170" s="206"/>
      <c r="T170" s="218"/>
      <c r="U170" s="208"/>
      <c r="V170" s="206"/>
      <c r="W170" s="206"/>
      <c r="X170" s="206"/>
      <c r="Y170" s="206"/>
      <c r="Z170" s="218"/>
      <c r="AA170" s="226"/>
      <c r="AB170" s="206"/>
      <c r="AC170" s="206"/>
      <c r="AD170" s="206"/>
      <c r="AE170" s="206"/>
      <c r="AF170" s="218"/>
      <c r="AG170" s="227"/>
      <c r="AH170" s="206"/>
      <c r="AI170" s="206"/>
      <c r="AJ170" s="206"/>
      <c r="AK170" s="206"/>
      <c r="AL170" s="218"/>
      <c r="AM170" s="228"/>
      <c r="AN170" s="206"/>
      <c r="AO170" s="206"/>
      <c r="AP170" s="206"/>
      <c r="AQ170" s="206"/>
      <c r="AR170" s="218"/>
      <c r="AS170" s="228"/>
      <c r="AT170" s="218"/>
      <c r="AU170" s="228"/>
      <c r="AV170" s="218"/>
      <c r="AW170" s="244"/>
      <c r="AX170" s="218"/>
    </row>
    <row r="171" spans="1:50" s="54" customFormat="1" ht="15" customHeight="1" thickBot="1">
      <c r="A171" s="111"/>
      <c r="B171" s="158" t="s">
        <v>681</v>
      </c>
      <c r="C171" s="17"/>
      <c r="D171" s="215" t="str">
        <f>IF(ROUND(CF!D36,0)=ROUND(SUM(CF!D28:D35),0),"OK","ERROR")</f>
        <v>ERROR</v>
      </c>
      <c r="E171" s="215" t="str">
        <f>IF(ROUND(CF!E36,0)=ROUND(SUM(CF!E28:E35),0),"OK","ERROR")</f>
        <v>ERROR</v>
      </c>
      <c r="F171" s="215" t="str">
        <f>IF(ROUND(CF!F36,0)=ROUND(SUM(CF!F28:F35),0),"OK","ERROR")</f>
        <v>ERROR</v>
      </c>
      <c r="G171" s="215" t="str">
        <f>IF(ROUND(CF!G36,0)=ROUND(SUM(CF!G28:G35),0),"OK","ERROR")</f>
        <v>ERROR</v>
      </c>
      <c r="H171" s="235" t="str">
        <f>IF(ROUND(CF!H36,0)=ROUND(SUM(CF!H28:H35),0),"OK","ERROR")</f>
        <v>ERROR</v>
      </c>
      <c r="I171" s="208"/>
      <c r="J171" s="215" t="str">
        <f>IF(ROUND(CF!J36,0)=ROUND(SUM(CF!J28:J35),0),"OK","ERROR")</f>
        <v>ERROR</v>
      </c>
      <c r="K171" s="215" t="str">
        <f>IF(ROUND(CF!K36,0)=ROUND(SUM(CF!K28:K35),0),"OK","ERROR")</f>
        <v>ERROR</v>
      </c>
      <c r="L171" s="215" t="str">
        <f>IF(ROUND(CF!L36,0)=ROUND(SUM(CF!L28:L35),0),"OK","ERROR")</f>
        <v>ERROR</v>
      </c>
      <c r="M171" s="215" t="str">
        <f>IF(ROUND(CF!M36,0)=ROUND(SUM(CF!M28:M35),0),"OK","ERROR")</f>
        <v>ERROR</v>
      </c>
      <c r="N171" s="235" t="str">
        <f>IF(ROUND(CF!N36,0)=ROUND(SUM(CF!N28:N35),0),"OK","ERROR")</f>
        <v>ERROR</v>
      </c>
      <c r="O171" s="208"/>
      <c r="P171" s="215" t="str">
        <f>IF(ROUND(CF!P36,0)=ROUND(SUM(CF!P28:P35),0),"OK","ERROR")</f>
        <v>ERROR</v>
      </c>
      <c r="Q171" s="215" t="str">
        <f>IF(ROUND(CF!Q36,0)=ROUND(SUM(CF!Q28:Q35),0),"OK","ERROR")</f>
        <v>ERROR</v>
      </c>
      <c r="R171" s="215" t="str">
        <f>IF(ROUND(CF!R36,0)=ROUND(SUM(CF!R28:R35),0),"OK","ERROR")</f>
        <v>ERROR</v>
      </c>
      <c r="S171" s="215" t="str">
        <f>IF(ROUND(CF!S36,0)=ROUND(SUM(CF!S28:S35),0),"OK","ERROR")</f>
        <v>ERROR</v>
      </c>
      <c r="T171" s="235" t="str">
        <f>IF(ROUND(CF!T36,0)=ROUND(SUM(CF!T28:T35),0),"OK","ERROR")</f>
        <v>ERROR</v>
      </c>
      <c r="U171" s="208"/>
      <c r="V171" s="215" t="str">
        <f>IF(ROUND(CF!V36,0)=ROUND(SUM(CF!V28:V35),0),"OK","ERROR")</f>
        <v>ERROR</v>
      </c>
      <c r="W171" s="215" t="str">
        <f>IF(ROUND(CF!W36,0)=ROUND(SUM(CF!W28:W35),0),"OK","ERROR")</f>
        <v>ERROR</v>
      </c>
      <c r="X171" s="215" t="str">
        <f>IF(ROUND(CF!X36,0)=ROUND(SUM(CF!X28:X35),0),"OK","ERROR")</f>
        <v>ERROR</v>
      </c>
      <c r="Y171" s="215" t="str">
        <f>IF(ROUND(CF!Y36,0)=ROUND(SUM(CF!Y28:Y35),0),"OK","ERROR")</f>
        <v>ERROR</v>
      </c>
      <c r="Z171" s="235" t="str">
        <f>IF(ROUND(CF!Z36,0)=ROUND(SUM(CF!Z28:Z35),0),"OK","ERROR")</f>
        <v>ERROR</v>
      </c>
      <c r="AA171" s="211"/>
      <c r="AB171" s="215" t="str">
        <f>IF(ROUND(CF!AB36,0)=ROUND(SUM(CF!AB28:AB35),0),"OK","ERROR")</f>
        <v>ERROR</v>
      </c>
      <c r="AC171" s="215" t="str">
        <f>IF(ROUND(CF!AC36,0)=ROUND(SUM(CF!AC28:AC35),0),"OK","ERROR")</f>
        <v>ERROR</v>
      </c>
      <c r="AD171" s="215" t="str">
        <f>IF(ROUND(CF!AD36,0)=ROUND(SUM(CF!AD28:AD35),0),"OK","ERROR")</f>
        <v>ERROR</v>
      </c>
      <c r="AE171" s="215" t="str">
        <f>IF(ROUND(CF!AE36,0)=ROUND(SUM(CF!AE28:AE35),0),"OK","ERROR")</f>
        <v>ERROR</v>
      </c>
      <c r="AF171" s="235" t="str">
        <f>IF(ROUND(CF!AF36,0)=ROUND(SUM(CF!AF28:AF35),0),"OK","ERROR")</f>
        <v>ERROR</v>
      </c>
      <c r="AG171" s="209"/>
      <c r="AH171" s="215" t="str">
        <f>IF(ROUND(CF!AH36,0)=ROUND(SUM(CF!AH28:AH35),0),"OK","ERROR")</f>
        <v>ERROR</v>
      </c>
      <c r="AI171" s="215" t="str">
        <f>IF(ROUND(CF!AI36,0)=ROUND(SUM(CF!AI28:AI35),0),"OK","ERROR")</f>
        <v>ERROR</v>
      </c>
      <c r="AJ171" s="215" t="str">
        <f>IF(ROUND(CF!AJ36,0)=ROUND(SUM(CF!AJ28:AJ35),0),"OK","ERROR")</f>
        <v>OK</v>
      </c>
      <c r="AK171" s="215" t="str">
        <f>IF(ROUND(CF!AK36,0)=ROUND(SUM(CF!AK28:AK35),0),"OK","ERROR")</f>
        <v>OK</v>
      </c>
      <c r="AL171" s="235" t="str">
        <f>IF(ROUND(CF!AL36,0)=ROUND(SUM(CF!AL28:AL35),0),"OK","ERROR")</f>
        <v>OK</v>
      </c>
      <c r="AM171" s="213"/>
      <c r="AN171" s="215" t="str">
        <f>IF(ROUND(CF!AN36,0)=ROUND(SUM(CF!AN28:AN35),0),"OK","ERROR")</f>
        <v>OK</v>
      </c>
      <c r="AO171" s="215" t="str">
        <f>IF(ROUND(CF!AO36,0)=ROUND(SUM(CF!AO28:AO35),0),"OK","ERROR")</f>
        <v>OK</v>
      </c>
      <c r="AP171" s="215" t="str">
        <f>IF(ROUND(CF!AP36,0)=ROUND(SUM(CF!AP28:AP35),0),"OK","ERROR")</f>
        <v>OK</v>
      </c>
      <c r="AQ171" s="215" t="str">
        <f>IF(ROUND(CF!AQ36,0)=ROUND(SUM(CF!AQ28:AQ35),0),"OK","ERROR")</f>
        <v>OK</v>
      </c>
      <c r="AR171" s="235" t="str">
        <f>IF(ROUND(CF!AR36,0)=ROUND(SUM(CF!AR28:AR35),0),"OK","ERROR")</f>
        <v>OK</v>
      </c>
      <c r="AS171" s="213"/>
      <c r="AT171" s="235" t="str">
        <f>IF(ROUND(CF!AT36,0)=ROUND(SUM(CF!AT28:AT35),0),"OK","ERROR")</f>
        <v>OK</v>
      </c>
      <c r="AU171" s="213"/>
      <c r="AV171" s="235" t="str">
        <f>IF(ROUND(CF!AV36,0)=ROUND(SUM(CF!AV28:AV35),0),"OK","ERROR")</f>
        <v>OK</v>
      </c>
      <c r="AW171" s="244"/>
      <c r="AX171" s="235" t="str">
        <f>IF(ROUND(CF!AX36,0)=ROUND(SUM(CF!AX28:AX35),0),"OK","ERROR")</f>
        <v>OK</v>
      </c>
    </row>
    <row r="172" spans="1:50" s="54" customFormat="1" ht="15" customHeight="1" thickTop="1">
      <c r="A172" s="43"/>
      <c r="B172" s="152"/>
      <c r="C172" s="113"/>
      <c r="D172" s="206"/>
      <c r="E172" s="206"/>
      <c r="F172" s="206"/>
      <c r="G172" s="206"/>
      <c r="H172" s="218"/>
      <c r="I172" s="208"/>
      <c r="J172" s="206"/>
      <c r="K172" s="206"/>
      <c r="L172" s="206"/>
      <c r="M172" s="206"/>
      <c r="N172" s="218"/>
      <c r="O172" s="208"/>
      <c r="P172" s="206"/>
      <c r="Q172" s="206"/>
      <c r="R172" s="206"/>
      <c r="S172" s="206"/>
      <c r="T172" s="218"/>
      <c r="U172" s="208"/>
      <c r="V172" s="206"/>
      <c r="W172" s="206"/>
      <c r="X172" s="206"/>
      <c r="Y172" s="206"/>
      <c r="Z172" s="218"/>
      <c r="AA172" s="230"/>
      <c r="AB172" s="206"/>
      <c r="AC172" s="206"/>
      <c r="AD172" s="206"/>
      <c r="AE172" s="206"/>
      <c r="AF172" s="218"/>
      <c r="AG172" s="227"/>
      <c r="AH172" s="206"/>
      <c r="AI172" s="206"/>
      <c r="AJ172" s="206"/>
      <c r="AK172" s="206"/>
      <c r="AL172" s="218"/>
      <c r="AM172" s="228"/>
      <c r="AN172" s="206"/>
      <c r="AO172" s="206"/>
      <c r="AP172" s="206"/>
      <c r="AQ172" s="206"/>
      <c r="AR172" s="218"/>
      <c r="AS172" s="228"/>
      <c r="AT172" s="218"/>
      <c r="AU172" s="228"/>
      <c r="AV172" s="218"/>
      <c r="AW172" s="244"/>
      <c r="AX172" s="218"/>
    </row>
    <row r="173" spans="1:50" s="54" customFormat="1" ht="15" customHeight="1">
      <c r="A173" s="44" t="s">
        <v>39</v>
      </c>
      <c r="B173" s="156" t="s">
        <v>682</v>
      </c>
      <c r="C173" s="27"/>
      <c r="D173" s="206"/>
      <c r="E173" s="206"/>
      <c r="F173" s="206"/>
      <c r="G173" s="206"/>
      <c r="H173" s="218"/>
      <c r="I173" s="208"/>
      <c r="J173" s="206"/>
      <c r="K173" s="206"/>
      <c r="L173" s="206"/>
      <c r="M173" s="206"/>
      <c r="N173" s="218"/>
      <c r="O173" s="208"/>
      <c r="P173" s="206"/>
      <c r="Q173" s="206"/>
      <c r="R173" s="206"/>
      <c r="S173" s="206"/>
      <c r="T173" s="218"/>
      <c r="U173" s="208"/>
      <c r="V173" s="206"/>
      <c r="W173" s="206"/>
      <c r="X173" s="206"/>
      <c r="Y173" s="206"/>
      <c r="Z173" s="218"/>
      <c r="AA173" s="211"/>
      <c r="AB173" s="206"/>
      <c r="AC173" s="206"/>
      <c r="AD173" s="206"/>
      <c r="AE173" s="206"/>
      <c r="AF173" s="218"/>
      <c r="AG173" s="209"/>
      <c r="AH173" s="206"/>
      <c r="AI173" s="206"/>
      <c r="AJ173" s="206"/>
      <c r="AK173" s="206"/>
      <c r="AL173" s="218"/>
      <c r="AM173" s="213"/>
      <c r="AN173" s="206"/>
      <c r="AO173" s="206"/>
      <c r="AP173" s="206"/>
      <c r="AQ173" s="206"/>
      <c r="AR173" s="218"/>
      <c r="AS173" s="213"/>
      <c r="AT173" s="218"/>
      <c r="AU173" s="213"/>
      <c r="AV173" s="218"/>
      <c r="AW173" s="244"/>
      <c r="AX173" s="218"/>
    </row>
    <row r="174" spans="1:50" s="54" customFormat="1" ht="15" customHeight="1" thickBot="1">
      <c r="A174" s="111"/>
      <c r="B174" s="158" t="s">
        <v>689</v>
      </c>
      <c r="C174" s="17"/>
      <c r="D174" s="215" t="str">
        <f>IF(ROUND(CF!D45,0)=ROUND(SUM(CF!D39:D44),0),"OK","ERROR")</f>
        <v>OK</v>
      </c>
      <c r="E174" s="215" t="str">
        <f>IF(ROUND(CF!E45,0)=ROUND(SUM(CF!E39:E44),0),"OK","ERROR")</f>
        <v>OK</v>
      </c>
      <c r="F174" s="215" t="str">
        <f>IF(ROUND(CF!F45,0)=ROUND(SUM(CF!F39:F44),0),"OK","ERROR")</f>
        <v>OK</v>
      </c>
      <c r="G174" s="215" t="str">
        <f>IF(ROUND(CF!G45,0)=ROUND(SUM(CF!G39:G44),0),"OK","ERROR")</f>
        <v>OK</v>
      </c>
      <c r="H174" s="235" t="str">
        <f>IF(ROUND(CF!H45,0)=ROUND(SUM(CF!H39:H44),0),"OK","ERROR")</f>
        <v>OK</v>
      </c>
      <c r="I174" s="208"/>
      <c r="J174" s="215" t="str">
        <f>IF(ROUND(CF!J45,0)=ROUND(SUM(CF!J39:J44),0),"OK","ERROR")</f>
        <v>OK</v>
      </c>
      <c r="K174" s="215" t="str">
        <f>IF(ROUND(CF!K45,0)=ROUND(SUM(CF!K39:K44),0),"OK","ERROR")</f>
        <v>OK</v>
      </c>
      <c r="L174" s="215" t="str">
        <f>IF(ROUND(CF!L45,0)=ROUND(SUM(CF!L39:L44),0),"OK","ERROR")</f>
        <v>OK</v>
      </c>
      <c r="M174" s="215" t="str">
        <f>IF(ROUND(CF!M45,0)=ROUND(SUM(CF!M39:M44),0),"OK","ERROR")</f>
        <v>OK</v>
      </c>
      <c r="N174" s="235" t="str">
        <f>IF(ROUND(CF!N45,0)=ROUND(SUM(CF!N39:N44),0),"OK","ERROR")</f>
        <v>OK</v>
      </c>
      <c r="O174" s="208"/>
      <c r="P174" s="215" t="str">
        <f>IF(ROUND(CF!P45,0)=ROUND(SUM(CF!P39:P44),0),"OK","ERROR")</f>
        <v>OK</v>
      </c>
      <c r="Q174" s="215" t="str">
        <f>IF(ROUND(CF!Q45,0)=ROUND(SUM(CF!Q39:Q44),0),"OK","ERROR")</f>
        <v>OK</v>
      </c>
      <c r="R174" s="215" t="str">
        <f>IF(ROUND(CF!R45,0)=ROUND(SUM(CF!R39:R44),0),"OK","ERROR")</f>
        <v>OK</v>
      </c>
      <c r="S174" s="215" t="str">
        <f>IF(ROUND(CF!S45,0)=ROUND(SUM(CF!S39:S44),0),"OK","ERROR")</f>
        <v>OK</v>
      </c>
      <c r="T174" s="235" t="str">
        <f>IF(ROUND(CF!T45,0)=ROUND(SUM(CF!T39:T44),0),"OK","ERROR")</f>
        <v>OK</v>
      </c>
      <c r="U174" s="208"/>
      <c r="V174" s="215" t="str">
        <f>IF(ROUND(CF!V45,0)=ROUND(SUM(CF!V39:V44),0),"OK","ERROR")</f>
        <v>OK</v>
      </c>
      <c r="W174" s="215" t="str">
        <f>IF(ROUND(CF!W45,0)=ROUND(SUM(CF!W39:W44),0),"OK","ERROR")</f>
        <v>OK</v>
      </c>
      <c r="X174" s="215" t="str">
        <f>IF(ROUND(CF!X45,0)=ROUND(SUM(CF!X39:X44),0),"OK","ERROR")</f>
        <v>OK</v>
      </c>
      <c r="Y174" s="215" t="str">
        <f>IF(ROUND(CF!Y45,0)=ROUND(SUM(CF!Y39:Y44),0),"OK","ERROR")</f>
        <v>OK</v>
      </c>
      <c r="Z174" s="235" t="str">
        <f>IF(ROUND(CF!Z45,0)=ROUND(SUM(CF!Z39:Z44),0),"OK","ERROR")</f>
        <v>OK</v>
      </c>
      <c r="AA174" s="208"/>
      <c r="AB174" s="215" t="str">
        <f>IF(ROUND(CF!AB45,0)=ROUND(SUM(CF!AB39:AB44),0),"OK","ERROR")</f>
        <v>OK</v>
      </c>
      <c r="AC174" s="215" t="str">
        <f>IF(ROUND(CF!AC45,0)=ROUND(SUM(CF!AC39:AC44),0),"OK","ERROR")</f>
        <v>OK</v>
      </c>
      <c r="AD174" s="215" t="str">
        <f>IF(ROUND(CF!AD45,0)=ROUND(SUM(CF!AD39:AD44),0),"OK","ERROR")</f>
        <v>OK</v>
      </c>
      <c r="AE174" s="215" t="str">
        <f>IF(ROUND(CF!AE45,0)=ROUND(SUM(CF!AE39:AE44),0),"OK","ERROR")</f>
        <v>OK</v>
      </c>
      <c r="AF174" s="235" t="str">
        <f>IF(ROUND(CF!AF45,0)=ROUND(SUM(CF!AF39:AF44),0),"OK","ERROR")</f>
        <v>OK</v>
      </c>
      <c r="AG174" s="236"/>
      <c r="AH174" s="215" t="str">
        <f>IF(ROUND(CF!AH45,0)=ROUND(SUM(CF!AH39:AH44),0),"OK","ERROR")</f>
        <v>OK</v>
      </c>
      <c r="AI174" s="215" t="str">
        <f>IF(ROUND(CF!AI45,0)=ROUND(SUM(CF!AI39:AI44),0),"OK","ERROR")</f>
        <v>OK</v>
      </c>
      <c r="AJ174" s="215" t="str">
        <f>IF(ROUND(CF!AJ45,0)=ROUND(SUM(CF!AJ39:AJ44),0),"OK","ERROR")</f>
        <v>OK</v>
      </c>
      <c r="AK174" s="215" t="str">
        <f>IF(ROUND(CF!AK45,0)=ROUND(SUM(CF!AK39:AK44),0),"OK","ERROR")</f>
        <v>OK</v>
      </c>
      <c r="AL174" s="235" t="str">
        <f>IF(ROUND(CF!AL45,0)=ROUND(SUM(CF!AL39:AL44),0),"OK","ERROR")</f>
        <v>OK</v>
      </c>
      <c r="AM174" s="237"/>
      <c r="AN174" s="215" t="str">
        <f>IF(ROUND(CF!AN45,0)=ROUND(SUM(CF!AN39:AN44),0),"OK","ERROR")</f>
        <v>OK</v>
      </c>
      <c r="AO174" s="215" t="str">
        <f>IF(ROUND(CF!AO45,0)=ROUND(SUM(CF!AO39:AO44),0),"OK","ERROR")</f>
        <v>OK</v>
      </c>
      <c r="AP174" s="215" t="str">
        <f>IF(ROUND(CF!AP45,0)=ROUND(SUM(CF!AP39:AP44),0),"OK","ERROR")</f>
        <v>OK</v>
      </c>
      <c r="AQ174" s="215" t="str">
        <f>IF(ROUND(CF!AQ45,0)=ROUND(SUM(CF!AQ39:AQ44),0),"OK","ERROR")</f>
        <v>OK</v>
      </c>
      <c r="AR174" s="235" t="str">
        <f>IF(ROUND(CF!AR45,0)=ROUND(SUM(CF!AR39:AR44),0),"OK","ERROR")</f>
        <v>OK</v>
      </c>
      <c r="AS174" s="237"/>
      <c r="AT174" s="235" t="str">
        <f>IF(ROUND(CF!AT45,0)=ROUND(SUM(CF!AT39:AT44),0),"OK","ERROR")</f>
        <v>OK</v>
      </c>
      <c r="AU174" s="237"/>
      <c r="AV174" s="235" t="str">
        <f>IF(ROUND(CF!AV45,0)=ROUND(SUM(CF!AV39:AV44),0),"OK","ERROR")</f>
        <v>OK</v>
      </c>
      <c r="AW174" s="244"/>
      <c r="AX174" s="235" t="str">
        <f>IF(ROUND(CF!AX45,0)=ROUND(SUM(CF!AX39:AX44),0),"OK","ERROR")</f>
        <v>OK</v>
      </c>
    </row>
    <row r="175" spans="1:50" s="54" customFormat="1" ht="15" customHeight="1" thickTop="1">
      <c r="A175" s="111"/>
      <c r="B175" s="9"/>
      <c r="C175" s="113"/>
      <c r="D175" s="206"/>
      <c r="E175" s="206"/>
      <c r="F175" s="206"/>
      <c r="G175" s="206"/>
      <c r="H175" s="218"/>
      <c r="I175" s="208"/>
      <c r="J175" s="206"/>
      <c r="K175" s="206"/>
      <c r="L175" s="206"/>
      <c r="M175" s="206"/>
      <c r="N175" s="218"/>
      <c r="O175" s="208"/>
      <c r="P175" s="206"/>
      <c r="Q175" s="206"/>
      <c r="R175" s="206"/>
      <c r="S175" s="206"/>
      <c r="T175" s="218"/>
      <c r="U175" s="208"/>
      <c r="V175" s="206"/>
      <c r="W175" s="206"/>
      <c r="X175" s="206"/>
      <c r="Y175" s="206"/>
      <c r="Z175" s="218"/>
      <c r="AA175" s="226"/>
      <c r="AB175" s="206"/>
      <c r="AC175" s="206"/>
      <c r="AD175" s="206"/>
      <c r="AE175" s="206"/>
      <c r="AF175" s="218"/>
      <c r="AG175" s="227"/>
      <c r="AH175" s="206"/>
      <c r="AI175" s="206"/>
      <c r="AJ175" s="206"/>
      <c r="AK175" s="206"/>
      <c r="AL175" s="218"/>
      <c r="AM175" s="228"/>
      <c r="AN175" s="206"/>
      <c r="AO175" s="206"/>
      <c r="AP175" s="206"/>
      <c r="AQ175" s="206"/>
      <c r="AR175" s="218"/>
      <c r="AS175" s="228"/>
      <c r="AT175" s="218"/>
      <c r="AU175" s="228"/>
      <c r="AV175" s="218"/>
      <c r="AW175" s="244"/>
      <c r="AX175" s="218"/>
    </row>
    <row r="176" spans="1:50" s="54" customFormat="1" ht="15" customHeight="1">
      <c r="A176" s="44" t="s">
        <v>39</v>
      </c>
      <c r="B176" s="156" t="s">
        <v>691</v>
      </c>
      <c r="C176" s="17"/>
      <c r="D176" s="215" t="str">
        <f>IF(ROUND(CF!D49,0)=ROUND(SUM(CF!D25,CF!D36,CF!D45,CF!D47),0),"OK","ERROR")</f>
        <v>OK</v>
      </c>
      <c r="E176" s="215" t="str">
        <f>IF(ROUND(CF!E49,0)=ROUND(SUM(CF!E25,CF!E36,CF!E45,CF!E47),0),"OK","ERROR")</f>
        <v>OK</v>
      </c>
      <c r="F176" s="215" t="str">
        <f>IF(ROUND(CF!F49,0)=ROUND(SUM(CF!F25,CF!F36,CF!F45,CF!F47),0),"OK","ERROR")</f>
        <v>OK</v>
      </c>
      <c r="G176" s="215" t="str">
        <f>IF(ROUND(CF!G49,0)=ROUND(SUM(CF!G25,CF!G36,CF!G45,CF!G47),0),"OK","ERROR")</f>
        <v>OK</v>
      </c>
      <c r="H176" s="224" t="str">
        <f>IF(ROUND(CF!H49,0)=ROUND(SUM(CF!H25,CF!H36,CF!H45,CF!H47),0),"OK","ERROR")</f>
        <v>OK</v>
      </c>
      <c r="I176" s="208"/>
      <c r="J176" s="215" t="str">
        <f>IF(ROUND(CF!J49,0)=ROUND(SUM(CF!J25,CF!J36,CF!J45,CF!J47),0),"OK","ERROR")</f>
        <v>OK</v>
      </c>
      <c r="K176" s="215" t="str">
        <f>IF(ROUND(CF!K49,0)=ROUND(SUM(CF!K25,CF!K36,CF!K45,CF!K47),0),"OK","ERROR")</f>
        <v>OK</v>
      </c>
      <c r="L176" s="215" t="str">
        <f>IF(ROUND(CF!L49,0)=ROUND(SUM(CF!L25,CF!L36,CF!L45,CF!L47),0),"OK","ERROR")</f>
        <v>OK</v>
      </c>
      <c r="M176" s="215" t="str">
        <f>IF(ROUND(CF!M49,0)=ROUND(SUM(CF!M25,CF!M36,CF!M45,CF!M47),0),"OK","ERROR")</f>
        <v>OK</v>
      </c>
      <c r="N176" s="224" t="str">
        <f>IF(ROUND(CF!N49,0)=ROUND(SUM(CF!N25,CF!N36,CF!N45,CF!N47),0),"OK","ERROR")</f>
        <v>OK</v>
      </c>
      <c r="O176" s="208"/>
      <c r="P176" s="215" t="str">
        <f>IF(ROUND(CF!P49,0)=ROUND(SUM(CF!P25,CF!P36,CF!P45,CF!P47),0),"OK","ERROR")</f>
        <v>OK</v>
      </c>
      <c r="Q176" s="215" t="str">
        <f>IF(ROUND(CF!Q49,0)=ROUND(SUM(CF!Q25,CF!Q36,CF!Q45,CF!Q47),0),"OK","ERROR")</f>
        <v>OK</v>
      </c>
      <c r="R176" s="215" t="str">
        <f>IF(ROUND(CF!R49,0)=ROUND(SUM(CF!R25,CF!R36,CF!R45,CF!R47),0),"OK","ERROR")</f>
        <v>OK</v>
      </c>
      <c r="S176" s="215" t="str">
        <f>IF(ROUND(CF!S49,0)=ROUND(SUM(CF!S25,CF!S36,CF!S45,CF!S47),0),"OK","ERROR")</f>
        <v>OK</v>
      </c>
      <c r="T176" s="224" t="str">
        <f>IF(ROUND(CF!T49,0)=ROUND(SUM(CF!T25,CF!T36,CF!T45,CF!T47),0),"OK","ERROR")</f>
        <v>OK</v>
      </c>
      <c r="U176" s="208"/>
      <c r="V176" s="215" t="str">
        <f>IF(ROUND(CF!V49,0)=ROUND(SUM(CF!V25,CF!V36,CF!V45,CF!V47),0),"OK","ERROR")</f>
        <v>OK</v>
      </c>
      <c r="W176" s="215" t="str">
        <f>IF(ROUND(CF!W49,0)=ROUND(SUM(CF!W25,CF!W36,CF!W45,CF!W47),0),"OK","ERROR")</f>
        <v>OK</v>
      </c>
      <c r="X176" s="215" t="str">
        <f>IF(ROUND(CF!X49,0)=ROUND(SUM(CF!X25,CF!X36,CF!X45,CF!X47),0),"OK","ERROR")</f>
        <v>OK</v>
      </c>
      <c r="Y176" s="215" t="str">
        <f>IF(ROUND(CF!Y49,0)=ROUND(SUM(CF!Y25,CF!Y36,CF!Y45,CF!Y47),0),"OK","ERROR")</f>
        <v>OK</v>
      </c>
      <c r="Z176" s="224" t="str">
        <f>IF(ROUND(CF!Z49,0)=ROUND(SUM(CF!Z25,CF!Z36,CF!Z45,CF!Z47),0),"OK","ERROR")</f>
        <v>OK</v>
      </c>
      <c r="AA176" s="208"/>
      <c r="AB176" s="215" t="str">
        <f>IF(ROUND(CF!AB49,0)=ROUND(SUM(CF!AB25,CF!AB36,CF!AB45,CF!AB47),0),"OK","ERROR")</f>
        <v>OK</v>
      </c>
      <c r="AC176" s="215" t="str">
        <f>IF(ROUND(CF!AC49,0)=ROUND(SUM(CF!AC25,CF!AC36,CF!AC45,CF!AC47),0),"OK","ERROR")</f>
        <v>OK</v>
      </c>
      <c r="AD176" s="215" t="str">
        <f>IF(ROUND(CF!AD49,0)=ROUND(SUM(CF!AD25,CF!AD36,CF!AD45,CF!AD47),0),"OK","ERROR")</f>
        <v>OK</v>
      </c>
      <c r="AE176" s="215" t="str">
        <f>IF(ROUND(CF!AE49,0)=ROUND(SUM(CF!AE25,CF!AE36,CF!AE45,CF!AE47),0),"OK","ERROR")</f>
        <v>OK</v>
      </c>
      <c r="AF176" s="224" t="str">
        <f>IF(ROUND(CF!AF49,0)=ROUND(SUM(CF!AF25,CF!AF36,CF!AF45,CF!AF47),0),"OK","ERROR")</f>
        <v>OK</v>
      </c>
      <c r="AG176" s="236"/>
      <c r="AH176" s="215" t="str">
        <f>IF(ROUND(CF!AH49,0)=ROUND(SUM(CF!AH25,CF!AH36,CF!AH45,CF!AH47),0),"OK","ERROR")</f>
        <v>OK</v>
      </c>
      <c r="AI176" s="215" t="str">
        <f>IF(ROUND(CF!AI49,0)=ROUND(SUM(CF!AI25,CF!AI36,CF!AI45,CF!AI47),0),"OK","ERROR")</f>
        <v>OK</v>
      </c>
      <c r="AJ176" s="215" t="str">
        <f>IF(ROUND(CF!AJ49,0)=ROUND(SUM(CF!AJ24,CF!AJ36,CF!AJ45,CF!AJ47),0),"OK","ERROR")</f>
        <v>OK</v>
      </c>
      <c r="AK176" s="215" t="str">
        <f>IF(ROUND(CF!AK49,0)=ROUND(SUM(CF!AK25,CF!AK36,CF!AK45,CF!AK47),0),"OK","ERROR")</f>
        <v>OK</v>
      </c>
      <c r="AL176" s="224" t="str">
        <f>IF(ROUND(CF!AL49,0)=ROUND(SUM(CF!AL25,CF!AL36,CF!AL45,CF!AL47),0),"OK","ERROR")</f>
        <v>OK</v>
      </c>
      <c r="AM176" s="237"/>
      <c r="AN176" s="215" t="str">
        <f>IF(ROUND(CF!AN49,0)=ROUND(SUM(CF!AN25,CF!AN36,CF!AN45,CF!AN47),0),"OK","ERROR")</f>
        <v>OK</v>
      </c>
      <c r="AO176" s="215" t="str">
        <f>IF(ROUND(CF!AO49,0)=ROUND(SUM(CF!AO25,CF!AO36,CF!AO45,CF!AO47),0),"OK","ERROR")</f>
        <v>OK</v>
      </c>
      <c r="AP176" s="215" t="str">
        <f>IF(ROUND(CF!AP49,0)=ROUND(SUM(CF!AP25,CF!AP36,CF!AP45,CF!AP47),0),"OK","ERROR")</f>
        <v>OK</v>
      </c>
      <c r="AQ176" s="215" t="str">
        <f>IF(ROUND(CF!AQ49,0)=ROUND(SUM(CF!AQ25,CF!AQ36,CF!AQ45,CF!AQ47),0),"OK","ERROR")</f>
        <v>OK</v>
      </c>
      <c r="AR176" s="224" t="str">
        <f>IF(ROUND(CF!AR49,0)=ROUND(SUM(CF!AR25,CF!AR36,CF!AR45,CF!AR47),0),"OK","ERROR")</f>
        <v>OK</v>
      </c>
      <c r="AS176" s="237"/>
      <c r="AT176" s="224" t="str">
        <f>IF(ROUND(CF!AT49,0)=ROUND(SUM(CF!AT25,CF!AT36,CF!AT45,CF!AT47),0),"OK","ERROR")</f>
        <v>OK</v>
      </c>
      <c r="AU176" s="237"/>
      <c r="AV176" s="224" t="str">
        <f>IF(ROUND(CF!AV49,0)=ROUND(SUM(CF!AV25,CF!AV36,CF!AV45,CF!AV47),0),"OK","ERROR")</f>
        <v>OK</v>
      </c>
      <c r="AW176" s="244"/>
      <c r="AX176" s="224" t="str">
        <f>IF(ROUND(CF!AX49,0)=ROUND(SUM(CF!AX25,CF!AX36,CF!AX45,CF!AX47),0),"OK","ERROR")</f>
        <v>OK</v>
      </c>
    </row>
    <row r="177" spans="2:50" s="54" customFormat="1" ht="15" customHeight="1" thickBot="1">
      <c r="B177" s="156" t="s">
        <v>692</v>
      </c>
      <c r="C177" s="113"/>
      <c r="D177" s="206" t="str">
        <f>IF(ROUND(CF!D50,0)=ROUND(SUM(CF!D49,CF!D12),0),"OK","ERROR")</f>
        <v>ERROR</v>
      </c>
      <c r="E177" s="206" t="str">
        <f>IF(ROUND(CF!E50,0)=ROUND(SUM(CF!E49,CF!E12),0),"OK","ERROR")</f>
        <v>OK</v>
      </c>
      <c r="F177" s="206" t="str">
        <f>IF(ROUND(CF!F50,0)=ROUND(SUM(CF!F49,CF!F12),0),"OK","ERROR")</f>
        <v>OK</v>
      </c>
      <c r="G177" s="206" t="str">
        <f>IF(ROUND(CF!G50,0)=ROUND(SUM(CF!G49,CF!G12),0),"OK","ERROR")</f>
        <v>OK</v>
      </c>
      <c r="H177" s="235" t="str">
        <f>IF(ROUND(CF!H50,0)=ROUND(SUM(CF!H49,CF!H12),0),"OK","ERROR")</f>
        <v>ERROR</v>
      </c>
      <c r="I177" s="208"/>
      <c r="J177" s="206" t="str">
        <f>IF(ROUND(CF!J50,0)=ROUND(SUM(CF!J49,CF!J12),0),"OK","ERROR")</f>
        <v>OK</v>
      </c>
      <c r="K177" s="206" t="str">
        <f>IF(ROUND(CF!K50,0)=ROUND(SUM(CF!K49,CF!K12),0),"OK","ERROR")</f>
        <v>OK</v>
      </c>
      <c r="L177" s="206" t="str">
        <f>IF(ROUND(CF!L50,0)=ROUND(SUM(CF!L49,CF!L12),0),"OK","ERROR")</f>
        <v>OK</v>
      </c>
      <c r="M177" s="206" t="str">
        <f>IF(ROUND(CF!M50,0)=ROUND(SUM(CF!M49,CF!M12),0),"OK","ERROR")</f>
        <v>OK</v>
      </c>
      <c r="N177" s="235" t="str">
        <f>IF(ROUND(CF!N50,0)=ROUND(SUM(CF!N49,CF!N12),0),"OK","ERROR")</f>
        <v>ERROR</v>
      </c>
      <c r="O177" s="208"/>
      <c r="P177" s="206" t="str">
        <f>IF(ROUND(CF!P50,0)=ROUND(SUM(CF!P49,CF!P12),0),"OK","ERROR")</f>
        <v>OK</v>
      </c>
      <c r="Q177" s="206" t="str">
        <f>IF(ROUND(CF!Q50,0)=ROUND(SUM(CF!Q49,CF!Q12),0),"OK","ERROR")</f>
        <v>OK</v>
      </c>
      <c r="R177" s="206" t="str">
        <f>IF(ROUND(CF!R50,0)=ROUND(SUM(CF!R49,CF!R12),0),"OK","ERROR")</f>
        <v>OK</v>
      </c>
      <c r="S177" s="206" t="str">
        <f>IF(ROUND(CF!S50,0)=ROUND(SUM(CF!S49,CF!S12),0),"OK","ERROR")</f>
        <v>OK</v>
      </c>
      <c r="T177" s="235" t="str">
        <f>IF(ROUND(CF!T50,0)=ROUND(SUM(CF!T49,CF!T12),0),"OK","ERROR")</f>
        <v>ERROR</v>
      </c>
      <c r="U177" s="208"/>
      <c r="V177" s="206" t="str">
        <f>IF(ROUND(CF!V50,0)=ROUND(SUM(CF!V49,CF!V12),0),"OK","ERROR")</f>
        <v>OK</v>
      </c>
      <c r="W177" s="206" t="str">
        <f>IF(ROUND(CF!W50,0)=ROUND(SUM(CF!W49,CF!W12),0),"OK","ERROR")</f>
        <v>OK</v>
      </c>
      <c r="X177" s="206" t="str">
        <f>IF(ROUND(CF!X50,0)=ROUND(SUM(CF!X49,CF!X12),0),"OK","ERROR")</f>
        <v>OK</v>
      </c>
      <c r="Y177" s="206" t="str">
        <f>IF(ROUND(CF!Y50,0)=ROUND(SUM(CF!Y49,CF!Y12),0),"OK","ERROR")</f>
        <v>OK</v>
      </c>
      <c r="Z177" s="235" t="str">
        <f>IF(ROUND(CF!Z50,0)=ROUND(SUM(CF!Z49,CF!Z12),0),"OK","ERROR")</f>
        <v>ERROR</v>
      </c>
      <c r="AA177" s="208"/>
      <c r="AB177" s="206" t="str">
        <f>IF(ROUND(CF!AB50,0)=ROUND(SUM(CF!AB49,CF!AB12),0),"OK","ERROR")</f>
        <v>OK</v>
      </c>
      <c r="AC177" s="206" t="str">
        <f>IF(ROUND(CF!AC50,0)=ROUND(SUM(CF!AC49,CF!AC12),0),"OK","ERROR")</f>
        <v>OK</v>
      </c>
      <c r="AD177" s="206" t="str">
        <f>IF(ROUND(CF!AD50,0)=ROUND(SUM(CF!AD49,CF!AD12),0),"OK","ERROR")</f>
        <v>OK</v>
      </c>
      <c r="AE177" s="206" t="str">
        <f>IF(ROUND(CF!AE50,0)=ROUND(SUM(CF!AE49,CF!AE12),0),"OK","ERROR")</f>
        <v>OK</v>
      </c>
      <c r="AF177" s="235" t="str">
        <f>IF(ROUND(CF!AF50,0)=ROUND(SUM(CF!AF49,CF!AF12),0),"OK","ERROR")</f>
        <v>ERROR</v>
      </c>
      <c r="AG177" s="236"/>
      <c r="AH177" s="206" t="str">
        <f>IF(ROUND(CF!AH50,0)=ROUND(SUM(CF!AH49,CF!AH12),0),"OK","ERROR")</f>
        <v>OK</v>
      </c>
      <c r="AI177" s="206" t="str">
        <f>IF(ROUND(CF!AI50,0)=ROUND(SUM(CF!AI49,CF!AI12),0),"OK","ERROR")</f>
        <v>OK</v>
      </c>
      <c r="AJ177" s="206" t="str">
        <f>IF(ROUND(CF!AJ50,0)=ROUND(SUM(CF!AJ49,CF!AJ12),0),"OK","ERROR")</f>
        <v>OK</v>
      </c>
      <c r="AK177" s="206" t="str">
        <f>IF(ROUND(CF!AK50,0)=ROUND(SUM(CF!AK49,CF!AK12),0),"OK","ERROR")</f>
        <v>OK</v>
      </c>
      <c r="AL177" s="235" t="str">
        <f>IF(ROUND(CF!AL50,0)=ROUND(SUM(CF!AL49,CF!AL12),0),"OK","ERROR")</f>
        <v>OK</v>
      </c>
      <c r="AM177" s="237"/>
      <c r="AN177" s="206" t="str">
        <f>IF(ROUND(CF!AN50,0)=ROUND(SUM(CF!AN49,CF!AN12),0),"OK","ERROR")</f>
        <v>OK</v>
      </c>
      <c r="AO177" s="206" t="str">
        <f>IF(ROUND(CF!AO50,0)=ROUND(SUM(CF!AO49,CF!AO12),0),"OK","ERROR")</f>
        <v>OK</v>
      </c>
      <c r="AP177" s="206" t="str">
        <f>IF(ROUND(CF!AP50,0)=ROUND(SUM(CF!AP49,CF!AP12),0),"OK","ERROR")</f>
        <v>OK</v>
      </c>
      <c r="AQ177" s="206" t="str">
        <f>IF(ROUND(CF!AQ50,0)=ROUND(SUM(CF!AQ49,CF!AQ12),0),"OK","ERROR")</f>
        <v>OK</v>
      </c>
      <c r="AR177" s="235" t="str">
        <f>IF(ROUND(CF!AR50,0)=ROUND(SUM(CF!AR49,CF!AR12),0),"OK","ERROR")</f>
        <v>OK</v>
      </c>
      <c r="AS177" s="237"/>
      <c r="AT177" s="235" t="str">
        <f>IF(ROUND(CF!AT50,0)=ROUND(SUM(CF!AT49,CF!AT12),0),"OK","ERROR")</f>
        <v>OK</v>
      </c>
      <c r="AU177" s="237"/>
      <c r="AV177" s="235" t="str">
        <f>IF(ROUND(CF!AV50,0)=ROUND(SUM(CF!AV49,CF!AV12),0),"OK","ERROR")</f>
        <v>OK</v>
      </c>
      <c r="AW177" s="244"/>
      <c r="AX177" s="235"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topLeftCell="A4" zoomScale="85" zoomScaleNormal="85" workbookViewId="0">
      <selection activeCell="B21" sqref="B21:B25"/>
    </sheetView>
  </sheetViews>
  <sheetFormatPr defaultColWidth="9" defaultRowHeight="15" customHeight="1"/>
  <cols>
    <col min="1" max="1" width="2.125" customWidth="1"/>
    <col min="2" max="2" width="22.125" customWidth="1"/>
    <col min="3" max="3" width="9.5" bestFit="1" customWidth="1"/>
    <col min="4" max="4" width="18.125" customWidth="1"/>
    <col min="5" max="5" width="8.875"/>
    <col min="6" max="6" width="11.875" customWidth="1"/>
    <col min="7" max="9" width="8.875"/>
    <col min="10" max="10" width="11.75" customWidth="1"/>
    <col min="11" max="11" width="9.125" bestFit="1" customWidth="1"/>
    <col min="12" max="12" width="14" customWidth="1"/>
    <col min="13" max="14" width="9.125" bestFit="1" customWidth="1"/>
    <col min="15" max="15" width="8.875"/>
    <col min="16" max="16" width="10.125" customWidth="1"/>
    <col min="17" max="17" width="10.125" bestFit="1" customWidth="1"/>
    <col min="18" max="18" width="12.5" customWidth="1"/>
    <col min="19" max="19" width="10.75" bestFit="1" customWidth="1"/>
    <col min="20" max="20" width="8.875"/>
    <col min="21" max="21" width="12.375" customWidth="1"/>
    <col min="22" max="23" width="8.875" customWidth="1"/>
    <col min="24" max="16384" width="9" style="4"/>
  </cols>
  <sheetData>
    <row r="1" spans="1:23" s="574" customFormat="1" ht="15" customHeight="1"/>
    <row r="2" spans="1:23" s="574" customFormat="1" ht="15" customHeight="1"/>
    <row r="3" spans="1:23" s="574" customFormat="1" ht="15" customHeight="1"/>
    <row r="4" spans="1:23" s="574" customFormat="1" ht="15" customHeight="1"/>
    <row r="5" spans="1:23" s="573" customFormat="1" ht="3.95" customHeight="1">
      <c r="A5" s="38"/>
      <c r="B5" s="38"/>
      <c r="C5" s="38"/>
      <c r="D5" s="38"/>
      <c r="E5" s="38"/>
      <c r="F5" s="38"/>
      <c r="G5" s="38"/>
      <c r="H5" s="38"/>
      <c r="I5" s="38"/>
      <c r="J5" s="38"/>
      <c r="K5" s="38"/>
      <c r="L5" s="38"/>
      <c r="M5" s="38"/>
      <c r="N5" s="38"/>
      <c r="O5" s="38"/>
      <c r="P5" s="38"/>
      <c r="Q5" s="38"/>
      <c r="R5" s="38"/>
      <c r="S5" s="38"/>
      <c r="T5" s="38"/>
      <c r="U5" s="38"/>
      <c r="V5" s="38"/>
      <c r="W5" s="38"/>
    </row>
    <row r="7" spans="1:23" s="559" customFormat="1" ht="15" customHeight="1">
      <c r="B7" s="2" t="s">
        <v>705</v>
      </c>
      <c r="C7" s="2"/>
      <c r="D7" s="2"/>
      <c r="E7" s="2"/>
      <c r="F7" s="2"/>
      <c r="G7" s="2"/>
      <c r="H7" s="2"/>
      <c r="I7" s="2"/>
      <c r="J7" s="2"/>
      <c r="K7" s="2"/>
      <c r="L7" s="2"/>
      <c r="M7" s="2"/>
      <c r="N7" s="2"/>
      <c r="O7" s="2"/>
      <c r="P7" s="2"/>
      <c r="Q7" s="2"/>
      <c r="R7" s="2"/>
      <c r="S7" s="13" t="s">
        <v>226</v>
      </c>
    </row>
    <row r="8" spans="1:23" s="559" customFormat="1" ht="15" customHeight="1">
      <c r="B8" s="2"/>
      <c r="C8" s="2"/>
      <c r="D8" s="2"/>
      <c r="E8" s="2"/>
      <c r="F8" s="2"/>
      <c r="G8" s="2"/>
      <c r="H8" s="2"/>
      <c r="I8" s="2"/>
      <c r="J8" s="2"/>
      <c r="K8" s="2"/>
      <c r="L8" s="2"/>
      <c r="M8" s="2"/>
      <c r="N8" s="2"/>
      <c r="O8" s="2"/>
      <c r="P8" s="2"/>
      <c r="Q8" s="2"/>
      <c r="R8" s="2"/>
    </row>
    <row r="9" spans="1:23" s="559" customFormat="1" ht="15" customHeight="1">
      <c r="B9" s="2"/>
      <c r="C9" s="2"/>
      <c r="D9" s="2"/>
      <c r="E9" s="2"/>
      <c r="F9" s="2"/>
      <c r="G9" s="2"/>
      <c r="H9" s="2"/>
      <c r="I9" s="2"/>
      <c r="J9" s="2"/>
      <c r="K9" s="2"/>
      <c r="L9" s="2"/>
      <c r="M9" s="2"/>
      <c r="N9" s="2"/>
      <c r="O9" s="2"/>
      <c r="P9" s="2"/>
      <c r="Q9" s="2"/>
      <c r="R9" s="2"/>
    </row>
    <row r="10" spans="1:23" ht="3.95" customHeight="1">
      <c r="B10" s="38"/>
      <c r="C10" s="38"/>
      <c r="D10" s="38"/>
      <c r="E10" s="38"/>
      <c r="F10" s="38"/>
      <c r="G10" s="38"/>
      <c r="H10" s="38"/>
      <c r="I10" s="38"/>
      <c r="J10" s="38"/>
      <c r="K10" s="38"/>
      <c r="L10" s="38"/>
      <c r="M10" s="38"/>
      <c r="N10" s="38"/>
      <c r="O10" s="38"/>
      <c r="P10" s="38"/>
      <c r="Q10" s="38"/>
      <c r="R10" s="38"/>
    </row>
    <row r="11" spans="1:23" ht="3.95" customHeight="1"/>
    <row r="12" spans="1:23" ht="15" customHeight="1" thickBot="1">
      <c r="B12" s="404" t="s">
        <v>72</v>
      </c>
      <c r="C12" s="405"/>
      <c r="D12" s="405"/>
      <c r="F12" s="406" t="s">
        <v>706</v>
      </c>
      <c r="G12" s="405"/>
      <c r="H12" s="405"/>
      <c r="I12" s="405"/>
      <c r="J12" s="405"/>
      <c r="L12" s="406" t="s">
        <v>707</v>
      </c>
      <c r="M12" s="405"/>
      <c r="O12" s="406" t="s">
        <v>708</v>
      </c>
      <c r="P12" s="405"/>
      <c r="Q12" s="405"/>
      <c r="R12" s="405"/>
    </row>
    <row r="13" spans="1:23" ht="15" customHeight="1">
      <c r="B13" s="1" t="s">
        <v>709</v>
      </c>
      <c r="D13" s="403" t="s">
        <v>17</v>
      </c>
      <c r="F13" s="6" t="s">
        <v>710</v>
      </c>
      <c r="J13" s="347">
        <v>444744.50380000001</v>
      </c>
      <c r="L13" s="1" t="s">
        <v>711</v>
      </c>
      <c r="M13" s="350">
        <f>J18/(IS!AI18+IS!AH18+IS!AE18+IS!AD18)</f>
        <v>15.576548442874694</v>
      </c>
      <c r="O13" s="10" t="s">
        <v>712</v>
      </c>
      <c r="R13" s="361" t="s">
        <v>713</v>
      </c>
    </row>
    <row r="14" spans="1:23" ht="15" customHeight="1">
      <c r="B14" s="1" t="s">
        <v>714</v>
      </c>
      <c r="D14" s="361" t="s">
        <v>715</v>
      </c>
      <c r="F14" s="6" t="s">
        <v>716</v>
      </c>
      <c r="J14" s="347"/>
      <c r="L14" s="1" t="s">
        <v>717</v>
      </c>
      <c r="M14" s="350">
        <v>31</v>
      </c>
      <c r="O14" s="10" t="s">
        <v>718</v>
      </c>
      <c r="R14" s="361" t="s">
        <v>719</v>
      </c>
    </row>
    <row r="15" spans="1:23" ht="15" customHeight="1">
      <c r="B15" s="1" t="s">
        <v>720</v>
      </c>
      <c r="D15" s="360" t="s">
        <v>721</v>
      </c>
      <c r="F15" s="6" t="s">
        <v>722</v>
      </c>
      <c r="J15" s="348">
        <v>912459</v>
      </c>
      <c r="L15" s="1" t="s">
        <v>723</v>
      </c>
      <c r="M15" s="350">
        <f>J13/(IS!AI52+IS!AH52+IS!AE52+IS!AD52)</f>
        <v>-2.5914340541075975</v>
      </c>
    </row>
    <row r="16" spans="1:23" ht="15" customHeight="1" thickBot="1">
      <c r="B16" s="366" t="s">
        <v>724</v>
      </c>
      <c r="D16" s="360" t="s">
        <v>14</v>
      </c>
      <c r="F16" s="6" t="s">
        <v>725</v>
      </c>
      <c r="J16" s="348">
        <v>1709387</v>
      </c>
      <c r="L16" s="1" t="s">
        <v>726</v>
      </c>
      <c r="M16" s="350">
        <f>W63</f>
        <v>2.5093999999999999</v>
      </c>
      <c r="O16" s="406" t="s">
        <v>727</v>
      </c>
      <c r="P16" s="405"/>
      <c r="Q16" s="405"/>
      <c r="R16" s="405"/>
    </row>
    <row r="17" spans="1:23" ht="15" customHeight="1">
      <c r="B17" t="s">
        <v>728</v>
      </c>
      <c r="C17" s="10"/>
      <c r="D17" s="15">
        <v>45657</v>
      </c>
      <c r="F17" s="16" t="s">
        <v>729</v>
      </c>
      <c r="G17" s="7"/>
      <c r="H17" s="7"/>
      <c r="I17" s="7"/>
      <c r="J17" s="349">
        <v>23556</v>
      </c>
      <c r="O17" s="1" t="s">
        <v>709</v>
      </c>
      <c r="R17" s="403" t="s">
        <v>17</v>
      </c>
    </row>
    <row r="18" spans="1:23" ht="15" customHeight="1">
      <c r="B18" t="s">
        <v>730</v>
      </c>
      <c r="C18" s="10"/>
      <c r="D18" s="15">
        <v>45819</v>
      </c>
      <c r="F18" s="5" t="s">
        <v>731</v>
      </c>
      <c r="G18" s="1"/>
      <c r="H18" s="1"/>
      <c r="I18" s="1"/>
      <c r="J18" s="8">
        <f>J13+J14-J17+J16+J15</f>
        <v>3043034.5038000001</v>
      </c>
      <c r="L18" s="1" t="s">
        <v>22</v>
      </c>
      <c r="M18" s="40">
        <v>1.5359179999999999</v>
      </c>
      <c r="O18" s="1" t="s">
        <v>714</v>
      </c>
      <c r="Q18" s="4"/>
      <c r="R18" s="361" t="s">
        <v>715</v>
      </c>
      <c r="S18" s="4"/>
    </row>
    <row r="19" spans="1:23" ht="15" customHeight="1">
      <c r="C19" s="10"/>
      <c r="F19" s="5"/>
      <c r="G19" s="1"/>
      <c r="H19" s="1"/>
      <c r="I19" s="1"/>
      <c r="J19" s="795"/>
      <c r="O19" s="10"/>
    </row>
    <row r="20" spans="1:23" ht="15" customHeight="1" thickBot="1">
      <c r="B20" s="406" t="s">
        <v>732</v>
      </c>
      <c r="C20" s="405"/>
      <c r="D20" s="405"/>
      <c r="E20" s="405"/>
      <c r="F20" s="405"/>
      <c r="G20" s="1"/>
      <c r="H20" s="406" t="s">
        <v>733</v>
      </c>
      <c r="I20" s="405"/>
      <c r="J20" s="405"/>
      <c r="K20" s="405"/>
      <c r="L20" s="405"/>
      <c r="N20" s="406" t="s">
        <v>734</v>
      </c>
      <c r="O20" s="405"/>
      <c r="P20" s="405"/>
      <c r="Q20" s="405"/>
      <c r="R20" s="405"/>
    </row>
    <row r="21" spans="1:23" ht="15" customHeight="1">
      <c r="B21" s="10" t="s">
        <v>227</v>
      </c>
      <c r="C21" s="10"/>
      <c r="E21" s="367" t="s">
        <v>735</v>
      </c>
      <c r="F21" s="368"/>
      <c r="G21" s="1"/>
      <c r="H21" s="10" t="s">
        <v>736</v>
      </c>
      <c r="I21" s="10"/>
      <c r="K21" s="367" t="s">
        <v>737</v>
      </c>
      <c r="L21" s="368"/>
      <c r="N21" s="10" t="s">
        <v>231</v>
      </c>
      <c r="O21" s="10"/>
      <c r="Q21" s="367" t="s">
        <v>738</v>
      </c>
      <c r="R21" s="368"/>
    </row>
    <row r="22" spans="1:23" ht="15" customHeight="1">
      <c r="B22" s="10" t="s">
        <v>228</v>
      </c>
      <c r="C22" s="10"/>
      <c r="E22" s="369" t="s">
        <v>739</v>
      </c>
      <c r="F22" s="370"/>
      <c r="G22" s="1"/>
      <c r="H22" s="10" t="s">
        <v>740</v>
      </c>
      <c r="I22" s="10"/>
      <c r="K22" s="369" t="s">
        <v>741</v>
      </c>
      <c r="L22" s="370"/>
      <c r="N22" s="10" t="s">
        <v>232</v>
      </c>
      <c r="O22" s="10"/>
      <c r="Q22" s="369" t="s">
        <v>742</v>
      </c>
      <c r="R22" s="370"/>
    </row>
    <row r="23" spans="1:23" ht="15" customHeight="1">
      <c r="B23" s="10" t="s">
        <v>743</v>
      </c>
      <c r="C23" s="10"/>
      <c r="E23" s="369" t="s">
        <v>744</v>
      </c>
      <c r="F23" s="370"/>
      <c r="G23" s="1"/>
      <c r="H23" s="10" t="s">
        <v>745</v>
      </c>
      <c r="I23" s="10"/>
      <c r="K23" s="369" t="s">
        <v>746</v>
      </c>
      <c r="L23" s="370"/>
      <c r="N23" s="10" t="s">
        <v>233</v>
      </c>
      <c r="O23" s="10"/>
      <c r="Q23" s="369" t="s">
        <v>747</v>
      </c>
      <c r="R23" s="370"/>
    </row>
    <row r="24" spans="1:23" ht="15" customHeight="1">
      <c r="B24" s="10" t="s">
        <v>229</v>
      </c>
      <c r="C24" s="10"/>
      <c r="E24" s="369" t="s">
        <v>748</v>
      </c>
      <c r="F24" s="370"/>
      <c r="G24" s="1"/>
      <c r="H24" s="10" t="s">
        <v>749</v>
      </c>
      <c r="I24" s="10"/>
      <c r="K24" s="369" t="s">
        <v>750</v>
      </c>
      <c r="L24" s="370"/>
      <c r="N24" s="10" t="s">
        <v>234</v>
      </c>
      <c r="O24" s="10"/>
      <c r="Q24" s="369" t="s">
        <v>751</v>
      </c>
      <c r="R24" s="370"/>
    </row>
    <row r="25" spans="1:23" ht="15" customHeight="1">
      <c r="B25" s="10" t="s">
        <v>230</v>
      </c>
      <c r="C25" s="10"/>
      <c r="E25" s="367" t="s">
        <v>752</v>
      </c>
      <c r="F25" s="368"/>
      <c r="G25" s="1"/>
      <c r="H25" s="10" t="s">
        <v>753</v>
      </c>
      <c r="I25" s="10"/>
      <c r="K25" s="367" t="s">
        <v>754</v>
      </c>
      <c r="L25" s="368"/>
      <c r="N25" s="10" t="s">
        <v>235</v>
      </c>
      <c r="O25" s="10"/>
      <c r="Q25" s="367" t="s">
        <v>755</v>
      </c>
      <c r="R25" s="368"/>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59" customFormat="1" ht="15" customHeight="1">
      <c r="B27" s="2" t="s">
        <v>3</v>
      </c>
      <c r="C27" s="2"/>
      <c r="D27" s="2"/>
      <c r="E27" s="2"/>
      <c r="F27" s="2"/>
      <c r="G27" s="2"/>
      <c r="H27" s="2"/>
      <c r="I27" s="2"/>
      <c r="J27" s="2"/>
      <c r="K27" s="2"/>
      <c r="L27" s="2"/>
      <c r="M27" s="2"/>
      <c r="N27" s="2"/>
      <c r="O27" s="2"/>
      <c r="P27" s="2"/>
      <c r="Q27" s="2"/>
      <c r="R27" s="2"/>
      <c r="S27" s="2"/>
      <c r="T27" s="2"/>
      <c r="U27" s="2"/>
    </row>
    <row r="28" spans="1:23" ht="3.95"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s">
        <v>756</v>
      </c>
      <c r="C30" s="2"/>
      <c r="D30" s="2"/>
      <c r="E30" s="2"/>
      <c r="F30" s="2"/>
      <c r="G30" s="2"/>
      <c r="H30" s="2"/>
      <c r="I30" s="2"/>
      <c r="J30" s="2"/>
      <c r="L30" s="2" t="s">
        <v>757</v>
      </c>
      <c r="M30" s="2"/>
      <c r="N30" s="2"/>
      <c r="O30" s="2"/>
      <c r="P30" s="2"/>
      <c r="Q30" s="2"/>
      <c r="R30" s="2"/>
      <c r="S30" s="2"/>
      <c r="T30" s="2"/>
      <c r="U30" s="2"/>
    </row>
    <row r="56" spans="1:23" s="559" customFormat="1" ht="15" customHeight="1">
      <c r="A56" s="12"/>
      <c r="B56" s="2" t="s">
        <v>705</v>
      </c>
      <c r="C56" s="2"/>
      <c r="D56" s="2"/>
      <c r="E56" s="2"/>
      <c r="F56" s="2"/>
      <c r="G56" s="2"/>
      <c r="H56" s="2"/>
      <c r="I56" s="2"/>
      <c r="J56" s="2"/>
      <c r="K56" s="2"/>
      <c r="L56" s="2"/>
      <c r="M56" s="2"/>
      <c r="N56" s="2"/>
      <c r="O56" s="2"/>
      <c r="P56" s="2"/>
      <c r="Q56" s="2"/>
      <c r="R56" s="2"/>
      <c r="S56" s="2"/>
      <c r="T56" s="2"/>
      <c r="U56" s="2"/>
      <c r="V56" s="2"/>
      <c r="W56" s="2"/>
    </row>
    <row r="57" spans="1:23" s="559" customFormat="1" ht="15" customHeight="1">
      <c r="A57" s="12"/>
      <c r="B57" s="2"/>
      <c r="C57" s="2"/>
      <c r="D57" s="2"/>
      <c r="E57" s="2"/>
      <c r="F57" s="2"/>
      <c r="G57" s="2"/>
      <c r="H57" s="2"/>
      <c r="I57" s="2"/>
      <c r="J57" s="2"/>
      <c r="K57" s="2"/>
      <c r="L57" s="2"/>
      <c r="M57" s="2"/>
      <c r="N57" s="2">
        <v>2</v>
      </c>
      <c r="O57" s="2"/>
      <c r="P57" s="2"/>
      <c r="Q57" s="2"/>
      <c r="R57" s="2"/>
      <c r="S57" s="2"/>
      <c r="T57" s="2"/>
      <c r="U57" s="2"/>
      <c r="V57" s="2"/>
      <c r="W57" s="2"/>
    </row>
    <row r="58" spans="1:23" s="559"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3.95"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3.95" customHeight="1"/>
    <row r="61" spans="1:23" ht="15" customHeight="1">
      <c r="A61" s="13" t="s">
        <v>17</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39</v>
      </c>
      <c r="B62" s="364" t="s">
        <v>721</v>
      </c>
      <c r="C62" s="365"/>
      <c r="D62" s="365"/>
      <c r="E62" s="362">
        <v>2015</v>
      </c>
      <c r="F62" s="362">
        <v>2016</v>
      </c>
      <c r="G62" s="362">
        <v>2017</v>
      </c>
      <c r="H62" s="362">
        <v>2018</v>
      </c>
      <c r="I62" s="362">
        <v>2019</v>
      </c>
      <c r="J62" s="362">
        <v>2020</v>
      </c>
      <c r="K62" s="362">
        <v>2021</v>
      </c>
      <c r="L62" s="362">
        <v>2022</v>
      </c>
      <c r="M62" s="362">
        <v>2023</v>
      </c>
      <c r="N62" s="362">
        <v>2024</v>
      </c>
      <c r="O62" s="10"/>
      <c r="P62" s="3"/>
      <c r="Q62" s="3"/>
      <c r="R62" s="408" t="s">
        <v>318</v>
      </c>
      <c r="S62" s="560" t="s">
        <v>758</v>
      </c>
      <c r="T62" s="3"/>
      <c r="U62" s="408" t="s">
        <v>759</v>
      </c>
      <c r="V62" s="3"/>
      <c r="W62" s="408" t="s">
        <v>760</v>
      </c>
    </row>
    <row r="63" spans="1:23" ht="15" customHeight="1">
      <c r="A63" s="10"/>
      <c r="B63" s="10" t="s">
        <v>364</v>
      </c>
      <c r="C63" s="10"/>
      <c r="D63" s="10"/>
      <c r="E63" s="11">
        <v>0</v>
      </c>
      <c r="F63" s="11">
        <v>0</v>
      </c>
      <c r="G63" s="11">
        <v>286790</v>
      </c>
      <c r="H63" s="11">
        <v>25018</v>
      </c>
      <c r="I63" s="11">
        <v>78036</v>
      </c>
      <c r="J63" s="11">
        <v>77333</v>
      </c>
      <c r="K63" s="11">
        <v>105657</v>
      </c>
      <c r="L63" s="11">
        <v>140866</v>
      </c>
      <c r="M63" s="11">
        <v>153382</v>
      </c>
      <c r="N63" s="11">
        <v>176925</v>
      </c>
      <c r="O63" s="10"/>
      <c r="P63" s="10"/>
      <c r="Q63" s="15">
        <v>45915</v>
      </c>
      <c r="R63" s="302">
        <v>0</v>
      </c>
      <c r="S63" s="302">
        <v>103188.981</v>
      </c>
      <c r="U63" s="407">
        <v>0</v>
      </c>
      <c r="W63" s="350">
        <v>2.5093999999999999</v>
      </c>
    </row>
    <row r="64" spans="1:23" ht="15" customHeight="1">
      <c r="A64" s="10"/>
      <c r="B64" s="10" t="s">
        <v>761</v>
      </c>
      <c r="C64" s="10"/>
      <c r="D64" s="10"/>
      <c r="E64" s="11">
        <v>0</v>
      </c>
      <c r="F64" s="11">
        <v>0</v>
      </c>
      <c r="G64" s="11">
        <v>26734</v>
      </c>
      <c r="H64" s="11">
        <v>24940</v>
      </c>
      <c r="I64" s="11">
        <v>53630</v>
      </c>
      <c r="J64" s="11">
        <v>34949</v>
      </c>
      <c r="K64" s="11">
        <v>61615</v>
      </c>
      <c r="L64" s="11">
        <v>84728</v>
      </c>
      <c r="M64" s="11">
        <v>63989</v>
      </c>
      <c r="N64" s="11">
        <v>93922</v>
      </c>
      <c r="O64" s="10"/>
      <c r="P64" s="10"/>
      <c r="Q64" s="301">
        <v>45914</v>
      </c>
      <c r="R64" s="302">
        <v>0</v>
      </c>
      <c r="S64" s="302">
        <v>103188.981</v>
      </c>
      <c r="U64" s="407">
        <v>0</v>
      </c>
      <c r="W64" s="350">
        <v>2.5093999999999999</v>
      </c>
    </row>
    <row r="65" spans="1:23" ht="15" customHeight="1">
      <c r="A65" s="10"/>
      <c r="B65" s="10" t="s">
        <v>253</v>
      </c>
      <c r="C65" s="10"/>
      <c r="D65" s="10"/>
      <c r="E65" s="14" t="e">
        <v>#VALUE!</v>
      </c>
      <c r="F65" s="14" t="e">
        <v>#VALUE!</v>
      </c>
      <c r="G65" s="14" t="e">
        <v>#VALUE!</v>
      </c>
      <c r="H65" s="14">
        <v>1.7264577517483366E-3</v>
      </c>
      <c r="I65" s="14">
        <v>0.13647228722702942</v>
      </c>
      <c r="J65" s="14">
        <v>-6.2236142728745954E-2</v>
      </c>
      <c r="K65" s="14">
        <v>9.1136738932714761E-2</v>
      </c>
      <c r="L65" s="14">
        <v>5.0837348979011168E-2</v>
      </c>
      <c r="M65" s="14">
        <v>8.9536173052104359E-2</v>
      </c>
      <c r="N65" s="14">
        <v>5.9654901450735175E-2</v>
      </c>
      <c r="O65" s="10"/>
      <c r="P65" s="10"/>
      <c r="Q65" s="301">
        <v>45913</v>
      </c>
      <c r="R65" s="302">
        <v>0</v>
      </c>
      <c r="S65" s="302">
        <v>103188.981</v>
      </c>
      <c r="U65" s="407">
        <v>0</v>
      </c>
      <c r="W65" s="350">
        <v>2.5093999999999999</v>
      </c>
    </row>
    <row r="66" spans="1:23" ht="15" customHeight="1">
      <c r="A66" s="10"/>
      <c r="B66" s="10" t="s">
        <v>434</v>
      </c>
      <c r="C66" s="10"/>
      <c r="D66" s="10"/>
      <c r="E66" s="14" t="e">
        <v>#VALUE!</v>
      </c>
      <c r="F66" s="14" t="e">
        <v>#VALUE!</v>
      </c>
      <c r="G66" s="14">
        <v>0.1251316648373243</v>
      </c>
      <c r="H66" s="14">
        <v>0.14867806392193358</v>
      </c>
      <c r="I66" s="14">
        <v>0.10790214724648862</v>
      </c>
      <c r="J66" s="14">
        <v>8.1050750248607348E-2</v>
      </c>
      <c r="K66" s="14">
        <v>0.16219322577477047</v>
      </c>
      <c r="L66" s="14">
        <v>0.16559332747828015</v>
      </c>
      <c r="M66" s="14">
        <v>0.11759461891251519</v>
      </c>
      <c r="N66" s="14">
        <v>0.18285109438832037</v>
      </c>
      <c r="O66" s="10"/>
      <c r="P66" s="10"/>
      <c r="Q66" s="301">
        <v>45912</v>
      </c>
      <c r="R66" s="302">
        <v>0</v>
      </c>
      <c r="S66" s="302">
        <v>103188.981</v>
      </c>
      <c r="U66" s="407">
        <v>0</v>
      </c>
      <c r="W66" s="350">
        <v>2.5093999999999999</v>
      </c>
    </row>
    <row r="67" spans="1:23" ht="15" customHeight="1">
      <c r="A67" s="10"/>
      <c r="B67" s="10" t="s">
        <v>762</v>
      </c>
      <c r="C67" s="10"/>
      <c r="D67" s="10"/>
      <c r="E67" s="11">
        <v>0</v>
      </c>
      <c r="F67" s="11">
        <v>0</v>
      </c>
      <c r="G67" s="11">
        <v>0</v>
      </c>
      <c r="H67" s="11">
        <v>0</v>
      </c>
      <c r="I67" s="11">
        <v>0</v>
      </c>
      <c r="J67" s="11">
        <v>0</v>
      </c>
      <c r="K67" s="11">
        <v>0</v>
      </c>
      <c r="L67" s="11">
        <v>0</v>
      </c>
      <c r="M67" s="11">
        <v>0</v>
      </c>
      <c r="N67" s="11">
        <v>0</v>
      </c>
      <c r="O67" s="10"/>
      <c r="P67" s="10"/>
      <c r="Q67" s="301">
        <v>45911</v>
      </c>
      <c r="R67" s="302">
        <v>0</v>
      </c>
      <c r="S67" s="302">
        <v>103188.981</v>
      </c>
      <c r="U67" s="407">
        <v>0</v>
      </c>
      <c r="W67" s="350">
        <v>2.2679</v>
      </c>
    </row>
    <row r="68" spans="1:23" ht="15" customHeight="1">
      <c r="A68" s="10"/>
      <c r="B68" s="10" t="s">
        <v>763</v>
      </c>
      <c r="C68" s="10"/>
      <c r="D68" s="10"/>
      <c r="E68" s="14">
        <v>0</v>
      </c>
      <c r="F68" s="14">
        <v>0</v>
      </c>
      <c r="G68" s="14">
        <v>0.22756299999999999</v>
      </c>
      <c r="H68" s="14">
        <v>0.218199</v>
      </c>
      <c r="I68" s="14">
        <v>0.52657100000000001</v>
      </c>
      <c r="J68" s="14">
        <v>0.64856099999999994</v>
      </c>
      <c r="K68" s="14">
        <v>0.45408299999999996</v>
      </c>
      <c r="L68" s="14">
        <v>0.47295999999999999</v>
      </c>
      <c r="M68" s="14">
        <v>0.456231</v>
      </c>
      <c r="N68" s="14">
        <v>0.517517</v>
      </c>
      <c r="O68" s="10"/>
      <c r="P68" s="10"/>
      <c r="Q68" s="301">
        <v>45910</v>
      </c>
      <c r="R68" s="302">
        <v>0</v>
      </c>
      <c r="S68" s="302">
        <v>103188.981</v>
      </c>
      <c r="U68" s="407">
        <v>0</v>
      </c>
      <c r="W68" s="350">
        <v>2.1741999999999999</v>
      </c>
    </row>
    <row r="69" spans="1:23" ht="15" customHeight="1">
      <c r="A69" s="10"/>
      <c r="B69" s="10" t="s">
        <v>764</v>
      </c>
      <c r="C69" s="10"/>
      <c r="D69" s="10"/>
      <c r="E69" s="14" t="e">
        <v>#DIV/0!</v>
      </c>
      <c r="F69" s="14" t="e">
        <v>#DIV/0!</v>
      </c>
      <c r="G69" s="14">
        <v>9.321803410160745E-2</v>
      </c>
      <c r="H69" s="14">
        <v>0.99688224478375564</v>
      </c>
      <c r="I69" s="14">
        <v>0.68724691168178786</v>
      </c>
      <c r="J69" s="14">
        <v>0.4519286721063453</v>
      </c>
      <c r="K69" s="14">
        <v>0.58316060459789698</v>
      </c>
      <c r="L69" s="14">
        <v>0.60147942015816447</v>
      </c>
      <c r="M69" s="14">
        <v>0.41718715364253955</v>
      </c>
      <c r="N69" s="14">
        <v>0.53085770806839061</v>
      </c>
      <c r="O69" s="10"/>
      <c r="P69" s="10"/>
      <c r="Q69" s="301">
        <v>45909</v>
      </c>
      <c r="R69" s="302">
        <v>0</v>
      </c>
      <c r="S69" s="302">
        <v>103188.981</v>
      </c>
      <c r="U69" s="407">
        <v>0</v>
      </c>
      <c r="W69" s="350">
        <v>2.1495000000000002</v>
      </c>
    </row>
    <row r="70" spans="1:23" ht="15" customHeight="1">
      <c r="A70" s="10"/>
      <c r="B70" s="10" t="s">
        <v>765</v>
      </c>
      <c r="C70" s="10"/>
      <c r="D70" s="10"/>
      <c r="E70" s="363" t="e">
        <v>#VALUE!</v>
      </c>
      <c r="F70" s="363" t="e">
        <v>#VALUE!</v>
      </c>
      <c r="G70" s="363" t="e">
        <v>#VALUE!</v>
      </c>
      <c r="H70" s="363">
        <v>1.161205430180237E-2</v>
      </c>
      <c r="I70" s="363">
        <v>1.2647782338870048</v>
      </c>
      <c r="J70" s="363">
        <v>-0.76786633729914577</v>
      </c>
      <c r="K70" s="363">
        <v>0.56190225268268446</v>
      </c>
      <c r="L70" s="363">
        <v>0.30700119233777212</v>
      </c>
      <c r="M70" s="363">
        <v>0.76139685540130897</v>
      </c>
      <c r="N70" s="363">
        <v>0.32624853381542374</v>
      </c>
      <c r="O70" s="10"/>
      <c r="P70" s="10"/>
      <c r="Q70" s="301">
        <v>45908</v>
      </c>
      <c r="R70" s="302">
        <v>0</v>
      </c>
      <c r="S70" s="302">
        <v>103188.981</v>
      </c>
      <c r="U70" s="407">
        <v>0</v>
      </c>
      <c r="W70" s="350">
        <v>2.1248999999999998</v>
      </c>
    </row>
    <row r="71" spans="1:23" ht="15" customHeight="1">
      <c r="A71" s="10"/>
      <c r="B71" s="10" t="s">
        <v>766</v>
      </c>
      <c r="C71" s="10"/>
      <c r="D71" s="10"/>
      <c r="E71" s="14" t="e">
        <v>#DIV/0!</v>
      </c>
      <c r="F71" s="14" t="e">
        <v>#DIV/0!</v>
      </c>
      <c r="G71" s="14">
        <v>0</v>
      </c>
      <c r="H71" s="14">
        <v>0</v>
      </c>
      <c r="I71" s="14">
        <v>0</v>
      </c>
      <c r="J71" s="14">
        <v>0</v>
      </c>
      <c r="K71" s="14">
        <v>0</v>
      </c>
      <c r="L71" s="14">
        <v>0</v>
      </c>
      <c r="M71" s="14">
        <v>0</v>
      </c>
      <c r="N71" s="14">
        <v>0</v>
      </c>
      <c r="O71" s="10"/>
      <c r="P71" s="10"/>
      <c r="Q71" s="10"/>
      <c r="R71" s="302"/>
      <c r="S71" s="302"/>
      <c r="U71" s="407"/>
      <c r="W71" s="350"/>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39</v>
      </c>
      <c r="B73" s="364" t="s">
        <v>735</v>
      </c>
      <c r="C73" s="365"/>
      <c r="D73" s="365"/>
      <c r="E73" s="362">
        <v>2015</v>
      </c>
      <c r="F73" s="362">
        <v>2016</v>
      </c>
      <c r="G73" s="362">
        <v>2017</v>
      </c>
      <c r="H73" s="362">
        <v>2018</v>
      </c>
      <c r="I73" s="362">
        <v>2019</v>
      </c>
      <c r="J73" s="362">
        <v>2020</v>
      </c>
      <c r="K73" s="362">
        <v>2021</v>
      </c>
      <c r="L73" s="362">
        <v>2022</v>
      </c>
      <c r="M73" s="362">
        <v>2023</v>
      </c>
      <c r="N73" s="362">
        <v>2024</v>
      </c>
      <c r="O73" s="10"/>
      <c r="P73" s="10"/>
      <c r="Q73" s="10"/>
      <c r="R73" s="10"/>
      <c r="S73" s="10"/>
      <c r="T73" s="10"/>
      <c r="U73" s="10"/>
      <c r="V73" s="10"/>
      <c r="W73" s="10"/>
    </row>
    <row r="74" spans="1:23" ht="15" customHeight="1">
      <c r="A74" s="10"/>
      <c r="B74" s="10" t="s">
        <v>364</v>
      </c>
      <c r="C74" s="10"/>
      <c r="D74" s="10"/>
      <c r="E74" s="11">
        <v>438073</v>
      </c>
      <c r="F74" s="11">
        <v>497200</v>
      </c>
      <c r="G74" s="11">
        <v>489442</v>
      </c>
      <c r="H74" s="11">
        <v>666282</v>
      </c>
      <c r="I74" s="11">
        <v>743186</v>
      </c>
      <c r="J74" s="11">
        <v>797585</v>
      </c>
      <c r="K74" s="11">
        <v>941179</v>
      </c>
      <c r="L74" s="11">
        <v>1111321</v>
      </c>
      <c r="M74" s="11">
        <v>7481223</v>
      </c>
      <c r="N74" s="11">
        <v>2797254</v>
      </c>
      <c r="O74" s="10"/>
      <c r="S74" s="10"/>
      <c r="T74" s="10"/>
      <c r="U74" s="10"/>
      <c r="V74" s="10"/>
      <c r="W74" s="10"/>
    </row>
    <row r="75" spans="1:23" ht="15" customHeight="1">
      <c r="A75" s="10"/>
      <c r="B75" s="10" t="s">
        <v>761</v>
      </c>
      <c r="C75" s="10"/>
      <c r="D75" s="10"/>
      <c r="E75" s="11">
        <v>329637</v>
      </c>
      <c r="F75" s="11">
        <v>381459</v>
      </c>
      <c r="G75" s="11">
        <v>245348</v>
      </c>
      <c r="H75" s="11">
        <v>266873</v>
      </c>
      <c r="I75" s="11">
        <v>210973</v>
      </c>
      <c r="J75" s="11">
        <v>336584</v>
      </c>
      <c r="K75" s="11">
        <v>454273</v>
      </c>
      <c r="L75" s="11">
        <v>548826</v>
      </c>
      <c r="M75" s="11">
        <v>1133737</v>
      </c>
      <c r="N75" s="11">
        <v>1266093</v>
      </c>
      <c r="O75" s="10"/>
      <c r="S75" s="10"/>
      <c r="T75" s="10"/>
      <c r="U75" s="10"/>
      <c r="V75" s="10"/>
      <c r="W75" s="10"/>
    </row>
    <row r="76" spans="1:23" ht="15" customHeight="1">
      <c r="A76" s="10"/>
      <c r="B76" s="10" t="s">
        <v>253</v>
      </c>
      <c r="C76" s="10"/>
      <c r="D76" s="10"/>
      <c r="E76" s="14">
        <v>5.7520017754373889E-2</v>
      </c>
      <c r="F76" s="14">
        <v>6.1175851049380184E-2</v>
      </c>
      <c r="G76" s="14">
        <v>5.9411277346549191E-2</v>
      </c>
      <c r="H76" s="14">
        <v>7.5146087149724886E-2</v>
      </c>
      <c r="I76" s="14">
        <v>1.7193325505643509E-2</v>
      </c>
      <c r="J76" s="14">
        <v>2.3002009520948979E-2</v>
      </c>
      <c r="K76" s="14">
        <v>4.3017698050618038E-2</v>
      </c>
      <c r="L76" s="14">
        <v>3.6293347524096471E-2</v>
      </c>
      <c r="M76" s="14">
        <v>0.20503987081601729</v>
      </c>
      <c r="N76" s="14">
        <v>5.2760584760192956E-2</v>
      </c>
      <c r="O76" s="10"/>
      <c r="S76" s="10"/>
      <c r="T76" s="10"/>
      <c r="U76" s="10"/>
      <c r="V76" s="10"/>
      <c r="W76" s="10"/>
    </row>
    <row r="77" spans="1:23" ht="15" customHeight="1">
      <c r="A77" s="10"/>
      <c r="B77" s="10" t="s">
        <v>434</v>
      </c>
      <c r="C77" s="10"/>
      <c r="D77" s="10"/>
      <c r="E77" s="14">
        <v>0.16530044199725713</v>
      </c>
      <c r="F77" s="14">
        <v>0.12388029313971166</v>
      </c>
      <c r="G77" s="14">
        <v>0.11363348382037355</v>
      </c>
      <c r="H77" s="14">
        <v>0.12578487559936921</v>
      </c>
      <c r="I77" s="14">
        <v>9.4201306171766072E-2</v>
      </c>
      <c r="J77" s="14">
        <v>0.10758486077540377</v>
      </c>
      <c r="K77" s="14">
        <v>0.22561906921074537</v>
      </c>
      <c r="L77" s="14">
        <v>0.19548050734629946</v>
      </c>
      <c r="M77" s="14">
        <v>0.12185294096276987</v>
      </c>
      <c r="N77" s="14">
        <v>0.17012051946821635</v>
      </c>
      <c r="O77" s="10"/>
      <c r="S77" s="10"/>
      <c r="T77" s="10"/>
      <c r="U77" s="10"/>
      <c r="V77" s="10"/>
      <c r="W77" s="10"/>
    </row>
    <row r="78" spans="1:23" ht="15" customHeight="1">
      <c r="A78" s="10"/>
      <c r="B78" s="10" t="s">
        <v>762</v>
      </c>
      <c r="C78" s="10"/>
      <c r="D78" s="10"/>
      <c r="E78" s="11">
        <v>0</v>
      </c>
      <c r="F78" s="11">
        <v>0</v>
      </c>
      <c r="G78" s="11">
        <v>0</v>
      </c>
      <c r="H78" s="11">
        <v>0</v>
      </c>
      <c r="I78" s="11">
        <v>0</v>
      </c>
      <c r="J78" s="11">
        <v>0</v>
      </c>
      <c r="K78" s="11">
        <v>0</v>
      </c>
      <c r="L78" s="11">
        <v>0</v>
      </c>
      <c r="M78" s="11">
        <v>0</v>
      </c>
      <c r="N78" s="11">
        <v>0</v>
      </c>
      <c r="O78" s="10"/>
      <c r="S78" s="10"/>
      <c r="T78" s="10"/>
      <c r="U78" s="10"/>
      <c r="V78" s="10"/>
      <c r="W78" s="10"/>
    </row>
    <row r="79" spans="1:23" ht="15" customHeight="1">
      <c r="A79" s="10"/>
      <c r="B79" s="10" t="s">
        <v>763</v>
      </c>
      <c r="C79" s="10"/>
      <c r="D79" s="10"/>
      <c r="E79" s="14">
        <v>0.269376</v>
      </c>
      <c r="F79" s="14">
        <v>0.23550399999999999</v>
      </c>
      <c r="G79" s="14">
        <v>0.26952999999999999</v>
      </c>
      <c r="H79" s="14">
        <v>0.19586200000000001</v>
      </c>
      <c r="I79" s="14">
        <v>0.28949000000000003</v>
      </c>
      <c r="J79" s="14">
        <v>0.27003299999999997</v>
      </c>
      <c r="K79" s="14">
        <v>0.26460699999999998</v>
      </c>
      <c r="L79" s="14">
        <v>0.39218200000000003</v>
      </c>
      <c r="M79" s="14">
        <v>0.38833100000000004</v>
      </c>
      <c r="N79" s="14">
        <v>0.482821</v>
      </c>
      <c r="O79" s="10"/>
      <c r="S79" s="10"/>
      <c r="T79" s="10"/>
      <c r="U79" s="10"/>
      <c r="V79" s="10"/>
      <c r="W79" s="10"/>
    </row>
    <row r="80" spans="1:23" ht="15" customHeight="1">
      <c r="A80" s="10"/>
      <c r="B80" s="10" t="s">
        <v>764</v>
      </c>
      <c r="C80" s="10"/>
      <c r="D80" s="10"/>
      <c r="E80" s="14">
        <v>0.75247047866451477</v>
      </c>
      <c r="F80" s="14">
        <v>0.76721440064360413</v>
      </c>
      <c r="G80" s="14">
        <v>0.50128105066586026</v>
      </c>
      <c r="H80" s="14">
        <v>0.40054061193308538</v>
      </c>
      <c r="I80" s="14">
        <v>0.2838764454658726</v>
      </c>
      <c r="J80" s="14">
        <v>0.42200392434662137</v>
      </c>
      <c r="K80" s="14">
        <v>0.48266376534113065</v>
      </c>
      <c r="L80" s="14">
        <v>0.49385011171389726</v>
      </c>
      <c r="M80" s="14">
        <v>0.15154433974231218</v>
      </c>
      <c r="N80" s="14">
        <v>0.45261996229159024</v>
      </c>
      <c r="O80" s="10"/>
      <c r="S80" s="10"/>
      <c r="T80" s="10"/>
      <c r="U80" s="10"/>
      <c r="V80" s="10"/>
      <c r="W80" s="10"/>
    </row>
    <row r="81" spans="1:23" ht="15" customHeight="1">
      <c r="A81" s="10"/>
      <c r="B81" s="10" t="s">
        <v>765</v>
      </c>
      <c r="C81" s="10"/>
      <c r="D81" s="10"/>
      <c r="E81" s="363">
        <v>0.34797255869000238</v>
      </c>
      <c r="F81" s="363">
        <v>0.49383037042369865</v>
      </c>
      <c r="G81" s="363">
        <v>0.5228324904696553</v>
      </c>
      <c r="H81" s="363">
        <v>0.59741750978924313</v>
      </c>
      <c r="I81" s="363">
        <v>0.18251684827271192</v>
      </c>
      <c r="J81" s="363">
        <v>0.2138034046348623</v>
      </c>
      <c r="K81" s="363">
        <v>0.19066516939858588</v>
      </c>
      <c r="L81" s="363">
        <v>0.18566223311361546</v>
      </c>
      <c r="M81" s="363">
        <v>1.6826829881657415</v>
      </c>
      <c r="N81" s="363">
        <v>0.31013651336780823</v>
      </c>
      <c r="O81" s="10"/>
      <c r="S81" s="10"/>
      <c r="T81" s="10"/>
      <c r="U81" s="10"/>
      <c r="V81" s="10"/>
      <c r="W81" s="10"/>
    </row>
    <row r="82" spans="1:23" ht="15" customHeight="1">
      <c r="A82" s="10"/>
      <c r="B82" s="10" t="s">
        <v>766</v>
      </c>
      <c r="C82" s="10"/>
      <c r="D82" s="10"/>
      <c r="E82" s="14">
        <v>0</v>
      </c>
      <c r="F82" s="14">
        <v>0</v>
      </c>
      <c r="G82" s="14">
        <v>0</v>
      </c>
      <c r="H82" s="14">
        <v>0</v>
      </c>
      <c r="I82" s="14">
        <v>0</v>
      </c>
      <c r="J82" s="14">
        <v>0</v>
      </c>
      <c r="K82" s="14">
        <v>0</v>
      </c>
      <c r="L82" s="14">
        <v>0</v>
      </c>
      <c r="M82" s="14">
        <v>0</v>
      </c>
      <c r="N82" s="14">
        <v>0</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39</v>
      </c>
      <c r="B84" s="364" t="s">
        <v>739</v>
      </c>
      <c r="C84" s="365"/>
      <c r="D84" s="365"/>
      <c r="E84" s="362">
        <v>2015</v>
      </c>
      <c r="F84" s="362">
        <v>2016</v>
      </c>
      <c r="G84" s="362">
        <v>2017</v>
      </c>
      <c r="H84" s="362">
        <v>2018</v>
      </c>
      <c r="I84" s="362">
        <v>2019</v>
      </c>
      <c r="J84" s="362">
        <v>2020</v>
      </c>
      <c r="K84" s="362">
        <v>2021</v>
      </c>
      <c r="L84" s="362">
        <v>2022</v>
      </c>
      <c r="M84" s="362">
        <v>2023</v>
      </c>
      <c r="N84" s="362">
        <v>2024</v>
      </c>
      <c r="O84" s="10"/>
      <c r="S84" s="10"/>
      <c r="T84" s="10"/>
      <c r="U84" s="10"/>
      <c r="V84" s="10"/>
      <c r="W84" s="10"/>
    </row>
    <row r="85" spans="1:23" ht="15" customHeight="1">
      <c r="A85" s="10"/>
      <c r="B85" s="10" t="s">
        <v>364</v>
      </c>
      <c r="C85" s="10"/>
      <c r="D85" s="10"/>
      <c r="E85" s="11">
        <v>630961</v>
      </c>
      <c r="F85" s="11">
        <v>385045</v>
      </c>
      <c r="G85" s="11">
        <v>356155</v>
      </c>
      <c r="H85" s="11">
        <v>495438</v>
      </c>
      <c r="I85" s="11">
        <v>643403</v>
      </c>
      <c r="J85" s="11">
        <v>1170550</v>
      </c>
      <c r="K85" s="11">
        <v>2007441</v>
      </c>
      <c r="L85" s="11">
        <v>1936040</v>
      </c>
      <c r="M85" s="11">
        <v>1593474</v>
      </c>
      <c r="N85" s="11">
        <v>1667686</v>
      </c>
      <c r="O85" s="10"/>
      <c r="S85" s="10"/>
      <c r="T85" s="10"/>
      <c r="U85" s="10"/>
      <c r="V85" s="10"/>
      <c r="W85" s="10"/>
    </row>
    <row r="86" spans="1:23" ht="15" customHeight="1">
      <c r="A86" s="10"/>
      <c r="B86" s="10" t="s">
        <v>761</v>
      </c>
      <c r="C86" s="10"/>
      <c r="D86" s="10"/>
      <c r="E86" s="11">
        <v>144652</v>
      </c>
      <c r="F86" s="11">
        <v>-67187</v>
      </c>
      <c r="G86" s="11">
        <v>52155</v>
      </c>
      <c r="H86" s="11">
        <v>168013</v>
      </c>
      <c r="I86" s="11">
        <v>194505</v>
      </c>
      <c r="J86" s="11">
        <v>672633</v>
      </c>
      <c r="K86" s="11">
        <v>1154807</v>
      </c>
      <c r="L86" s="11">
        <v>838240</v>
      </c>
      <c r="M86" s="11">
        <v>583551</v>
      </c>
      <c r="N86" s="11">
        <v>598544</v>
      </c>
    </row>
    <row r="87" spans="1:23" ht="15" customHeight="1">
      <c r="A87" s="10"/>
      <c r="B87" s="10" t="s">
        <v>253</v>
      </c>
      <c r="C87" s="10"/>
      <c r="D87" s="10"/>
      <c r="E87" s="14">
        <v>4.8093556129038678E-2</v>
      </c>
      <c r="F87" s="14">
        <v>-4.6232904414165527E-2</v>
      </c>
      <c r="G87" s="14">
        <v>-3.173479742521091E-2</v>
      </c>
      <c r="H87" s="14">
        <v>7.5445220376597844E-2</v>
      </c>
      <c r="I87" s="14">
        <v>9.4826889532671016E-2</v>
      </c>
      <c r="J87" s="14">
        <v>9.531808703480836E-2</v>
      </c>
      <c r="K87" s="14">
        <v>0.16157852383719506</v>
      </c>
      <c r="L87" s="14">
        <v>0.10242675134384704</v>
      </c>
      <c r="M87" s="14">
        <v>7.1404891972893292E-2</v>
      </c>
      <c r="N87" s="14">
        <v>0.10396823137848471</v>
      </c>
    </row>
    <row r="88" spans="1:23" ht="15" customHeight="1">
      <c r="A88" s="10"/>
      <c r="B88" s="10" t="s">
        <v>434</v>
      </c>
      <c r="C88" s="10"/>
      <c r="D88" s="10"/>
      <c r="E88" s="14">
        <v>0.1340326649156498</v>
      </c>
      <c r="F88" s="14">
        <v>0.15042883352672301</v>
      </c>
      <c r="G88" s="14">
        <v>8.6102620306162669E-2</v>
      </c>
      <c r="H88" s="14">
        <v>0.1348435080982015</v>
      </c>
      <c r="I88" s="14">
        <v>0.10409313186965553</v>
      </c>
      <c r="J88" s="14">
        <v>0.11404981225770046</v>
      </c>
      <c r="K88" s="14">
        <v>0.23264901661292259</v>
      </c>
      <c r="L88" s="14">
        <v>0.19652079013834978</v>
      </c>
      <c r="M88" s="14">
        <v>0.1179158357343745</v>
      </c>
      <c r="N88" s="14">
        <v>0.17119346889888631</v>
      </c>
    </row>
    <row r="89" spans="1:23" ht="15" customHeight="1">
      <c r="A89" s="10"/>
      <c r="B89" s="10" t="s">
        <v>762</v>
      </c>
      <c r="C89" s="10"/>
      <c r="D89" s="10"/>
      <c r="E89" s="11">
        <v>0</v>
      </c>
      <c r="F89" s="11">
        <v>0</v>
      </c>
      <c r="G89" s="11">
        <v>0</v>
      </c>
      <c r="H89" s="11">
        <v>0</v>
      </c>
      <c r="I89" s="11">
        <v>0</v>
      </c>
      <c r="J89" s="11">
        <v>0</v>
      </c>
      <c r="K89" s="11">
        <v>0</v>
      </c>
      <c r="L89" s="11">
        <v>0</v>
      </c>
      <c r="M89" s="11">
        <v>0</v>
      </c>
      <c r="N89" s="11">
        <v>0</v>
      </c>
    </row>
    <row r="90" spans="1:23" ht="15" customHeight="1">
      <c r="A90" s="10"/>
      <c r="B90" s="10" t="s">
        <v>763</v>
      </c>
      <c r="C90" s="10"/>
      <c r="D90" s="10"/>
      <c r="E90" s="14">
        <v>0.71927300000000005</v>
      </c>
      <c r="F90" s="14">
        <v>0.68371700000000002</v>
      </c>
      <c r="G90" s="14">
        <v>0.623116</v>
      </c>
      <c r="H90" s="14">
        <v>0.52605800000000003</v>
      </c>
      <c r="I90" s="14">
        <v>0.39464500000000002</v>
      </c>
      <c r="J90" s="14">
        <v>0.40954200000000002</v>
      </c>
      <c r="K90" s="14">
        <v>0.43484200000000001</v>
      </c>
      <c r="L90" s="14">
        <v>0.61200500000000002</v>
      </c>
      <c r="M90" s="14">
        <v>0.62506300000000004</v>
      </c>
      <c r="N90" s="14">
        <v>0.769316</v>
      </c>
    </row>
    <row r="91" spans="1:23" ht="15" customHeight="1">
      <c r="A91" s="10"/>
      <c r="B91" s="10" t="s">
        <v>764</v>
      </c>
      <c r="C91" s="10"/>
      <c r="D91" s="10"/>
      <c r="E91" s="14">
        <v>0.229256641852666</v>
      </c>
      <c r="F91" s="14">
        <v>-0.17449129322546716</v>
      </c>
      <c r="G91" s="14">
        <v>0.14643905041344357</v>
      </c>
      <c r="H91" s="14">
        <v>0.33912013208514485</v>
      </c>
      <c r="I91" s="14">
        <v>0.30230664140515351</v>
      </c>
      <c r="J91" s="14">
        <v>0.57462987484515826</v>
      </c>
      <c r="K91" s="14">
        <v>0.57526323314109851</v>
      </c>
      <c r="L91" s="14">
        <v>0.43296626102766472</v>
      </c>
      <c r="M91" s="14">
        <v>0.36621306654517111</v>
      </c>
      <c r="N91" s="14">
        <v>0.3589068925445198</v>
      </c>
    </row>
    <row r="92" spans="1:23" ht="15" customHeight="1">
      <c r="A92" s="10"/>
      <c r="B92" s="10" t="s">
        <v>765</v>
      </c>
      <c r="C92" s="10"/>
      <c r="D92" s="10"/>
      <c r="E92" s="363">
        <v>0.35881966652908964</v>
      </c>
      <c r="F92" s="363">
        <v>-0.30734070942558001</v>
      </c>
      <c r="G92" s="363">
        <v>-0.36856947340706586</v>
      </c>
      <c r="H92" s="363">
        <v>0.55950205865049063</v>
      </c>
      <c r="I92" s="363">
        <v>0.91098123218554306</v>
      </c>
      <c r="J92" s="363">
        <v>0.83575838616404774</v>
      </c>
      <c r="K92" s="363">
        <v>0.69451625538579698</v>
      </c>
      <c r="L92" s="363">
        <v>0.52120058784487411</v>
      </c>
      <c r="M92" s="363">
        <v>0.605558121419289</v>
      </c>
      <c r="N92" s="363">
        <v>0.60731423953966657</v>
      </c>
    </row>
    <row r="93" spans="1:23" ht="15" customHeight="1">
      <c r="A93" s="10"/>
      <c r="B93" s="10" t="s">
        <v>766</v>
      </c>
      <c r="C93" s="10"/>
      <c r="D93" s="10"/>
      <c r="E93" s="14">
        <v>0</v>
      </c>
      <c r="F93" s="14">
        <v>0</v>
      </c>
      <c r="G93" s="14">
        <v>0</v>
      </c>
      <c r="H93" s="14">
        <v>0</v>
      </c>
      <c r="I93" s="14">
        <v>0</v>
      </c>
      <c r="J93" s="14">
        <v>0</v>
      </c>
      <c r="K93" s="14">
        <v>0</v>
      </c>
      <c r="L93" s="14">
        <v>0</v>
      </c>
      <c r="M93" s="14">
        <v>0</v>
      </c>
      <c r="N93" s="14">
        <v>0</v>
      </c>
    </row>
    <row r="94" spans="1:23" ht="15" customHeight="1">
      <c r="A94" s="10"/>
      <c r="B94" s="10"/>
      <c r="C94" s="10"/>
      <c r="D94" s="10"/>
      <c r="E94" s="10"/>
      <c r="F94" s="10"/>
      <c r="G94" s="10"/>
      <c r="H94" s="10"/>
      <c r="I94" s="10"/>
      <c r="J94" s="10"/>
      <c r="K94" s="10"/>
      <c r="L94" s="10"/>
      <c r="M94" s="10"/>
      <c r="N94" s="10"/>
    </row>
    <row r="95" spans="1:23" ht="15" customHeight="1">
      <c r="A95" s="10" t="s">
        <v>39</v>
      </c>
      <c r="B95" s="364" t="s">
        <v>744</v>
      </c>
      <c r="C95" s="365"/>
      <c r="D95" s="365"/>
      <c r="E95" s="362">
        <v>2015</v>
      </c>
      <c r="F95" s="362">
        <v>2016</v>
      </c>
      <c r="G95" s="362">
        <v>2017</v>
      </c>
      <c r="H95" s="362">
        <v>2018</v>
      </c>
      <c r="I95" s="362">
        <v>2019</v>
      </c>
      <c r="J95" s="362">
        <v>2020</v>
      </c>
      <c r="K95" s="362">
        <v>2021</v>
      </c>
      <c r="L95" s="362">
        <v>2022</v>
      </c>
      <c r="M95" s="362">
        <v>2023</v>
      </c>
      <c r="N95" s="362">
        <v>2024</v>
      </c>
    </row>
    <row r="96" spans="1:23" ht="15" customHeight="1">
      <c r="A96" s="10"/>
      <c r="B96" s="10" t="s">
        <v>364</v>
      </c>
      <c r="C96" s="10"/>
      <c r="D96" s="10"/>
      <c r="E96" s="11">
        <v>92911</v>
      </c>
      <c r="F96" s="11">
        <v>96774</v>
      </c>
      <c r="G96" s="11">
        <v>99494</v>
      </c>
      <c r="H96" s="11">
        <v>104827</v>
      </c>
      <c r="I96" s="11">
        <v>128034</v>
      </c>
      <c r="J96" s="11">
        <v>141537</v>
      </c>
      <c r="K96" s="11">
        <v>276276</v>
      </c>
      <c r="L96" s="11">
        <v>322514</v>
      </c>
      <c r="M96" s="11">
        <v>220662</v>
      </c>
      <c r="N96" s="11">
        <v>219742</v>
      </c>
    </row>
    <row r="97" spans="1:14" ht="15" customHeight="1">
      <c r="A97" s="10"/>
      <c r="B97" s="10" t="s">
        <v>761</v>
      </c>
      <c r="C97" s="10"/>
      <c r="D97" s="10"/>
      <c r="E97" s="11">
        <v>70903</v>
      </c>
      <c r="F97" s="11">
        <v>75742</v>
      </c>
      <c r="G97" s="11">
        <v>73250</v>
      </c>
      <c r="H97" s="11">
        <v>80498</v>
      </c>
      <c r="I97" s="11">
        <v>89566</v>
      </c>
      <c r="J97" s="11">
        <v>-50927</v>
      </c>
      <c r="K97" s="11">
        <v>-171676</v>
      </c>
      <c r="L97" s="11">
        <v>-192942</v>
      </c>
      <c r="M97" s="11">
        <v>-262394</v>
      </c>
      <c r="N97" s="11">
        <v>-396338</v>
      </c>
    </row>
    <row r="98" spans="1:14" ht="15" customHeight="1">
      <c r="A98" s="10"/>
      <c r="B98" s="10" t="s">
        <v>253</v>
      </c>
      <c r="C98" s="10"/>
      <c r="D98" s="10"/>
      <c r="E98" s="14">
        <v>1.6839310111931131E-2</v>
      </c>
      <c r="F98" s="14">
        <v>2.6804132044204107E-2</v>
      </c>
      <c r="G98" s="14">
        <v>2.4640565096734578E-2</v>
      </c>
      <c r="H98" s="14">
        <v>2.43474220765698E-2</v>
      </c>
      <c r="I98" s="14">
        <v>3.4315192739251633E-2</v>
      </c>
      <c r="J98" s="14">
        <v>3.9063829133845866E-2</v>
      </c>
      <c r="K98" s="14">
        <v>8.7287625056600857E-2</v>
      </c>
      <c r="L98" s="14">
        <v>9.0477006723332046E-2</v>
      </c>
      <c r="M98" s="14">
        <v>4.290689004622944E-2</v>
      </c>
      <c r="N98" s="14">
        <v>7.185996889017876E-2</v>
      </c>
    </row>
    <row r="99" spans="1:14" ht="15" customHeight="1">
      <c r="A99" s="10"/>
      <c r="B99" s="10" t="s">
        <v>434</v>
      </c>
      <c r="C99" s="10"/>
      <c r="D99" s="10"/>
      <c r="E99" s="14">
        <v>0.18371608083097912</v>
      </c>
      <c r="F99" s="14">
        <v>0.14452374593312978</v>
      </c>
      <c r="G99" s="14">
        <v>0.12999679015915055</v>
      </c>
      <c r="H99" s="14">
        <v>0.14167861874452289</v>
      </c>
      <c r="I99" s="14">
        <v>9.2871872803604219E-2</v>
      </c>
      <c r="J99" s="14">
        <v>0.10606461497195341</v>
      </c>
      <c r="K99" s="14">
        <v>0.21228298670837092</v>
      </c>
      <c r="L99" s="14">
        <v>0.19435880409317907</v>
      </c>
      <c r="M99" s="14">
        <v>0.13685451665521012</v>
      </c>
      <c r="N99" s="14">
        <v>0.16849222872064279</v>
      </c>
    </row>
    <row r="100" spans="1:14" ht="15" customHeight="1">
      <c r="A100" s="10"/>
      <c r="B100" s="10" t="s">
        <v>762</v>
      </c>
      <c r="C100" s="10"/>
      <c r="D100" s="10"/>
      <c r="E100" s="11">
        <v>0</v>
      </c>
      <c r="F100" s="11">
        <v>0</v>
      </c>
      <c r="G100" s="11">
        <v>0</v>
      </c>
      <c r="H100" s="11">
        <v>0</v>
      </c>
      <c r="I100" s="11">
        <v>0</v>
      </c>
      <c r="J100" s="11">
        <v>0</v>
      </c>
      <c r="K100" s="11">
        <v>0</v>
      </c>
      <c r="L100" s="11">
        <v>0</v>
      </c>
      <c r="M100" s="11">
        <v>0</v>
      </c>
      <c r="N100" s="11">
        <v>0</v>
      </c>
    </row>
    <row r="101" spans="1:14" ht="15" customHeight="1">
      <c r="A101" s="10"/>
      <c r="B101" s="10" t="s">
        <v>763</v>
      </c>
      <c r="C101" s="10"/>
      <c r="D101" s="10"/>
      <c r="E101" s="14">
        <v>0.64507999999999999</v>
      </c>
      <c r="F101" s="14">
        <v>0.55745500000000003</v>
      </c>
      <c r="G101" s="14">
        <v>0.460424</v>
      </c>
      <c r="H101" s="14">
        <v>0.43540599999999996</v>
      </c>
      <c r="I101" s="14">
        <v>0.30264099999999999</v>
      </c>
      <c r="J101" s="14">
        <v>0.26137899999999997</v>
      </c>
      <c r="K101" s="14">
        <v>0.38080399999999998</v>
      </c>
      <c r="L101" s="14">
        <v>0.51197700000000002</v>
      </c>
      <c r="M101" s="14">
        <v>0.54028300000000007</v>
      </c>
      <c r="N101" s="14">
        <v>0.62496699999999994</v>
      </c>
    </row>
    <row r="102" spans="1:14" ht="15" customHeight="1">
      <c r="A102" s="10"/>
      <c r="B102" s="10" t="s">
        <v>764</v>
      </c>
      <c r="C102" s="10"/>
      <c r="D102" s="10"/>
      <c r="E102" s="14">
        <v>0.76312815490092667</v>
      </c>
      <c r="F102" s="14">
        <v>0.78266889867113065</v>
      </c>
      <c r="G102" s="14">
        <v>0.7362253000180915</v>
      </c>
      <c r="H102" s="14">
        <v>0.76791284688105166</v>
      </c>
      <c r="I102" s="14">
        <v>0.69954855741443678</v>
      </c>
      <c r="J102" s="14">
        <v>-0.35981404155803781</v>
      </c>
      <c r="K102" s="14">
        <v>-0.62139309965396927</v>
      </c>
      <c r="L102" s="14">
        <v>-0.59824379716849496</v>
      </c>
      <c r="M102" s="14">
        <v>-1.1891218243286112</v>
      </c>
      <c r="N102" s="14">
        <v>-1.8036515550054155</v>
      </c>
    </row>
    <row r="103" spans="1:14" ht="15" customHeight="1">
      <c r="A103" s="10"/>
      <c r="B103" s="10" t="s">
        <v>765</v>
      </c>
      <c r="C103" s="10"/>
      <c r="D103" s="10"/>
      <c r="E103" s="363">
        <v>9.1659423800921846E-2</v>
      </c>
      <c r="F103" s="363">
        <v>0.18546524566700762</v>
      </c>
      <c r="G103" s="363">
        <v>0.18954748856927922</v>
      </c>
      <c r="H103" s="363">
        <v>0.17184965729002097</v>
      </c>
      <c r="I103" s="363">
        <v>0.36948961729045604</v>
      </c>
      <c r="J103" s="363">
        <v>0.36830218206303289</v>
      </c>
      <c r="K103" s="363">
        <v>0.4111852127674952</v>
      </c>
      <c r="L103" s="363">
        <v>0.46551535005306866</v>
      </c>
      <c r="M103" s="363">
        <v>0.31352191432840043</v>
      </c>
      <c r="N103" s="363">
        <v>0.42648832789387187</v>
      </c>
    </row>
    <row r="104" spans="1:14" ht="15" customHeight="1">
      <c r="A104" s="10"/>
      <c r="B104" s="10" t="s">
        <v>766</v>
      </c>
      <c r="C104" s="10"/>
      <c r="D104" s="10"/>
      <c r="E104" s="14">
        <v>0</v>
      </c>
      <c r="F104" s="14">
        <v>0</v>
      </c>
      <c r="G104" s="14">
        <v>0</v>
      </c>
      <c r="H104" s="14">
        <v>0</v>
      </c>
      <c r="I104" s="14">
        <v>0</v>
      </c>
      <c r="J104" s="14">
        <v>0</v>
      </c>
      <c r="K104" s="14">
        <v>0</v>
      </c>
      <c r="L104" s="14">
        <v>0</v>
      </c>
      <c r="M104" s="14">
        <v>0</v>
      </c>
      <c r="N104" s="14">
        <v>0</v>
      </c>
    </row>
    <row r="105" spans="1:14" ht="15" customHeight="1">
      <c r="A105" s="10"/>
      <c r="B105" s="10"/>
      <c r="C105" s="10"/>
      <c r="D105" s="10"/>
      <c r="E105" s="10"/>
      <c r="F105" s="10"/>
      <c r="G105" s="10"/>
      <c r="H105" s="10"/>
      <c r="I105" s="10"/>
      <c r="J105" s="10"/>
      <c r="K105" s="10"/>
      <c r="L105" s="10"/>
      <c r="M105" s="10"/>
      <c r="N105" s="10"/>
    </row>
    <row r="106" spans="1:14" ht="15" customHeight="1">
      <c r="A106" s="10" t="s">
        <v>39</v>
      </c>
      <c r="B106" s="364" t="s">
        <v>748</v>
      </c>
      <c r="C106" s="365"/>
      <c r="D106" s="365"/>
      <c r="E106" s="362">
        <v>2015</v>
      </c>
      <c r="F106" s="362">
        <v>2016</v>
      </c>
      <c r="G106" s="362">
        <v>2017</v>
      </c>
      <c r="H106" s="362">
        <v>2018</v>
      </c>
      <c r="I106" s="362">
        <v>2019</v>
      </c>
      <c r="J106" s="362">
        <v>2020</v>
      </c>
      <c r="K106" s="362">
        <v>2021</v>
      </c>
      <c r="L106" s="362">
        <v>2022</v>
      </c>
      <c r="M106" s="362">
        <v>2023</v>
      </c>
      <c r="N106" s="362">
        <v>2024</v>
      </c>
    </row>
    <row r="107" spans="1:14" ht="15" customHeight="1">
      <c r="A107" s="10"/>
      <c r="B107" s="10" t="s">
        <v>364</v>
      </c>
      <c r="C107" s="10"/>
      <c r="D107" s="10"/>
      <c r="E107" s="11">
        <v>1065030</v>
      </c>
      <c r="F107" s="11">
        <v>1112362</v>
      </c>
      <c r="G107" s="11">
        <v>1156379</v>
      </c>
      <c r="H107" s="11">
        <v>1229142</v>
      </c>
      <c r="I107" s="11">
        <v>1306688</v>
      </c>
      <c r="J107" s="11">
        <v>1693461</v>
      </c>
      <c r="K107" s="11">
        <v>1288393</v>
      </c>
      <c r="L107" s="11">
        <v>1797605</v>
      </c>
      <c r="M107" s="11">
        <v>2029569</v>
      </c>
      <c r="N107" s="11">
        <v>2544789</v>
      </c>
    </row>
    <row r="108" spans="1:14" ht="15" customHeight="1">
      <c r="A108" s="10"/>
      <c r="B108" s="10" t="s">
        <v>761</v>
      </c>
      <c r="C108" s="10"/>
      <c r="D108" s="10"/>
      <c r="E108" s="11">
        <v>619832</v>
      </c>
      <c r="F108" s="11">
        <v>648741</v>
      </c>
      <c r="G108" s="11">
        <v>629729</v>
      </c>
      <c r="H108" s="11">
        <v>728510</v>
      </c>
      <c r="I108" s="11">
        <v>698875</v>
      </c>
      <c r="J108" s="11">
        <v>1151671</v>
      </c>
      <c r="K108" s="11">
        <v>622400</v>
      </c>
      <c r="L108" s="11">
        <v>1051950</v>
      </c>
      <c r="M108" s="11">
        <v>1338924</v>
      </c>
      <c r="N108" s="11">
        <v>1709611</v>
      </c>
    </row>
    <row r="109" spans="1:14" ht="15" customHeight="1">
      <c r="A109" s="10"/>
      <c r="B109" s="10" t="s">
        <v>253</v>
      </c>
      <c r="C109" s="10"/>
      <c r="D109" s="10"/>
      <c r="E109" s="14">
        <v>7.9670444663217752E-2</v>
      </c>
      <c r="F109" s="14">
        <v>6.5631219464202389E-2</v>
      </c>
      <c r="G109" s="14">
        <v>6.841380077942906E-2</v>
      </c>
      <c r="H109" s="14">
        <v>7.0773031956622254E-2</v>
      </c>
      <c r="I109" s="14">
        <v>6.8546650612735696E-2</v>
      </c>
      <c r="J109" s="14">
        <v>0.11086975756201428</v>
      </c>
      <c r="K109" s="14">
        <v>5.702900348158077E-2</v>
      </c>
      <c r="L109" s="14">
        <v>0.10087910692953514</v>
      </c>
      <c r="M109" s="14">
        <v>0.12019489977266655</v>
      </c>
      <c r="N109" s="14">
        <v>0.13783417862450512</v>
      </c>
    </row>
    <row r="110" spans="1:14" ht="15" customHeight="1">
      <c r="A110" s="10"/>
      <c r="B110" s="10" t="s">
        <v>434</v>
      </c>
      <c r="C110" s="10"/>
      <c r="D110" s="10"/>
      <c r="E110" s="14">
        <v>0.16634606441547109</v>
      </c>
      <c r="F110" s="14">
        <v>0.13193832744968995</v>
      </c>
      <c r="G110" s="14">
        <v>0.12155648261849084</v>
      </c>
      <c r="H110" s="14">
        <v>0.1429706657587301</v>
      </c>
      <c r="I110" s="14">
        <v>0.11165030858599985</v>
      </c>
      <c r="J110" s="14">
        <v>0.10721361824928836</v>
      </c>
      <c r="K110" s="14">
        <v>0.21292815389570433</v>
      </c>
      <c r="L110" s="14">
        <v>0.20672115065958382</v>
      </c>
      <c r="M110" s="14">
        <v>0.12693749075502628</v>
      </c>
      <c r="N110" s="14">
        <v>0.16256117464418235</v>
      </c>
    </row>
    <row r="111" spans="1:14" ht="15" customHeight="1">
      <c r="A111" s="10"/>
      <c r="B111" s="10" t="s">
        <v>762</v>
      </c>
      <c r="C111" s="10"/>
      <c r="D111" s="10"/>
      <c r="E111" s="11">
        <v>0</v>
      </c>
      <c r="F111" s="11">
        <v>0</v>
      </c>
      <c r="G111" s="11">
        <v>0</v>
      </c>
      <c r="H111" s="11">
        <v>0</v>
      </c>
      <c r="I111" s="11">
        <v>0</v>
      </c>
      <c r="J111" s="11">
        <v>0</v>
      </c>
      <c r="K111" s="11">
        <v>0</v>
      </c>
      <c r="L111" s="11">
        <v>0</v>
      </c>
      <c r="M111" s="11">
        <v>0</v>
      </c>
      <c r="N111" s="11">
        <v>0</v>
      </c>
    </row>
    <row r="112" spans="1:14" ht="15" customHeight="1">
      <c r="A112" s="10"/>
      <c r="B112" s="10" t="s">
        <v>763</v>
      </c>
      <c r="C112" s="10"/>
      <c r="D112" s="10"/>
      <c r="E112" s="14">
        <v>0.52851199999999998</v>
      </c>
      <c r="F112" s="14">
        <v>0.6494629999999999</v>
      </c>
      <c r="G112" s="14">
        <v>0.52644299999999999</v>
      </c>
      <c r="H112" s="14">
        <v>0.52740600000000004</v>
      </c>
      <c r="I112" s="14">
        <v>0.555925</v>
      </c>
      <c r="J112" s="14">
        <v>0.52023900000000001</v>
      </c>
      <c r="K112" s="14">
        <v>0.49668399999999996</v>
      </c>
      <c r="L112" s="14">
        <v>0.47242499999999998</v>
      </c>
      <c r="M112" s="14">
        <v>0.47028799999999998</v>
      </c>
      <c r="N112" s="14">
        <v>0.96818899999999997</v>
      </c>
    </row>
    <row r="113" spans="1:23" ht="15" customHeight="1">
      <c r="A113" s="10"/>
      <c r="B113" s="10" t="s">
        <v>764</v>
      </c>
      <c r="C113" s="10"/>
      <c r="D113" s="10"/>
      <c r="E113" s="14">
        <v>0.58198548397697714</v>
      </c>
      <c r="F113" s="14">
        <v>0.58321032181969534</v>
      </c>
      <c r="G113" s="14">
        <v>0.54456973016632093</v>
      </c>
      <c r="H113" s="14">
        <v>0.59269799583774696</v>
      </c>
      <c r="I113" s="14">
        <v>0.53484458417005432</v>
      </c>
      <c r="J113" s="14">
        <v>0.68006939634275609</v>
      </c>
      <c r="K113" s="14">
        <v>0.4830824135182355</v>
      </c>
      <c r="L113" s="14">
        <v>0.58519530152619736</v>
      </c>
      <c r="M113" s="14">
        <v>0.65970853910362248</v>
      </c>
      <c r="N113" s="14">
        <v>0.6718085467989684</v>
      </c>
    </row>
    <row r="114" spans="1:23" ht="15" customHeight="1">
      <c r="A114" s="10"/>
      <c r="B114" s="10" t="s">
        <v>765</v>
      </c>
      <c r="C114" s="10"/>
      <c r="D114" s="10"/>
      <c r="E114" s="363">
        <v>0.47894397107123843</v>
      </c>
      <c r="F114" s="363">
        <v>0.49743861948855272</v>
      </c>
      <c r="G114" s="363">
        <v>0.56281490962640068</v>
      </c>
      <c r="H114" s="363">
        <v>0.49501785265555914</v>
      </c>
      <c r="I114" s="363">
        <v>0.61394053882024791</v>
      </c>
      <c r="J114" s="363">
        <v>1.0341014450629287</v>
      </c>
      <c r="K114" s="363">
        <v>0.2678321416787115</v>
      </c>
      <c r="L114" s="363">
        <v>0.48799605946300528</v>
      </c>
      <c r="M114" s="363">
        <v>0.94688258809706505</v>
      </c>
      <c r="N114" s="363">
        <v>0.84789113345298928</v>
      </c>
    </row>
    <row r="115" spans="1:23" ht="15" customHeight="1">
      <c r="A115" s="10"/>
      <c r="B115" s="10" t="s">
        <v>766</v>
      </c>
      <c r="C115" s="10"/>
      <c r="D115" s="10"/>
      <c r="E115" s="14">
        <v>0</v>
      </c>
      <c r="F115" s="14">
        <v>0</v>
      </c>
      <c r="G115" s="14">
        <v>0</v>
      </c>
      <c r="H115" s="14">
        <v>0</v>
      </c>
      <c r="I115" s="14">
        <v>0</v>
      </c>
      <c r="J115" s="14">
        <v>0</v>
      </c>
      <c r="K115" s="14">
        <v>0</v>
      </c>
      <c r="L115" s="14">
        <v>0</v>
      </c>
      <c r="M115" s="14">
        <v>0</v>
      </c>
      <c r="N115" s="14">
        <v>0</v>
      </c>
    </row>
    <row r="116" spans="1:23" ht="15" customHeight="1">
      <c r="A116" s="10"/>
      <c r="B116" s="10"/>
      <c r="C116" s="10"/>
      <c r="D116" s="10"/>
      <c r="E116" s="10"/>
      <c r="F116" s="10"/>
      <c r="G116" s="10"/>
      <c r="H116" s="10"/>
      <c r="I116" s="10"/>
      <c r="J116" s="10"/>
      <c r="K116" s="10"/>
      <c r="L116" s="10"/>
      <c r="M116" s="10"/>
      <c r="N116" s="10"/>
    </row>
    <row r="117" spans="1:23" ht="15" customHeight="1">
      <c r="A117" s="10" t="s">
        <v>39</v>
      </c>
      <c r="B117" s="364" t="s">
        <v>752</v>
      </c>
      <c r="C117" s="365"/>
      <c r="D117" s="365"/>
      <c r="E117" s="362">
        <v>2015</v>
      </c>
      <c r="F117" s="362">
        <v>2016</v>
      </c>
      <c r="G117" s="362">
        <v>2017</v>
      </c>
      <c r="H117" s="362">
        <v>2018</v>
      </c>
      <c r="I117" s="362">
        <v>2019</v>
      </c>
      <c r="J117" s="362">
        <v>2020</v>
      </c>
      <c r="K117" s="362">
        <v>2021</v>
      </c>
      <c r="L117" s="362">
        <v>2022</v>
      </c>
      <c r="M117" s="362">
        <v>2023</v>
      </c>
      <c r="N117" s="362">
        <v>2024</v>
      </c>
    </row>
    <row r="118" spans="1:23" ht="15" customHeight="1">
      <c r="A118" s="10"/>
      <c r="B118" s="10" t="s">
        <v>364</v>
      </c>
      <c r="C118" s="10"/>
      <c r="D118" s="10"/>
      <c r="E118" s="11">
        <v>636659</v>
      </c>
      <c r="F118" s="11">
        <v>668710</v>
      </c>
      <c r="G118" s="11">
        <v>693235</v>
      </c>
      <c r="H118" s="11">
        <v>722606</v>
      </c>
      <c r="I118" s="11">
        <v>755353</v>
      </c>
      <c r="J118" s="11">
        <v>676664</v>
      </c>
      <c r="K118" s="11">
        <v>858064</v>
      </c>
      <c r="L118" s="11">
        <v>1016341</v>
      </c>
      <c r="M118" s="11">
        <v>1157163</v>
      </c>
      <c r="N118" s="11">
        <v>1236345</v>
      </c>
      <c r="O118" s="10"/>
      <c r="P118" s="10"/>
      <c r="Q118" s="10"/>
      <c r="R118" s="10"/>
      <c r="S118" s="10"/>
      <c r="T118" s="10"/>
      <c r="U118" s="10"/>
      <c r="V118" s="10"/>
      <c r="W118" s="10"/>
    </row>
    <row r="119" spans="1:23" ht="15" customHeight="1">
      <c r="A119" s="10"/>
      <c r="B119" s="10" t="s">
        <v>761</v>
      </c>
      <c r="C119" s="10"/>
      <c r="D119" s="10"/>
      <c r="E119" s="11">
        <v>-242707</v>
      </c>
      <c r="F119" s="11">
        <v>399055</v>
      </c>
      <c r="G119" s="11">
        <v>381272</v>
      </c>
      <c r="H119" s="11">
        <v>371251</v>
      </c>
      <c r="I119" s="11">
        <v>382919</v>
      </c>
      <c r="J119" s="11">
        <v>143328</v>
      </c>
      <c r="K119" s="11">
        <v>280561</v>
      </c>
      <c r="L119" s="11">
        <v>570976</v>
      </c>
      <c r="M119" s="11">
        <v>720121</v>
      </c>
      <c r="N119" s="11">
        <v>767488</v>
      </c>
      <c r="O119" s="10"/>
      <c r="P119" s="10"/>
      <c r="Q119" s="10"/>
      <c r="R119" s="10"/>
      <c r="S119" s="10"/>
      <c r="T119" s="10"/>
      <c r="U119" s="10"/>
      <c r="V119" s="10"/>
      <c r="W119" s="10"/>
    </row>
    <row r="120" spans="1:23" ht="15" customHeight="1">
      <c r="A120" s="10"/>
      <c r="B120" s="10" t="s">
        <v>253</v>
      </c>
      <c r="C120" s="10"/>
      <c r="D120" s="10"/>
      <c r="E120" s="14">
        <v>-7.8141978145077784E-2</v>
      </c>
      <c r="F120" s="14">
        <v>4.688206274412763E-2</v>
      </c>
      <c r="G120" s="14">
        <v>6.5619129656112621E-2</v>
      </c>
      <c r="H120" s="14">
        <v>6.4198961693481035E-2</v>
      </c>
      <c r="I120" s="14">
        <v>6.8390619185616175E-2</v>
      </c>
      <c r="J120" s="14">
        <v>3.8443420611721471E-2</v>
      </c>
      <c r="K120" s="14">
        <v>3.0682335635272773E-2</v>
      </c>
      <c r="L120" s="14">
        <v>5.8536081926616121E-2</v>
      </c>
      <c r="M120" s="14">
        <v>7.4328307640048746E-2</v>
      </c>
      <c r="N120" s="14">
        <v>8.0213201416937482E-2</v>
      </c>
      <c r="O120" s="10"/>
      <c r="P120" s="10"/>
      <c r="Q120" s="10"/>
      <c r="R120" s="10"/>
      <c r="S120" s="10"/>
      <c r="T120" s="10"/>
      <c r="U120" s="10"/>
      <c r="V120" s="10"/>
      <c r="W120" s="10"/>
    </row>
    <row r="121" spans="1:23" ht="15" customHeight="1">
      <c r="A121" s="10"/>
      <c r="B121" s="10" t="s">
        <v>434</v>
      </c>
      <c r="C121" s="10"/>
      <c r="D121" s="10"/>
      <c r="E121" s="14">
        <v>0.19782799412340385</v>
      </c>
      <c r="F121" s="14">
        <v>0.11516632682349576</v>
      </c>
      <c r="G121" s="14">
        <v>0.10042091619630727</v>
      </c>
      <c r="H121" s="14">
        <v>0.11830099667847045</v>
      </c>
      <c r="I121" s="14">
        <v>8.4829429283847138E-2</v>
      </c>
      <c r="J121" s="14">
        <v>8.3875105767647215E-2</v>
      </c>
      <c r="K121" s="14">
        <v>0.16831240053172622</v>
      </c>
      <c r="L121" s="14">
        <v>0.20013806350023949</v>
      </c>
      <c r="M121" s="14">
        <v>0.12542276121123949</v>
      </c>
      <c r="N121" s="14">
        <v>0.1668208308507193</v>
      </c>
      <c r="O121" s="10"/>
      <c r="P121" s="10"/>
      <c r="Q121" s="10"/>
      <c r="R121" s="10"/>
      <c r="S121" s="10"/>
      <c r="T121" s="10"/>
      <c r="U121" s="10"/>
      <c r="V121" s="10"/>
      <c r="W121" s="10"/>
    </row>
    <row r="122" spans="1:23" ht="15" customHeight="1">
      <c r="A122" s="10"/>
      <c r="B122" s="10" t="s">
        <v>762</v>
      </c>
      <c r="C122" s="10"/>
      <c r="D122" s="10"/>
      <c r="E122" s="11">
        <v>-388246</v>
      </c>
      <c r="F122" s="11">
        <v>-161200</v>
      </c>
      <c r="G122" s="11">
        <v>-98058</v>
      </c>
      <c r="H122" s="11">
        <v>-170743</v>
      </c>
      <c r="I122" s="11">
        <v>-166208</v>
      </c>
      <c r="J122" s="11">
        <v>-494127</v>
      </c>
      <c r="K122" s="11">
        <v>-167010</v>
      </c>
      <c r="L122" s="11">
        <v>-175615</v>
      </c>
      <c r="M122" s="11">
        <v>-919722</v>
      </c>
      <c r="N122" s="11">
        <v>-339922</v>
      </c>
      <c r="O122" s="10"/>
      <c r="P122" s="10"/>
      <c r="Q122" s="10"/>
      <c r="R122" s="10"/>
      <c r="S122" s="10"/>
      <c r="T122" s="10"/>
      <c r="U122" s="10"/>
      <c r="V122" s="10"/>
      <c r="W122" s="10"/>
    </row>
    <row r="123" spans="1:23" ht="15" customHeight="1">
      <c r="A123" s="10"/>
      <c r="B123" s="10" t="s">
        <v>763</v>
      </c>
      <c r="C123" s="10"/>
      <c r="D123" s="10"/>
      <c r="E123" s="14">
        <v>0.86109599999999997</v>
      </c>
      <c r="F123" s="14">
        <v>0.84943200000000008</v>
      </c>
      <c r="G123" s="14">
        <v>0.80790000000000006</v>
      </c>
      <c r="H123" s="14">
        <v>0.81582599999999994</v>
      </c>
      <c r="I123" s="14">
        <v>0.81580600000000003</v>
      </c>
      <c r="J123" s="14">
        <v>1.1263290000000001</v>
      </c>
      <c r="K123" s="14">
        <v>0.99517300000000009</v>
      </c>
      <c r="L123" s="14">
        <v>0.75478300000000009</v>
      </c>
      <c r="M123" s="14">
        <v>0.80598299999999989</v>
      </c>
      <c r="N123" s="14">
        <v>0.79725800000000002</v>
      </c>
      <c r="O123" s="10"/>
      <c r="P123" s="10"/>
      <c r="Q123" s="10"/>
      <c r="R123" s="10"/>
      <c r="S123" s="10"/>
      <c r="T123" s="10"/>
      <c r="U123" s="10"/>
      <c r="V123" s="10"/>
      <c r="W123" s="10"/>
    </row>
    <row r="124" spans="1:23" ht="15" customHeight="1">
      <c r="A124" s="10"/>
      <c r="B124" s="10" t="s">
        <v>764</v>
      </c>
      <c r="C124" s="10"/>
      <c r="D124" s="10"/>
      <c r="E124" s="14">
        <v>-0.3812197738506799</v>
      </c>
      <c r="F124" s="14">
        <v>0.59675345067368513</v>
      </c>
      <c r="G124" s="14">
        <v>0.54998954178597448</v>
      </c>
      <c r="H124" s="14">
        <v>0.51376683836004688</v>
      </c>
      <c r="I124" s="14">
        <v>0.50694046359781453</v>
      </c>
      <c r="J124" s="14">
        <v>0.21181561306645544</v>
      </c>
      <c r="K124" s="14">
        <v>0.32696978313971919</v>
      </c>
      <c r="L124" s="14">
        <v>0.56179569652311578</v>
      </c>
      <c r="M124" s="14">
        <v>0.62231595721605337</v>
      </c>
      <c r="N124" s="14">
        <v>0.62077171016180754</v>
      </c>
      <c r="O124" s="10"/>
      <c r="P124" s="10"/>
      <c r="Q124" s="10"/>
      <c r="R124" s="10"/>
      <c r="S124" s="10"/>
      <c r="T124" s="10"/>
      <c r="U124" s="10"/>
      <c r="V124" s="10"/>
      <c r="W124" s="10"/>
    </row>
    <row r="125" spans="1:23" ht="15" customHeight="1">
      <c r="A125" s="10"/>
      <c r="B125" s="10" t="s">
        <v>765</v>
      </c>
      <c r="C125" s="10"/>
      <c r="D125" s="10"/>
      <c r="E125" s="363">
        <v>-0.3949995979655605</v>
      </c>
      <c r="F125" s="363">
        <v>0.40708134085043118</v>
      </c>
      <c r="G125" s="363">
        <v>0.65344085815585895</v>
      </c>
      <c r="H125" s="363">
        <v>0.54267473221689755</v>
      </c>
      <c r="I125" s="363">
        <v>0.80621335971476149</v>
      </c>
      <c r="J125" s="363">
        <v>0.45834124749980448</v>
      </c>
      <c r="K125" s="363">
        <v>0.18229396965608172</v>
      </c>
      <c r="L125" s="363">
        <v>0.29247850660124969</v>
      </c>
      <c r="M125" s="363">
        <v>0.59262215982363475</v>
      </c>
      <c r="N125" s="363">
        <v>0.48083444380346468</v>
      </c>
      <c r="O125" s="10"/>
      <c r="P125" s="10"/>
      <c r="Q125" s="10"/>
      <c r="R125" s="10"/>
      <c r="S125" s="10"/>
      <c r="T125" s="10"/>
      <c r="U125" s="10"/>
      <c r="V125" s="10"/>
      <c r="W125" s="10"/>
    </row>
    <row r="126" spans="1:23" ht="15" customHeight="1">
      <c r="A126" s="10"/>
      <c r="B126" s="10" t="s">
        <v>766</v>
      </c>
      <c r="C126" s="10"/>
      <c r="D126" s="10"/>
      <c r="E126" s="14">
        <v>0.60981781456007067</v>
      </c>
      <c r="F126" s="14">
        <v>0.24106114758265915</v>
      </c>
      <c r="G126" s="14">
        <v>0.14144986909201065</v>
      </c>
      <c r="H126" s="14">
        <v>0.23628782490042982</v>
      </c>
      <c r="I126" s="14">
        <v>0.22004016665055942</v>
      </c>
      <c r="J126" s="14">
        <v>0.73023982360521622</v>
      </c>
      <c r="K126" s="14">
        <v>0.19463583135989856</v>
      </c>
      <c r="L126" s="14">
        <v>0.17279141547964708</v>
      </c>
      <c r="M126" s="14">
        <v>0.79480764594097808</v>
      </c>
      <c r="N126" s="14">
        <v>0.27494105609680147</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0" t="s">
        <v>767</v>
      </c>
      <c r="C128" s="380"/>
      <c r="D128" s="380"/>
      <c r="E128" s="32"/>
      <c r="F128" s="336"/>
      <c r="G128" s="336"/>
      <c r="H128" s="336"/>
      <c r="I128" s="336"/>
      <c r="J128" s="336"/>
      <c r="K128" s="32"/>
      <c r="L128" s="336"/>
      <c r="M128" s="336"/>
      <c r="N128" s="336"/>
      <c r="O128" s="336"/>
      <c r="P128" s="336"/>
      <c r="Q128" s="32"/>
      <c r="R128" s="336"/>
      <c r="S128" s="336"/>
      <c r="T128" s="336"/>
      <c r="U128" s="336"/>
      <c r="V128" s="32"/>
      <c r="W128" s="336"/>
    </row>
    <row r="129" spans="1:23" ht="15" customHeight="1">
      <c r="A129" s="10"/>
      <c r="B129" s="381"/>
      <c r="C129" s="381"/>
      <c r="D129" s="381"/>
      <c r="E129" s="32"/>
      <c r="F129" s="382"/>
      <c r="G129" s="382"/>
      <c r="H129" s="382"/>
      <c r="I129" s="382"/>
      <c r="J129" s="382"/>
      <c r="K129" s="383"/>
      <c r="L129" s="382"/>
      <c r="M129" s="382"/>
      <c r="N129" s="382"/>
      <c r="O129" s="382"/>
      <c r="P129" s="382"/>
      <c r="Q129" s="383"/>
      <c r="R129" s="382"/>
      <c r="S129" s="382"/>
      <c r="T129" s="382"/>
      <c r="U129" s="382"/>
      <c r="V129" s="383"/>
      <c r="W129" s="530"/>
    </row>
    <row r="130" spans="1:23" ht="15" customHeight="1">
      <c r="A130" s="10"/>
      <c r="B130" s="381"/>
      <c r="C130" s="381"/>
      <c r="D130" s="381"/>
      <c r="E130" s="32"/>
      <c r="F130" s="384"/>
      <c r="G130" s="384"/>
      <c r="H130" s="384"/>
      <c r="I130" s="384"/>
      <c r="J130" s="384"/>
      <c r="K130" s="382"/>
      <c r="L130" s="384"/>
      <c r="M130" s="384"/>
      <c r="N130" s="384"/>
      <c r="O130" s="384"/>
      <c r="P130" s="384"/>
      <c r="Q130" s="382"/>
      <c r="R130" s="384"/>
      <c r="S130" s="384"/>
      <c r="T130" s="384"/>
      <c r="U130" s="384"/>
      <c r="V130" s="382"/>
      <c r="W130" s="384"/>
    </row>
    <row r="131" spans="1:23" ht="3.95" customHeight="1">
      <c r="A131" s="10"/>
      <c r="B131" s="385"/>
      <c r="C131" s="385"/>
      <c r="D131" s="385"/>
      <c r="E131" s="386"/>
      <c r="F131" s="387"/>
      <c r="G131" s="387"/>
      <c r="H131" s="387"/>
      <c r="I131" s="387"/>
      <c r="J131" s="387"/>
      <c r="K131" s="388"/>
      <c r="L131" s="387"/>
      <c r="M131" s="387"/>
      <c r="N131" s="387"/>
      <c r="O131" s="387"/>
      <c r="P131" s="387"/>
      <c r="Q131" s="388"/>
      <c r="R131" s="387"/>
      <c r="S131" s="387"/>
      <c r="T131" s="387"/>
      <c r="U131" s="387"/>
      <c r="V131" s="388"/>
      <c r="W131" s="387"/>
    </row>
    <row r="132" spans="1:23" ht="3.95" customHeight="1">
      <c r="A132" s="10"/>
      <c r="B132" s="376"/>
      <c r="C132" s="376"/>
      <c r="D132" s="376"/>
      <c r="E132" s="377"/>
      <c r="F132" s="376"/>
      <c r="G132" s="376"/>
      <c r="H132" s="376"/>
      <c r="I132" s="376"/>
      <c r="J132" s="376"/>
      <c r="K132" s="376"/>
      <c r="L132" s="376"/>
      <c r="M132" s="376"/>
      <c r="N132" s="376"/>
      <c r="O132" s="376"/>
      <c r="P132" s="376"/>
      <c r="Q132" s="376"/>
      <c r="R132" s="376"/>
      <c r="S132" s="376"/>
      <c r="T132" s="376"/>
      <c r="U132" s="376"/>
      <c r="V132" s="376"/>
      <c r="W132" s="376"/>
    </row>
    <row r="133" spans="1:23" ht="15" customHeight="1">
      <c r="A133" s="10"/>
      <c r="B133" s="380" t="s">
        <v>80</v>
      </c>
      <c r="C133" s="535" t="s">
        <v>768</v>
      </c>
      <c r="D133" s="381"/>
      <c r="E133" s="32"/>
      <c r="F133" s="384"/>
      <c r="G133" s="384">
        <v>2017</v>
      </c>
      <c r="H133" s="384">
        <v>2018</v>
      </c>
      <c r="I133" s="384">
        <v>2019</v>
      </c>
      <c r="J133" s="384">
        <v>2020</v>
      </c>
      <c r="K133" s="384">
        <v>2021</v>
      </c>
      <c r="L133" s="384">
        <v>2022</v>
      </c>
      <c r="M133" s="384">
        <v>2023</v>
      </c>
      <c r="N133" s="384">
        <v>2024</v>
      </c>
      <c r="O133" s="376"/>
      <c r="P133" s="384">
        <v>2017</v>
      </c>
      <c r="Q133" s="384">
        <v>2018</v>
      </c>
      <c r="R133" s="384">
        <v>2019</v>
      </c>
      <c r="S133" s="384">
        <v>2020</v>
      </c>
      <c r="T133" s="384">
        <v>2021</v>
      </c>
      <c r="U133" s="384">
        <v>2022</v>
      </c>
      <c r="V133" s="384">
        <v>2023</v>
      </c>
      <c r="W133" s="384">
        <v>2024</v>
      </c>
    </row>
    <row r="135" spans="1:23" ht="15" customHeight="1">
      <c r="B135" s="376" t="s">
        <v>226</v>
      </c>
      <c r="C135" s="534" t="s">
        <v>721</v>
      </c>
      <c r="D135" s="376"/>
      <c r="E135" s="377"/>
      <c r="F135" s="376"/>
      <c r="G135" s="376" t="e">
        <v>#N/A</v>
      </c>
      <c r="H135" s="376" t="e">
        <v>#N/A</v>
      </c>
      <c r="I135" s="376" t="e">
        <v>#N/A</v>
      </c>
      <c r="J135" s="376" t="e">
        <v>#N/A</v>
      </c>
      <c r="K135" s="376" t="e">
        <v>#N/A</v>
      </c>
      <c r="L135" s="376" t="e">
        <v>#N/A</v>
      </c>
      <c r="M135" s="376" t="e">
        <v>#N/A</v>
      </c>
      <c r="N135" s="376">
        <v>2269.6799999999998</v>
      </c>
      <c r="O135" s="376"/>
      <c r="P135" s="376" t="e">
        <v>#N/A</v>
      </c>
      <c r="Q135" s="376" t="e">
        <v>#N/A</v>
      </c>
      <c r="R135" s="376" t="e">
        <v>#N/A</v>
      </c>
      <c r="S135" s="376" t="e">
        <v>#N/A</v>
      </c>
      <c r="T135" s="376" t="e">
        <v>#N/A</v>
      </c>
      <c r="U135" s="376" t="e">
        <v>#N/A</v>
      </c>
      <c r="V135" s="376" t="e">
        <v>#N/A</v>
      </c>
      <c r="W135" s="376">
        <v>1.2828486646884272E-2</v>
      </c>
    </row>
    <row r="136" spans="1:23" ht="15" customHeight="1">
      <c r="B136" s="376" t="s">
        <v>227</v>
      </c>
      <c r="C136" s="534" t="s">
        <v>735</v>
      </c>
      <c r="D136" s="376"/>
      <c r="E136" s="377"/>
      <c r="F136" s="376"/>
      <c r="G136" s="376">
        <v>11.933</v>
      </c>
      <c r="H136" s="376" t="e">
        <v>#N/A</v>
      </c>
      <c r="I136" s="376" t="e">
        <v>#N/A</v>
      </c>
      <c r="J136" s="376">
        <v>7.3029999999999999</v>
      </c>
      <c r="K136" s="376">
        <v>21.042999999999999</v>
      </c>
      <c r="L136" s="376">
        <v>22.209</v>
      </c>
      <c r="M136" s="376">
        <v>20.623000000000001</v>
      </c>
      <c r="N136" s="376">
        <v>25.416</v>
      </c>
      <c r="O136" s="376"/>
      <c r="P136" s="376">
        <v>2.4380825511500853E-5</v>
      </c>
      <c r="Q136" s="376" t="e">
        <v>#N/A</v>
      </c>
      <c r="R136" s="376" t="e">
        <v>#N/A</v>
      </c>
      <c r="S136" s="376">
        <v>9.1563908548932083E-6</v>
      </c>
      <c r="T136" s="376">
        <v>2.2358127412532576E-5</v>
      </c>
      <c r="U136" s="376">
        <v>1.9984324961014864E-5</v>
      </c>
      <c r="V136" s="376">
        <v>2.7566348443295972E-6</v>
      </c>
      <c r="W136" s="376">
        <v>9.086053679787392E-6</v>
      </c>
    </row>
    <row r="137" spans="1:23" ht="15" customHeight="1">
      <c r="B137" s="376" t="s">
        <v>228</v>
      </c>
      <c r="C137" s="534" t="s">
        <v>739</v>
      </c>
      <c r="D137" s="376"/>
      <c r="E137" s="377"/>
      <c r="F137" s="376"/>
      <c r="G137" s="376" t="e">
        <v>#N/A</v>
      </c>
      <c r="H137" s="376" t="e">
        <v>#N/A</v>
      </c>
      <c r="I137" s="376" t="e">
        <v>#N/A</v>
      </c>
      <c r="J137" s="376" t="e">
        <v>#N/A</v>
      </c>
      <c r="K137" s="376" t="e">
        <v>#N/A</v>
      </c>
      <c r="L137" s="376">
        <v>5.4180000000000001</v>
      </c>
      <c r="M137" s="376">
        <v>4.5940000000000003</v>
      </c>
      <c r="N137" s="376">
        <v>4.819</v>
      </c>
      <c r="O137" s="376"/>
      <c r="P137" s="376" t="e">
        <v>#N/A</v>
      </c>
      <c r="Q137" s="376" t="e">
        <v>#N/A</v>
      </c>
      <c r="R137" s="376" t="e">
        <v>#N/A</v>
      </c>
      <c r="S137" s="376" t="e">
        <v>#N/A</v>
      </c>
      <c r="T137" s="376" t="e">
        <v>#N/A</v>
      </c>
      <c r="U137" s="376">
        <v>2.7984958988450654E-6</v>
      </c>
      <c r="V137" s="376">
        <v>2.8830090732575492E-6</v>
      </c>
      <c r="W137" s="376">
        <v>2.8896327006402882E-6</v>
      </c>
    </row>
    <row r="138" spans="1:23" ht="15" customHeight="1">
      <c r="B138" s="376" t="s">
        <v>743</v>
      </c>
      <c r="C138" s="534" t="s">
        <v>744</v>
      </c>
      <c r="D138" s="376"/>
      <c r="E138" s="377"/>
      <c r="F138" s="376"/>
      <c r="G138" s="376" t="e">
        <v>#N/A</v>
      </c>
      <c r="H138" s="376" t="e">
        <v>#N/A</v>
      </c>
      <c r="I138" s="376" t="e">
        <v>#N/A</v>
      </c>
      <c r="J138" s="376" t="e">
        <v>#N/A</v>
      </c>
      <c r="K138" s="376" t="e">
        <v>#N/A</v>
      </c>
      <c r="L138" s="376" t="e">
        <v>#N/A</v>
      </c>
      <c r="M138" s="376" t="e">
        <v>#N/A</v>
      </c>
      <c r="N138" s="376" t="e">
        <v>#N/A</v>
      </c>
      <c r="O138" s="376"/>
      <c r="P138" s="376" t="e">
        <v>#N/A</v>
      </c>
      <c r="Q138" s="376" t="e">
        <v>#N/A</v>
      </c>
      <c r="R138" s="376" t="e">
        <v>#N/A</v>
      </c>
      <c r="S138" s="376" t="e">
        <v>#N/A</v>
      </c>
      <c r="T138" s="376" t="e">
        <v>#N/A</v>
      </c>
      <c r="U138" s="376" t="e">
        <v>#N/A</v>
      </c>
      <c r="V138" s="376" t="e">
        <v>#N/A</v>
      </c>
      <c r="W138" s="376" t="e">
        <v>#N/A</v>
      </c>
    </row>
    <row r="139" spans="1:23" ht="15" customHeight="1">
      <c r="B139" s="376" t="s">
        <v>229</v>
      </c>
      <c r="C139" s="534" t="s">
        <v>748</v>
      </c>
      <c r="D139" s="376"/>
      <c r="E139" s="377"/>
      <c r="F139" s="376"/>
      <c r="G139" s="376">
        <v>8.1069999999999993</v>
      </c>
      <c r="H139" s="376">
        <v>7.53</v>
      </c>
      <c r="I139" s="376">
        <v>1.4339999999999999</v>
      </c>
      <c r="J139" s="376">
        <v>2.0289999999999999</v>
      </c>
      <c r="K139" s="376">
        <v>11.599</v>
      </c>
      <c r="L139" s="376">
        <v>3.2090000000000001</v>
      </c>
      <c r="M139" s="376">
        <v>3.7490000000000001</v>
      </c>
      <c r="N139" s="376">
        <v>5.3550000000000004</v>
      </c>
      <c r="O139" s="376"/>
      <c r="P139" s="376">
        <v>7.0106772952466272E-6</v>
      </c>
      <c r="Q139" s="376">
        <v>6.1262246347452129E-6</v>
      </c>
      <c r="R139" s="376">
        <v>1.0974310623500024E-6</v>
      </c>
      <c r="S139" s="376">
        <v>1.1981380143977333E-6</v>
      </c>
      <c r="T139" s="376">
        <v>9.0026878444698159E-6</v>
      </c>
      <c r="U139" s="376">
        <v>1.7851530230501139E-6</v>
      </c>
      <c r="V139" s="376">
        <v>1.8471902162478833E-6</v>
      </c>
      <c r="W139" s="376">
        <v>2.1043001993485514E-6</v>
      </c>
    </row>
    <row r="140" spans="1:23" ht="15" customHeight="1">
      <c r="B140" s="376" t="s">
        <v>230</v>
      </c>
      <c r="C140" s="534" t="s">
        <v>752</v>
      </c>
      <c r="D140" s="376"/>
      <c r="E140" s="377"/>
      <c r="F140" s="376"/>
      <c r="G140" s="376" t="e">
        <v>#N/A</v>
      </c>
      <c r="H140" s="376" t="e">
        <v>#N/A</v>
      </c>
      <c r="I140" s="376" t="e">
        <v>#N/A</v>
      </c>
      <c r="J140" s="376" t="e">
        <v>#N/A</v>
      </c>
      <c r="K140" s="376">
        <v>1.274</v>
      </c>
      <c r="L140" s="376">
        <v>1.0329999999999999</v>
      </c>
      <c r="M140" s="376">
        <v>1.0940000000000001</v>
      </c>
      <c r="N140" s="376">
        <v>0.94699999999999995</v>
      </c>
      <c r="O140" s="376"/>
      <c r="P140" s="376" t="e">
        <v>#N/A</v>
      </c>
      <c r="Q140" s="376" t="e">
        <v>#N/A</v>
      </c>
      <c r="R140" s="376" t="e">
        <v>#N/A</v>
      </c>
      <c r="S140" s="376" t="e">
        <v>#N/A</v>
      </c>
      <c r="T140" s="376">
        <v>1.4847377351805926E-6</v>
      </c>
      <c r="U140" s="376">
        <v>1.0163911521821907E-6</v>
      </c>
      <c r="V140" s="376">
        <v>9.4541564153019071E-7</v>
      </c>
      <c r="W140" s="376">
        <v>7.6596742818549837E-7</v>
      </c>
    </row>
    <row r="141" spans="1:23" ht="15" customHeight="1">
      <c r="B141" s="376"/>
      <c r="C141" s="376"/>
      <c r="D141" s="376"/>
      <c r="E141" s="377"/>
      <c r="F141" s="376"/>
      <c r="G141" s="376"/>
      <c r="H141" s="376"/>
      <c r="I141" s="376"/>
      <c r="J141" s="376"/>
      <c r="K141" s="376"/>
      <c r="L141" s="376"/>
      <c r="M141" s="376"/>
      <c r="N141" s="376"/>
      <c r="O141" s="376"/>
      <c r="P141" s="376"/>
      <c r="Q141" s="376"/>
      <c r="R141" s="376"/>
      <c r="S141" s="376"/>
      <c r="T141" s="376"/>
      <c r="U141" s="376"/>
      <c r="V141" s="376"/>
      <c r="W141" s="376"/>
    </row>
    <row r="142" spans="1:23" ht="15" customHeight="1">
      <c r="B142" s="380" t="s">
        <v>93</v>
      </c>
      <c r="C142" s="535" t="s">
        <v>769</v>
      </c>
      <c r="D142" s="381"/>
      <c r="E142" s="32"/>
      <c r="F142" s="384"/>
      <c r="G142" s="384">
        <v>2017</v>
      </c>
      <c r="H142" s="384">
        <v>2018</v>
      </c>
      <c r="I142" s="384">
        <v>2019</v>
      </c>
      <c r="J142" s="384">
        <v>2020</v>
      </c>
      <c r="K142" s="384">
        <v>2021</v>
      </c>
      <c r="L142" s="384">
        <v>2022</v>
      </c>
      <c r="M142" s="384">
        <v>2023</v>
      </c>
      <c r="N142" s="384">
        <v>2024</v>
      </c>
      <c r="O142" s="376"/>
      <c r="P142" s="384">
        <v>2017</v>
      </c>
      <c r="Q142" s="384">
        <v>2018</v>
      </c>
      <c r="R142" s="384">
        <v>2019</v>
      </c>
      <c r="S142" s="384">
        <v>2020</v>
      </c>
      <c r="T142" s="384">
        <v>2021</v>
      </c>
      <c r="U142" s="384">
        <v>2022</v>
      </c>
      <c r="V142" s="384">
        <v>2023</v>
      </c>
      <c r="W142" s="384">
        <v>2024</v>
      </c>
    </row>
    <row r="143" spans="1:23" ht="3.95" customHeight="1">
      <c r="B143" s="385"/>
      <c r="C143" s="385"/>
      <c r="D143" s="385"/>
      <c r="E143" s="386"/>
      <c r="F143" s="387"/>
      <c r="G143" s="387"/>
      <c r="H143" s="387"/>
      <c r="I143" s="387"/>
      <c r="J143" s="387"/>
      <c r="K143" s="387"/>
      <c r="L143" s="387"/>
      <c r="M143" s="387"/>
      <c r="N143" s="387"/>
      <c r="O143" s="376"/>
      <c r="P143" s="387"/>
      <c r="Q143" s="387"/>
      <c r="R143" s="387"/>
      <c r="S143" s="387"/>
      <c r="T143" s="387"/>
      <c r="U143" s="387"/>
      <c r="V143" s="387"/>
      <c r="W143" s="387"/>
    </row>
    <row r="144" spans="1:23" ht="15" customHeight="1">
      <c r="B144" s="376" t="s">
        <v>226</v>
      </c>
      <c r="C144" s="534" t="s">
        <v>721</v>
      </c>
      <c r="D144" s="376"/>
      <c r="E144" s="377"/>
      <c r="F144" s="376"/>
      <c r="G144" s="376" t="e">
        <v>#N/A</v>
      </c>
      <c r="H144" s="376" t="e">
        <v>#N/A</v>
      </c>
      <c r="I144" s="376" t="e">
        <v>#N/A</v>
      </c>
      <c r="J144" s="376" t="e">
        <v>#N/A</v>
      </c>
      <c r="K144" s="376">
        <v>31577883</v>
      </c>
      <c r="L144" s="376">
        <v>37303290</v>
      </c>
      <c r="M144" s="376">
        <v>44769747</v>
      </c>
      <c r="N144" s="376">
        <v>50520530</v>
      </c>
      <c r="O144" s="376"/>
      <c r="P144" s="376" t="e">
        <v>#N/A</v>
      </c>
      <c r="Q144" s="376" t="e">
        <v>#N/A</v>
      </c>
      <c r="R144" s="376" t="e">
        <v>#N/A</v>
      </c>
      <c r="S144" s="376" t="e">
        <v>#N/A</v>
      </c>
      <c r="T144" s="376">
        <v>298.87166018342373</v>
      </c>
      <c r="U144" s="376">
        <v>264.81400763846494</v>
      </c>
      <c r="V144" s="376">
        <v>291.88396943578778</v>
      </c>
      <c r="W144" s="376">
        <v>285.54771795958737</v>
      </c>
    </row>
    <row r="145" spans="2:23" ht="15" customHeight="1">
      <c r="B145" s="376" t="s">
        <v>227</v>
      </c>
      <c r="C145" s="534" t="s">
        <v>735</v>
      </c>
      <c r="D145" s="376"/>
      <c r="E145" s="377"/>
      <c r="F145" s="376"/>
      <c r="G145" s="376">
        <v>347.82299999999998</v>
      </c>
      <c r="H145" s="376" t="e">
        <v>#N/A</v>
      </c>
      <c r="I145" s="376">
        <v>382.93299999999999</v>
      </c>
      <c r="J145" s="376">
        <v>132.26400000000001</v>
      </c>
      <c r="K145" s="376">
        <v>191.07300000000001</v>
      </c>
      <c r="L145" s="376">
        <v>136.96199999999999</v>
      </c>
      <c r="M145" s="376">
        <v>266.28800000000001</v>
      </c>
      <c r="N145" s="376">
        <v>238.34100000000001</v>
      </c>
      <c r="O145" s="376"/>
      <c r="P145" s="376">
        <v>7.1065213038521411E-4</v>
      </c>
      <c r="Q145" s="376" t="e">
        <v>#N/A</v>
      </c>
      <c r="R145" s="376">
        <v>5.1525862973737389E-4</v>
      </c>
      <c r="S145" s="376">
        <v>1.6583060112715262E-4</v>
      </c>
      <c r="T145" s="376">
        <v>2.0301451689848585E-4</v>
      </c>
      <c r="U145" s="376">
        <v>1.2324251948806869E-4</v>
      </c>
      <c r="V145" s="376">
        <v>3.5594180256356484E-5</v>
      </c>
      <c r="W145" s="376">
        <v>8.5205347816108226E-5</v>
      </c>
    </row>
    <row r="146" spans="2:23" ht="15" customHeight="1">
      <c r="B146" s="376" t="s">
        <v>228</v>
      </c>
      <c r="C146" s="534" t="s">
        <v>739</v>
      </c>
      <c r="D146" s="376"/>
      <c r="E146" s="377"/>
      <c r="F146" s="376"/>
      <c r="G146" s="376" t="e">
        <v>#N/A</v>
      </c>
      <c r="H146" s="376" t="e">
        <v>#N/A</v>
      </c>
      <c r="I146" s="376" t="e">
        <v>#N/A</v>
      </c>
      <c r="J146" s="376">
        <v>3781.6</v>
      </c>
      <c r="K146" s="376">
        <v>476003</v>
      </c>
      <c r="L146" s="376">
        <v>37.731000000000002</v>
      </c>
      <c r="M146" s="376">
        <v>40.002000000000002</v>
      </c>
      <c r="N146" s="376">
        <v>39.755000000000003</v>
      </c>
      <c r="O146" s="376"/>
      <c r="P146" s="376" t="e">
        <v>#N/A</v>
      </c>
      <c r="Q146" s="376" t="e">
        <v>#N/A</v>
      </c>
      <c r="R146" s="376" t="e">
        <v>#N/A</v>
      </c>
      <c r="S146" s="376">
        <v>3.2306180855153559E-3</v>
      </c>
      <c r="T146" s="376">
        <v>0.23711929765308171</v>
      </c>
      <c r="U146" s="376">
        <v>1.9488750232433215E-5</v>
      </c>
      <c r="V146" s="376">
        <v>2.5103641477677078E-5</v>
      </c>
      <c r="W146" s="376">
        <v>2.3838420422069863E-5</v>
      </c>
    </row>
    <row r="147" spans="2:23" ht="15" customHeight="1">
      <c r="B147" s="376" t="s">
        <v>743</v>
      </c>
      <c r="C147" s="534" t="s">
        <v>744</v>
      </c>
      <c r="D147" s="376"/>
      <c r="E147" s="377"/>
      <c r="F147" s="376"/>
      <c r="G147" s="376" t="e">
        <v>#N/A</v>
      </c>
      <c r="H147" s="376" t="e">
        <v>#N/A</v>
      </c>
      <c r="I147" s="376" t="e">
        <v>#N/A</v>
      </c>
      <c r="J147" s="376" t="e">
        <v>#N/A</v>
      </c>
      <c r="K147" s="376" t="e">
        <v>#N/A</v>
      </c>
      <c r="L147" s="376" t="e">
        <v>#N/A</v>
      </c>
      <c r="M147" s="376" t="e">
        <v>#N/A</v>
      </c>
      <c r="N147" s="376" t="e">
        <v>#N/A</v>
      </c>
      <c r="O147" s="376"/>
      <c r="P147" s="376" t="e">
        <v>#N/A</v>
      </c>
      <c r="Q147" s="376" t="e">
        <v>#N/A</v>
      </c>
      <c r="R147" s="376" t="e">
        <v>#N/A</v>
      </c>
      <c r="S147" s="376" t="e">
        <v>#N/A</v>
      </c>
      <c r="T147" s="376" t="e">
        <v>#N/A</v>
      </c>
      <c r="U147" s="376" t="e">
        <v>#N/A</v>
      </c>
      <c r="V147" s="376" t="e">
        <v>#N/A</v>
      </c>
      <c r="W147" s="376" t="e">
        <v>#N/A</v>
      </c>
    </row>
    <row r="148" spans="2:23" ht="15" customHeight="1">
      <c r="B148" s="376" t="s">
        <v>229</v>
      </c>
      <c r="C148" s="534" t="s">
        <v>748</v>
      </c>
      <c r="D148" s="376"/>
      <c r="E148" s="377"/>
      <c r="F148" s="376"/>
      <c r="G148" s="376" t="e">
        <v>#N/A</v>
      </c>
      <c r="H148" s="376" t="e">
        <v>#N/A</v>
      </c>
      <c r="I148" s="376" t="e">
        <v>#N/A</v>
      </c>
      <c r="J148" s="376">
        <v>257.69099999999997</v>
      </c>
      <c r="K148" s="376">
        <v>241.65899999999999</v>
      </c>
      <c r="L148" s="376">
        <v>310.81700000000001</v>
      </c>
      <c r="M148" s="376">
        <v>338.589</v>
      </c>
      <c r="N148" s="376">
        <v>195.08699999999999</v>
      </c>
      <c r="O148" s="376"/>
      <c r="P148" s="376" t="e">
        <v>#N/A</v>
      </c>
      <c r="Q148" s="376" t="e">
        <v>#N/A</v>
      </c>
      <c r="R148" s="376" t="e">
        <v>#N/A</v>
      </c>
      <c r="S148" s="376">
        <v>1.5216825188179707E-4</v>
      </c>
      <c r="T148" s="376">
        <v>1.8756621620887414E-4</v>
      </c>
      <c r="U148" s="376">
        <v>1.7290617237936031E-4</v>
      </c>
      <c r="V148" s="376">
        <v>1.668280309760348E-4</v>
      </c>
      <c r="W148" s="376">
        <v>7.6661365637779782E-5</v>
      </c>
    </row>
    <row r="149" spans="2:23" ht="15" customHeight="1">
      <c r="B149" s="376" t="s">
        <v>230</v>
      </c>
      <c r="C149" s="534" t="s">
        <v>752</v>
      </c>
      <c r="D149" s="376"/>
      <c r="E149" s="377"/>
      <c r="F149" s="376"/>
      <c r="G149" s="376" t="e">
        <v>#N/A</v>
      </c>
      <c r="H149" s="376" t="e">
        <v>#N/A</v>
      </c>
      <c r="I149" s="376">
        <v>228</v>
      </c>
      <c r="J149" s="376">
        <v>46.7</v>
      </c>
      <c r="K149" s="376">
        <v>49.7</v>
      </c>
      <c r="L149" s="376">
        <v>208</v>
      </c>
      <c r="M149" s="376">
        <v>12.247999999999999</v>
      </c>
      <c r="N149" s="376">
        <v>221</v>
      </c>
      <c r="O149" s="376"/>
      <c r="P149" s="376" t="e">
        <v>#N/A</v>
      </c>
      <c r="Q149" s="376" t="e">
        <v>#N/A</v>
      </c>
      <c r="R149" s="376">
        <v>3.0184562714386518E-4</v>
      </c>
      <c r="S149" s="376">
        <v>6.9015050305616974E-5</v>
      </c>
      <c r="T149" s="376">
        <v>5.7921087471330814E-5</v>
      </c>
      <c r="U149" s="376">
        <v>2.0465572086533949E-4</v>
      </c>
      <c r="V149" s="376">
        <v>1.0584507109197234E-5</v>
      </c>
      <c r="W149" s="376">
        <v>1.7875269443399697E-4</v>
      </c>
    </row>
    <row r="151" spans="2:23" ht="15" customHeight="1">
      <c r="B151" s="380" t="s">
        <v>87</v>
      </c>
      <c r="C151" s="535" t="s">
        <v>770</v>
      </c>
      <c r="D151" s="381"/>
      <c r="E151" s="32"/>
      <c r="F151" s="384"/>
      <c r="G151" s="384">
        <v>2017</v>
      </c>
      <c r="H151" s="384">
        <v>2018</v>
      </c>
      <c r="I151" s="384">
        <v>2019</v>
      </c>
      <c r="J151" s="384">
        <v>2020</v>
      </c>
      <c r="K151" s="384">
        <v>2021</v>
      </c>
      <c r="L151" s="384">
        <v>2022</v>
      </c>
      <c r="M151" s="384">
        <v>2023</v>
      </c>
      <c r="N151" s="384">
        <v>2024</v>
      </c>
      <c r="O151" s="376"/>
      <c r="P151" s="384">
        <v>2017</v>
      </c>
      <c r="Q151" s="384">
        <v>2018</v>
      </c>
      <c r="R151" s="384">
        <v>2019</v>
      </c>
      <c r="S151" s="384">
        <v>2020</v>
      </c>
      <c r="T151" s="384">
        <v>2021</v>
      </c>
      <c r="U151" s="384">
        <v>2022</v>
      </c>
      <c r="V151" s="384">
        <v>2023</v>
      </c>
      <c r="W151" s="384">
        <v>2024</v>
      </c>
    </row>
    <row r="152" spans="2:23" ht="3.95" customHeight="1">
      <c r="B152" s="385"/>
      <c r="C152" s="385"/>
      <c r="D152" s="385"/>
      <c r="E152" s="386"/>
      <c r="F152" s="387"/>
      <c r="G152" s="387"/>
      <c r="H152" s="387"/>
      <c r="I152" s="387"/>
      <c r="J152" s="387"/>
      <c r="K152" s="387"/>
      <c r="L152" s="387"/>
      <c r="M152" s="387"/>
      <c r="N152" s="387"/>
      <c r="O152" s="376"/>
      <c r="P152" s="387"/>
      <c r="Q152" s="387"/>
      <c r="R152" s="387"/>
      <c r="S152" s="387"/>
      <c r="T152" s="387"/>
      <c r="U152" s="387"/>
      <c r="V152" s="387"/>
      <c r="W152" s="387"/>
    </row>
    <row r="153" spans="2:23" ht="15" customHeight="1">
      <c r="B153" s="376" t="s">
        <v>226</v>
      </c>
      <c r="C153" s="534" t="s">
        <v>721</v>
      </c>
      <c r="D153" s="376"/>
      <c r="E153" s="377"/>
      <c r="F153" s="376"/>
      <c r="G153" s="376" t="e">
        <v>#N/A</v>
      </c>
      <c r="H153" s="376" t="e">
        <v>#N/A</v>
      </c>
      <c r="I153" s="376" t="e">
        <v>#N/A</v>
      </c>
      <c r="J153" s="376" t="e">
        <v>#N/A</v>
      </c>
      <c r="K153" s="376" t="e">
        <v>#N/A</v>
      </c>
      <c r="L153" s="376" t="e">
        <v>#N/A</v>
      </c>
      <c r="M153" s="376" t="s">
        <v>771</v>
      </c>
      <c r="N153" s="376">
        <v>220.62</v>
      </c>
      <c r="O153" s="376"/>
      <c r="P153" s="376" t="e">
        <v>#N/A</v>
      </c>
      <c r="Q153" s="376" t="e">
        <v>#N/A</v>
      </c>
      <c r="R153" s="376" t="e">
        <v>#N/A</v>
      </c>
      <c r="S153" s="376" t="e">
        <v>#N/A</v>
      </c>
      <c r="T153" s="376" t="e">
        <v>#N/A</v>
      </c>
      <c r="U153" s="376" t="e">
        <v>#N/A</v>
      </c>
      <c r="V153" s="376" t="e">
        <v>#VALUE!</v>
      </c>
      <c r="W153" s="376">
        <v>1.2469690546841883E-3</v>
      </c>
    </row>
    <row r="154" spans="2:23" ht="15" customHeight="1">
      <c r="B154" s="376" t="s">
        <v>227</v>
      </c>
      <c r="C154" s="534" t="s">
        <v>735</v>
      </c>
      <c r="D154" s="376"/>
      <c r="E154" s="377"/>
      <c r="F154" s="376"/>
      <c r="G154" s="376" t="e">
        <v>#N/A</v>
      </c>
      <c r="H154" s="376" t="e">
        <v>#N/A</v>
      </c>
      <c r="I154" s="376">
        <v>2736.53</v>
      </c>
      <c r="J154" s="376" t="e">
        <v>#N/A</v>
      </c>
      <c r="K154" s="376">
        <v>792.4</v>
      </c>
      <c r="L154" s="376">
        <v>298.39999999999998</v>
      </c>
      <c r="M154" s="376">
        <v>1085.71</v>
      </c>
      <c r="N154" s="376">
        <v>1228.3399999999999</v>
      </c>
      <c r="O154" s="376"/>
      <c r="P154" s="376" t="e">
        <v>#N/A</v>
      </c>
      <c r="Q154" s="376" t="e">
        <v>#N/A</v>
      </c>
      <c r="R154" s="376">
        <v>3.6821603205657804E-3</v>
      </c>
      <c r="S154" s="376" t="e">
        <v>#N/A</v>
      </c>
      <c r="T154" s="376">
        <v>8.4192273733264345E-4</v>
      </c>
      <c r="U154" s="376">
        <v>2.6850927859727296E-4</v>
      </c>
      <c r="V154" s="376">
        <v>1.4512466745076306E-4</v>
      </c>
      <c r="W154" s="376">
        <v>4.3912351184411568E-4</v>
      </c>
    </row>
    <row r="155" spans="2:23" ht="15" customHeight="1">
      <c r="B155" s="376" t="s">
        <v>228</v>
      </c>
      <c r="C155" s="534" t="s">
        <v>739</v>
      </c>
      <c r="D155" s="376"/>
      <c r="E155" s="377"/>
      <c r="F155" s="376"/>
      <c r="G155" s="376" t="e">
        <v>#N/A</v>
      </c>
      <c r="H155" s="376" t="e">
        <v>#N/A</v>
      </c>
      <c r="I155" s="376" t="e">
        <v>#N/A</v>
      </c>
      <c r="J155" s="376" t="e">
        <v>#N/A</v>
      </c>
      <c r="K155" s="376" t="e">
        <v>#N/A</v>
      </c>
      <c r="L155" s="376" t="e">
        <v>#N/A</v>
      </c>
      <c r="M155" s="376" t="e">
        <v>#N/A</v>
      </c>
      <c r="N155" s="376" t="e">
        <v>#N/A</v>
      </c>
      <c r="O155" s="376"/>
      <c r="P155" s="376" t="e">
        <v>#N/A</v>
      </c>
      <c r="Q155" s="376" t="e">
        <v>#N/A</v>
      </c>
      <c r="R155" s="376" t="e">
        <v>#N/A</v>
      </c>
      <c r="S155" s="376" t="e">
        <v>#N/A</v>
      </c>
      <c r="T155" s="376" t="e">
        <v>#N/A</v>
      </c>
      <c r="U155" s="376" t="e">
        <v>#N/A</v>
      </c>
      <c r="V155" s="376" t="e">
        <v>#N/A</v>
      </c>
      <c r="W155" s="376" t="e">
        <v>#N/A</v>
      </c>
    </row>
    <row r="156" spans="2:23" ht="15" customHeight="1">
      <c r="B156" s="376" t="s">
        <v>743</v>
      </c>
      <c r="C156" s="534" t="s">
        <v>744</v>
      </c>
      <c r="D156" s="376"/>
      <c r="E156" s="377"/>
      <c r="F156" s="376"/>
      <c r="G156" s="376" t="e">
        <v>#N/A</v>
      </c>
      <c r="H156" s="376" t="e">
        <v>#N/A</v>
      </c>
      <c r="I156" s="376" t="e">
        <v>#N/A</v>
      </c>
      <c r="J156" s="376" t="e">
        <v>#N/A</v>
      </c>
      <c r="K156" s="376" t="e">
        <v>#N/A</v>
      </c>
      <c r="L156" s="376" t="e">
        <v>#N/A</v>
      </c>
      <c r="M156" s="376" t="e">
        <v>#N/A</v>
      </c>
      <c r="N156" s="376" t="e">
        <v>#N/A</v>
      </c>
      <c r="O156" s="376"/>
      <c r="P156" s="376" t="e">
        <v>#N/A</v>
      </c>
      <c r="Q156" s="376" t="e">
        <v>#N/A</v>
      </c>
      <c r="R156" s="376" t="e">
        <v>#N/A</v>
      </c>
      <c r="S156" s="376" t="e">
        <v>#N/A</v>
      </c>
      <c r="T156" s="376" t="e">
        <v>#N/A</v>
      </c>
      <c r="U156" s="376" t="e">
        <v>#N/A</v>
      </c>
      <c r="V156" s="376" t="e">
        <v>#N/A</v>
      </c>
      <c r="W156" s="376" t="e">
        <v>#N/A</v>
      </c>
    </row>
    <row r="157" spans="2:23" ht="15" customHeight="1">
      <c r="B157" s="376" t="s">
        <v>229</v>
      </c>
      <c r="C157" s="534" t="s">
        <v>748</v>
      </c>
      <c r="D157" s="376"/>
      <c r="E157" s="377"/>
      <c r="F157" s="376"/>
      <c r="G157" s="376" t="e">
        <v>#N/A</v>
      </c>
      <c r="H157" s="376" t="e">
        <v>#N/A</v>
      </c>
      <c r="I157" s="376" t="e">
        <v>#N/A</v>
      </c>
      <c r="J157" s="376" t="e">
        <v>#N/A</v>
      </c>
      <c r="K157" s="376">
        <v>1033.99</v>
      </c>
      <c r="L157" s="376">
        <v>970.61</v>
      </c>
      <c r="M157" s="376">
        <v>821.89</v>
      </c>
      <c r="N157" s="376">
        <v>1072.3</v>
      </c>
      <c r="O157" s="376"/>
      <c r="P157" s="376" t="e">
        <v>#N/A</v>
      </c>
      <c r="Q157" s="376" t="e">
        <v>#N/A</v>
      </c>
      <c r="R157" s="376" t="e">
        <v>#N/A</v>
      </c>
      <c r="S157" s="376" t="e">
        <v>#N/A</v>
      </c>
      <c r="T157" s="376">
        <v>8.0254239195649152E-4</v>
      </c>
      <c r="U157" s="376">
        <v>5.3994620620214121E-4</v>
      </c>
      <c r="V157" s="376">
        <v>4.0495789992850699E-4</v>
      </c>
      <c r="W157" s="376">
        <v>4.2137088772389381E-4</v>
      </c>
    </row>
    <row r="158" spans="2:23" ht="15" customHeight="1">
      <c r="B158" s="376" t="s">
        <v>230</v>
      </c>
      <c r="C158" s="534" t="s">
        <v>752</v>
      </c>
      <c r="D158" s="376"/>
      <c r="E158" s="377"/>
      <c r="F158" s="376"/>
      <c r="G158" s="376" t="e">
        <v>#N/A</v>
      </c>
      <c r="H158" s="376" t="e">
        <v>#N/A</v>
      </c>
      <c r="I158" s="376" t="e">
        <v>#N/A</v>
      </c>
      <c r="J158" s="376" t="e">
        <v>#N/A</v>
      </c>
      <c r="K158" s="376" t="e">
        <v>#N/A</v>
      </c>
      <c r="L158" s="376" t="e">
        <v>#N/A</v>
      </c>
      <c r="M158" s="376" t="e">
        <v>#N/A</v>
      </c>
      <c r="N158" s="376" t="e">
        <v>#N/A</v>
      </c>
      <c r="O158" s="376"/>
      <c r="P158" s="376" t="e">
        <v>#N/A</v>
      </c>
      <c r="Q158" s="376" t="e">
        <v>#N/A</v>
      </c>
      <c r="R158" s="376" t="e">
        <v>#N/A</v>
      </c>
      <c r="S158" s="376" t="e">
        <v>#N/A</v>
      </c>
      <c r="T158" s="376" t="e">
        <v>#N/A</v>
      </c>
      <c r="U158" s="376" t="e">
        <v>#N/A</v>
      </c>
      <c r="V158" s="376" t="e">
        <v>#N/A</v>
      </c>
      <c r="W158" s="376" t="e">
        <v>#N/A</v>
      </c>
    </row>
    <row r="159" spans="2:23" ht="15" customHeight="1">
      <c r="B159" s="376"/>
      <c r="C159" s="376"/>
      <c r="D159" s="376"/>
      <c r="E159" s="377"/>
      <c r="F159" s="376"/>
      <c r="G159" s="376"/>
      <c r="H159" s="376"/>
      <c r="I159" s="376"/>
      <c r="J159" s="376"/>
      <c r="K159" s="376"/>
      <c r="L159" s="376"/>
      <c r="M159" s="376"/>
      <c r="N159" s="376"/>
      <c r="O159" s="376"/>
      <c r="P159" s="376"/>
      <c r="Q159" s="376"/>
      <c r="R159" s="376"/>
      <c r="S159" s="376"/>
      <c r="T159" s="376"/>
      <c r="U159" s="376"/>
      <c r="V159" s="376"/>
      <c r="W159" s="376"/>
    </row>
    <row r="160" spans="2:23" ht="15" customHeight="1">
      <c r="B160" s="380" t="s">
        <v>772</v>
      </c>
      <c r="C160" s="535" t="s">
        <v>773</v>
      </c>
      <c r="D160" s="381"/>
      <c r="E160" s="32"/>
      <c r="F160" s="384"/>
      <c r="G160" s="384">
        <v>2017</v>
      </c>
      <c r="H160" s="384">
        <v>2018</v>
      </c>
      <c r="I160" s="384">
        <v>2019</v>
      </c>
      <c r="J160" s="384">
        <v>2020</v>
      </c>
      <c r="K160" s="384">
        <v>2021</v>
      </c>
      <c r="L160" s="384">
        <v>2022</v>
      </c>
      <c r="M160" s="384">
        <v>2023</v>
      </c>
      <c r="N160" s="384">
        <v>2024</v>
      </c>
      <c r="O160" s="376"/>
      <c r="P160" s="384">
        <v>2017</v>
      </c>
      <c r="Q160" s="384">
        <v>2018</v>
      </c>
      <c r="R160" s="384">
        <v>2019</v>
      </c>
      <c r="S160" s="384">
        <v>2020</v>
      </c>
      <c r="T160" s="384">
        <v>2021</v>
      </c>
      <c r="U160" s="384">
        <v>2022</v>
      </c>
      <c r="V160" s="384">
        <v>2023</v>
      </c>
      <c r="W160" s="384">
        <v>2024</v>
      </c>
    </row>
    <row r="161" spans="2:23" ht="3.95" customHeight="1">
      <c r="B161" s="385"/>
      <c r="C161" s="385"/>
      <c r="D161" s="385"/>
      <c r="E161" s="386"/>
      <c r="F161" s="387"/>
      <c r="G161" s="387"/>
      <c r="H161" s="387"/>
      <c r="I161" s="387"/>
      <c r="J161" s="387"/>
      <c r="K161" s="387"/>
      <c r="L161" s="387"/>
      <c r="M161" s="387"/>
      <c r="N161" s="387"/>
      <c r="O161" s="376"/>
      <c r="P161" s="387"/>
      <c r="Q161" s="387"/>
      <c r="R161" s="387"/>
      <c r="S161" s="387"/>
      <c r="T161" s="387"/>
      <c r="U161" s="387"/>
      <c r="V161" s="387"/>
      <c r="W161" s="387"/>
    </row>
    <row r="162" spans="2:23" ht="15" customHeight="1">
      <c r="B162" s="376" t="s">
        <v>226</v>
      </c>
      <c r="C162" s="534" t="s">
        <v>721</v>
      </c>
      <c r="D162" s="376"/>
      <c r="E162" s="377"/>
      <c r="F162" s="376"/>
      <c r="G162" s="376" t="e">
        <v>#N/A</v>
      </c>
      <c r="H162" s="376" t="e">
        <v>#N/A</v>
      </c>
      <c r="I162" s="376" t="e">
        <v>#N/A</v>
      </c>
      <c r="J162" s="376" t="e">
        <v>#N/A</v>
      </c>
      <c r="K162" s="376" t="e">
        <v>#N/A</v>
      </c>
      <c r="L162" s="376" t="e">
        <v>#N/A</v>
      </c>
      <c r="M162" s="376">
        <v>2012</v>
      </c>
      <c r="N162" s="376">
        <v>2830</v>
      </c>
      <c r="O162" s="376"/>
      <c r="P162" s="376" t="e">
        <v>#N/A</v>
      </c>
      <c r="Q162" s="376" t="e">
        <v>#N/A</v>
      </c>
      <c r="R162" s="376" t="e">
        <v>#N/A</v>
      </c>
      <c r="S162" s="376" t="e">
        <v>#N/A</v>
      </c>
      <c r="T162" s="376" t="e">
        <v>#N/A</v>
      </c>
      <c r="U162" s="376" t="e">
        <v>#N/A</v>
      </c>
      <c r="V162" s="376">
        <v>1.3117575725965237E-2</v>
      </c>
      <c r="W162" s="376">
        <v>1.5995478310018369E-2</v>
      </c>
    </row>
    <row r="163" spans="2:23" ht="15" customHeight="1">
      <c r="B163" s="376" t="s">
        <v>227</v>
      </c>
      <c r="C163" s="534" t="s">
        <v>735</v>
      </c>
      <c r="D163" s="376"/>
      <c r="E163" s="377"/>
      <c r="F163" s="376"/>
      <c r="G163" s="376">
        <v>46.649000000000001</v>
      </c>
      <c r="H163" s="376" t="e">
        <v>#N/A</v>
      </c>
      <c r="I163" s="376">
        <v>40.753</v>
      </c>
      <c r="J163" s="376">
        <v>19.626000000000001</v>
      </c>
      <c r="K163" s="376">
        <v>24.971</v>
      </c>
      <c r="L163" s="376">
        <v>37.832999999999998</v>
      </c>
      <c r="M163" s="376">
        <v>63.655000000000001</v>
      </c>
      <c r="N163" s="376">
        <v>78.049000000000007</v>
      </c>
      <c r="O163" s="376"/>
      <c r="P163" s="376">
        <v>9.5310578168608334E-5</v>
      </c>
      <c r="Q163" s="376" t="e">
        <v>#N/A</v>
      </c>
      <c r="R163" s="376">
        <v>5.4835532423915414E-5</v>
      </c>
      <c r="S163" s="376">
        <v>2.4606781722324267E-5</v>
      </c>
      <c r="T163" s="376">
        <v>2.6531616196281473E-5</v>
      </c>
      <c r="U163" s="376">
        <v>3.4043269226443127E-5</v>
      </c>
      <c r="V163" s="376">
        <v>8.508635553304587E-6</v>
      </c>
      <c r="W163" s="376">
        <v>2.7902006753766374E-5</v>
      </c>
    </row>
    <row r="164" spans="2:23" ht="15" customHeight="1">
      <c r="B164" s="376" t="s">
        <v>228</v>
      </c>
      <c r="C164" s="534" t="s">
        <v>739</v>
      </c>
      <c r="D164" s="376"/>
      <c r="E164" s="377"/>
      <c r="F164" s="376"/>
      <c r="G164" s="376" t="e">
        <v>#N/A</v>
      </c>
      <c r="H164" s="376" t="e">
        <v>#N/A</v>
      </c>
      <c r="I164" s="376" t="e">
        <v>#N/A</v>
      </c>
      <c r="J164" s="376" t="e">
        <v>#N/A</v>
      </c>
      <c r="K164" s="376" t="e">
        <v>#N/A</v>
      </c>
      <c r="L164" s="376">
        <v>7.2910000000000004</v>
      </c>
      <c r="M164" s="376">
        <v>8.2119999999999997</v>
      </c>
      <c r="N164" s="376">
        <v>9.218</v>
      </c>
      <c r="O164" s="376"/>
      <c r="P164" s="376" t="e">
        <v>#N/A</v>
      </c>
      <c r="Q164" s="376" t="e">
        <v>#N/A</v>
      </c>
      <c r="R164" s="376" t="e">
        <v>#N/A</v>
      </c>
      <c r="S164" s="376" t="e">
        <v>#N/A</v>
      </c>
      <c r="T164" s="376" t="e">
        <v>#N/A</v>
      </c>
      <c r="U164" s="376">
        <v>3.7659345881283445E-6</v>
      </c>
      <c r="V164" s="376">
        <v>5.1535199193711349E-6</v>
      </c>
      <c r="W164" s="376">
        <v>5.5274194302764429E-6</v>
      </c>
    </row>
    <row r="165" spans="2:23" ht="15" customHeight="1">
      <c r="B165" s="376" t="s">
        <v>743</v>
      </c>
      <c r="C165" s="534" t="s">
        <v>744</v>
      </c>
      <c r="D165" s="376"/>
      <c r="E165" s="377"/>
      <c r="F165" s="376"/>
      <c r="G165" s="376" t="e">
        <v>#N/A</v>
      </c>
      <c r="H165" s="376" t="e">
        <v>#N/A</v>
      </c>
      <c r="I165" s="376" t="e">
        <v>#N/A</v>
      </c>
      <c r="J165" s="376" t="e">
        <v>#N/A</v>
      </c>
      <c r="K165" s="376" t="e">
        <v>#N/A</v>
      </c>
      <c r="L165" s="376" t="e">
        <v>#N/A</v>
      </c>
      <c r="M165" s="376" t="e">
        <v>#N/A</v>
      </c>
      <c r="N165" s="376" t="e">
        <v>#N/A</v>
      </c>
      <c r="O165" s="376"/>
      <c r="P165" s="376" t="e">
        <v>#N/A</v>
      </c>
      <c r="Q165" s="376" t="e">
        <v>#N/A</v>
      </c>
      <c r="R165" s="376" t="e">
        <v>#N/A</v>
      </c>
      <c r="S165" s="376" t="e">
        <v>#N/A</v>
      </c>
      <c r="T165" s="376" t="e">
        <v>#N/A</v>
      </c>
      <c r="U165" s="376" t="e">
        <v>#N/A</v>
      </c>
      <c r="V165" s="376" t="e">
        <v>#N/A</v>
      </c>
      <c r="W165" s="376" t="e">
        <v>#N/A</v>
      </c>
    </row>
    <row r="166" spans="2:23" ht="15" customHeight="1">
      <c r="B166" s="376" t="s">
        <v>229</v>
      </c>
      <c r="C166" s="534" t="s">
        <v>748</v>
      </c>
      <c r="D166" s="376"/>
      <c r="E166" s="377"/>
      <c r="F166" s="376"/>
      <c r="G166" s="376">
        <v>29.771999999999998</v>
      </c>
      <c r="H166" s="376">
        <v>30.593</v>
      </c>
      <c r="I166" s="376">
        <v>32.076000000000001</v>
      </c>
      <c r="J166" s="376">
        <v>17.111000000000001</v>
      </c>
      <c r="K166" s="376">
        <v>21.707999999999998</v>
      </c>
      <c r="L166" s="376">
        <v>32.982999999999997</v>
      </c>
      <c r="M166" s="376">
        <v>31.968</v>
      </c>
      <c r="N166" s="376">
        <v>33.770000000000003</v>
      </c>
      <c r="O166" s="376"/>
      <c r="P166" s="376">
        <v>2.5745884351064833E-5</v>
      </c>
      <c r="Q166" s="376">
        <v>2.4889719820818099E-5</v>
      </c>
      <c r="R166" s="376">
        <v>2.454755840720968E-5</v>
      </c>
      <c r="S166" s="376">
        <v>1.010415946986674E-5</v>
      </c>
      <c r="T166" s="376">
        <v>1.6848896260690642E-5</v>
      </c>
      <c r="U166" s="376">
        <v>1.8348302324481738E-5</v>
      </c>
      <c r="V166" s="376">
        <v>1.5751127456124921E-5</v>
      </c>
      <c r="W166" s="376">
        <v>1.3270255412138296E-5</v>
      </c>
    </row>
    <row r="167" spans="2:23" ht="15" customHeight="1">
      <c r="B167" s="376" t="s">
        <v>230</v>
      </c>
      <c r="C167" s="534" t="s">
        <v>752</v>
      </c>
      <c r="D167" s="376"/>
      <c r="E167" s="377"/>
      <c r="F167" s="376"/>
      <c r="G167" s="376" t="e">
        <v>#N/A</v>
      </c>
      <c r="H167" s="376" t="e">
        <v>#N/A</v>
      </c>
      <c r="I167" s="376" t="e">
        <v>#N/A</v>
      </c>
      <c r="J167" s="376" t="e">
        <v>#N/A</v>
      </c>
      <c r="K167" s="376" t="e">
        <v>#N/A</v>
      </c>
      <c r="L167" s="376">
        <v>20950.099999999999</v>
      </c>
      <c r="M167" s="376">
        <v>24.2</v>
      </c>
      <c r="N167" s="376">
        <v>26.2</v>
      </c>
      <c r="O167" s="376"/>
      <c r="P167" s="376" t="e">
        <v>#N/A</v>
      </c>
      <c r="Q167" s="376" t="e">
        <v>#N/A</v>
      </c>
      <c r="R167" s="376" t="e">
        <v>#N/A</v>
      </c>
      <c r="S167" s="376" t="e">
        <v>#N/A</v>
      </c>
      <c r="T167" s="376" t="e">
        <v>#N/A</v>
      </c>
      <c r="U167" s="376">
        <v>2.0613258738946868E-2</v>
      </c>
      <c r="V167" s="376">
        <v>2.0913216202038953E-5</v>
      </c>
      <c r="W167" s="376">
        <v>2.1191495901224982E-5</v>
      </c>
    </row>
    <row r="168" spans="2:23" ht="15" customHeight="1">
      <c r="B168" s="376"/>
      <c r="C168" s="376"/>
      <c r="D168" s="376"/>
      <c r="E168" s="377"/>
      <c r="F168" s="376"/>
      <c r="G168" s="376"/>
      <c r="H168" s="376"/>
      <c r="I168" s="376"/>
      <c r="J168" s="376"/>
      <c r="K168" s="376"/>
      <c r="L168" s="376"/>
      <c r="M168" s="376"/>
      <c r="N168" s="376"/>
      <c r="O168" s="376"/>
      <c r="P168" s="376"/>
      <c r="Q168" s="376"/>
      <c r="R168" s="376"/>
      <c r="S168" s="376"/>
      <c r="T168" s="376"/>
      <c r="U168" s="376"/>
      <c r="V168" s="376"/>
      <c r="W168" s="376"/>
    </row>
    <row r="169" spans="2:23" ht="15" customHeight="1">
      <c r="B169" s="380" t="s">
        <v>321</v>
      </c>
      <c r="C169" s="535" t="s">
        <v>774</v>
      </c>
      <c r="D169" s="381"/>
      <c r="E169" s="32"/>
      <c r="F169" s="384"/>
      <c r="G169" s="384">
        <v>2017</v>
      </c>
      <c r="H169" s="384">
        <v>2018</v>
      </c>
      <c r="I169" s="384">
        <v>2019</v>
      </c>
      <c r="J169" s="384">
        <v>2020</v>
      </c>
      <c r="K169" s="384">
        <v>2021</v>
      </c>
      <c r="L169" s="384">
        <v>2022</v>
      </c>
      <c r="M169" s="384">
        <v>2023</v>
      </c>
      <c r="N169" s="384">
        <v>2024</v>
      </c>
      <c r="O169" s="376"/>
      <c r="P169" s="376"/>
      <c r="Q169" s="376"/>
      <c r="R169" s="376"/>
      <c r="S169" s="376"/>
      <c r="T169" s="376"/>
      <c r="U169" s="376"/>
      <c r="V169" s="376"/>
      <c r="W169" s="376"/>
    </row>
    <row r="170" spans="2:23" ht="3.95" customHeight="1">
      <c r="B170" s="385"/>
      <c r="C170" s="385"/>
      <c r="D170" s="385"/>
      <c r="E170" s="386"/>
      <c r="F170" s="387"/>
      <c r="G170" s="387"/>
      <c r="H170" s="387"/>
      <c r="I170" s="387"/>
      <c r="J170" s="387"/>
      <c r="K170" s="387"/>
      <c r="L170" s="387"/>
      <c r="M170" s="387"/>
      <c r="N170" s="387"/>
      <c r="O170" s="376"/>
      <c r="P170" s="376"/>
      <c r="Q170" s="376"/>
      <c r="R170" s="376"/>
      <c r="S170" s="376"/>
      <c r="T170" s="376"/>
      <c r="U170" s="376"/>
      <c r="V170" s="376"/>
      <c r="W170" s="376"/>
    </row>
    <row r="171" spans="2:23" ht="15" customHeight="1">
      <c r="B171" s="376" t="s">
        <v>226</v>
      </c>
      <c r="C171" s="534" t="s">
        <v>721</v>
      </c>
      <c r="D171" s="376"/>
      <c r="E171" s="377"/>
      <c r="F171" s="376"/>
      <c r="G171" s="376">
        <v>286790</v>
      </c>
      <c r="H171" s="376">
        <v>25018</v>
      </c>
      <c r="I171" s="376">
        <v>78036</v>
      </c>
      <c r="J171" s="376">
        <v>77333</v>
      </c>
      <c r="K171" s="376">
        <v>105657</v>
      </c>
      <c r="L171" s="376">
        <v>140866</v>
      </c>
      <c r="M171" s="376">
        <v>153382</v>
      </c>
      <c r="N171" s="376">
        <v>176925</v>
      </c>
      <c r="O171" s="376"/>
      <c r="P171" s="376"/>
      <c r="Q171" s="376"/>
      <c r="R171" s="376"/>
      <c r="S171" s="376"/>
      <c r="T171" s="376"/>
      <c r="U171" s="376"/>
      <c r="V171" s="376"/>
      <c r="W171" s="376"/>
    </row>
    <row r="172" spans="2:23" ht="15" customHeight="1">
      <c r="B172" s="376" t="s">
        <v>227</v>
      </c>
      <c r="C172" s="534" t="s">
        <v>735</v>
      </c>
      <c r="D172" s="376"/>
      <c r="E172" s="377"/>
      <c r="F172" s="376"/>
      <c r="G172" s="376">
        <v>489442</v>
      </c>
      <c r="H172" s="376">
        <v>666282</v>
      </c>
      <c r="I172" s="376">
        <v>743186</v>
      </c>
      <c r="J172" s="376">
        <v>797585</v>
      </c>
      <c r="K172" s="376">
        <v>941179</v>
      </c>
      <c r="L172" s="376">
        <v>1111321</v>
      </c>
      <c r="M172" s="376">
        <v>7481223</v>
      </c>
      <c r="N172" s="376">
        <v>2797254</v>
      </c>
      <c r="O172" s="376"/>
      <c r="P172" s="376"/>
      <c r="Q172" s="376"/>
      <c r="R172" s="376"/>
      <c r="S172" s="376"/>
      <c r="T172" s="376"/>
      <c r="U172" s="376"/>
      <c r="V172" s="376"/>
      <c r="W172" s="376"/>
    </row>
    <row r="173" spans="2:23" ht="15" customHeight="1">
      <c r="B173" s="376" t="s">
        <v>228</v>
      </c>
      <c r="C173" s="534" t="s">
        <v>739</v>
      </c>
      <c r="D173" s="376"/>
      <c r="E173" s="377"/>
      <c r="F173" s="376"/>
      <c r="G173" s="376">
        <v>356155</v>
      </c>
      <c r="H173" s="376">
        <v>495438</v>
      </c>
      <c r="I173" s="376">
        <v>643403</v>
      </c>
      <c r="J173" s="376">
        <v>1170550</v>
      </c>
      <c r="K173" s="376">
        <v>2007441</v>
      </c>
      <c r="L173" s="376">
        <v>1936040</v>
      </c>
      <c r="M173" s="376">
        <v>1593474</v>
      </c>
      <c r="N173" s="376">
        <v>1667686</v>
      </c>
      <c r="O173" s="376"/>
      <c r="P173" s="376"/>
      <c r="Q173" s="376"/>
      <c r="R173" s="376"/>
      <c r="S173" s="376"/>
      <c r="T173" s="376"/>
      <c r="U173" s="376"/>
      <c r="V173" s="376"/>
      <c r="W173" s="376"/>
    </row>
    <row r="174" spans="2:23" ht="15" customHeight="1">
      <c r="B174" s="376" t="s">
        <v>743</v>
      </c>
      <c r="C174" s="534" t="s">
        <v>744</v>
      </c>
      <c r="D174" s="376"/>
      <c r="E174" s="377"/>
      <c r="F174" s="376"/>
      <c r="G174" s="376">
        <v>99494</v>
      </c>
      <c r="H174" s="376">
        <v>104827</v>
      </c>
      <c r="I174" s="376">
        <v>128034</v>
      </c>
      <c r="J174" s="376">
        <v>141537</v>
      </c>
      <c r="K174" s="376">
        <v>276276</v>
      </c>
      <c r="L174" s="376">
        <v>322514</v>
      </c>
      <c r="M174" s="376">
        <v>220662</v>
      </c>
      <c r="N174" s="376">
        <v>219742</v>
      </c>
      <c r="O174" s="376"/>
      <c r="P174" s="376"/>
      <c r="Q174" s="376"/>
      <c r="R174" s="376"/>
      <c r="S174" s="376"/>
      <c r="T174" s="376"/>
      <c r="U174" s="376"/>
      <c r="V174" s="376"/>
      <c r="W174" s="376"/>
    </row>
    <row r="175" spans="2:23" ht="15" customHeight="1">
      <c r="B175" s="376" t="s">
        <v>229</v>
      </c>
      <c r="C175" s="534" t="s">
        <v>748</v>
      </c>
      <c r="D175" s="376"/>
      <c r="E175" s="377"/>
      <c r="F175" s="376"/>
      <c r="G175" s="376">
        <v>1156379</v>
      </c>
      <c r="H175" s="376">
        <v>1229142</v>
      </c>
      <c r="I175" s="376">
        <v>1306688</v>
      </c>
      <c r="J175" s="376">
        <v>1693461</v>
      </c>
      <c r="K175" s="376">
        <v>1288393</v>
      </c>
      <c r="L175" s="376">
        <v>1797605</v>
      </c>
      <c r="M175" s="376">
        <v>2029569</v>
      </c>
      <c r="N175" s="376">
        <v>2544789</v>
      </c>
      <c r="O175" s="376"/>
      <c r="P175" s="376"/>
      <c r="Q175" s="376"/>
      <c r="R175" s="376"/>
      <c r="S175" s="376"/>
      <c r="T175" s="376"/>
      <c r="U175" s="376"/>
      <c r="V175" s="376"/>
      <c r="W175" s="376"/>
    </row>
    <row r="176" spans="2:23" ht="15" customHeight="1">
      <c r="B176" s="376" t="s">
        <v>230</v>
      </c>
      <c r="C176" s="534" t="s">
        <v>752</v>
      </c>
      <c r="D176" s="376"/>
      <c r="E176" s="377"/>
      <c r="F176" s="376"/>
      <c r="G176" s="376">
        <v>693235</v>
      </c>
      <c r="H176" s="376">
        <v>722606</v>
      </c>
      <c r="I176" s="376">
        <v>755353</v>
      </c>
      <c r="J176" s="376">
        <v>676664</v>
      </c>
      <c r="K176" s="376">
        <v>858064</v>
      </c>
      <c r="L176" s="376">
        <v>1016341</v>
      </c>
      <c r="M176" s="376">
        <v>1157163</v>
      </c>
      <c r="N176" s="376">
        <v>1236345</v>
      </c>
      <c r="O176" s="376"/>
      <c r="P176" s="376"/>
      <c r="Q176" s="376"/>
      <c r="R176" s="376"/>
      <c r="S176" s="376"/>
      <c r="T176" s="376"/>
      <c r="U176" s="376"/>
      <c r="V176" s="376"/>
      <c r="W176" s="376"/>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T51" zoomScaleNormal="100" workbookViewId="0">
      <selection activeCell="AQ1011" sqref="AQ1011"/>
    </sheetView>
  </sheetViews>
  <sheetFormatPr defaultColWidth="9" defaultRowHeight="13.9"/>
  <cols>
    <col min="1" max="1" width="9" style="4"/>
    <col min="2" max="2" width="10.5" style="4" bestFit="1" customWidth="1"/>
    <col min="3" max="8" width="9.125" style="4" bestFit="1" customWidth="1"/>
    <col min="9" max="9" width="10.5" style="4" bestFit="1" customWidth="1"/>
    <col min="10" max="15" width="9.125" style="4" bestFit="1" customWidth="1"/>
    <col min="16" max="16" width="9" style="4"/>
    <col min="17" max="17" width="11.5" style="4" bestFit="1" customWidth="1"/>
    <col min="18" max="23" width="9.125" style="4" bestFit="1" customWidth="1"/>
    <col min="24" max="24" width="9" style="4"/>
    <col min="25" max="30" width="9.125" style="4" bestFit="1" customWidth="1"/>
    <col min="31" max="31" width="9" style="4"/>
    <col min="32" max="37" width="9.125" style="4" bestFit="1" customWidth="1"/>
    <col min="38" max="38" width="9" style="4"/>
    <col min="39" max="39" width="9.125" style="4" bestFit="1" customWidth="1"/>
    <col min="40" max="40" width="11" style="4" bestFit="1" customWidth="1"/>
    <col min="41" max="41" width="12.125" style="4" bestFit="1" customWidth="1"/>
    <col min="42" max="42" width="13.375" style="4" bestFit="1" customWidth="1"/>
    <col min="43" max="43" width="12.625" style="4" bestFit="1" customWidth="1"/>
    <col min="44" max="44" width="9.125" style="4" bestFit="1" customWidth="1"/>
    <col min="45" max="16384" width="9" style="4"/>
  </cols>
  <sheetData>
    <row r="3" spans="2:44">
      <c r="B3" s="554"/>
      <c r="C3" s="962" t="s">
        <v>717</v>
      </c>
      <c r="D3" s="962"/>
      <c r="E3" s="962"/>
      <c r="F3" s="962"/>
      <c r="G3" s="962"/>
      <c r="H3" s="962"/>
      <c r="I3" s="554"/>
      <c r="J3" s="962" t="s">
        <v>723</v>
      </c>
      <c r="K3" s="962"/>
      <c r="L3" s="962"/>
      <c r="M3" s="962"/>
      <c r="N3" s="962"/>
      <c r="O3" s="962"/>
      <c r="P3" s="554"/>
      <c r="R3" s="963" t="s">
        <v>775</v>
      </c>
      <c r="S3" s="963"/>
      <c r="T3" s="963"/>
      <c r="U3" s="963"/>
      <c r="V3" s="963"/>
      <c r="W3" s="963"/>
      <c r="Y3" s="962" t="s">
        <v>776</v>
      </c>
      <c r="Z3" s="962"/>
      <c r="AA3" s="962"/>
      <c r="AB3" s="962"/>
      <c r="AC3" s="962"/>
      <c r="AD3" s="962"/>
      <c r="AF3" s="962" t="s">
        <v>777</v>
      </c>
      <c r="AG3" s="962"/>
      <c r="AH3" s="962"/>
      <c r="AI3" s="962"/>
      <c r="AJ3" s="962"/>
      <c r="AK3" s="962"/>
      <c r="AN3" s="555" t="s">
        <v>318</v>
      </c>
      <c r="AO3" s="555" t="s">
        <v>778</v>
      </c>
      <c r="AP3" s="555" t="s">
        <v>758</v>
      </c>
      <c r="AQ3" s="555" t="s">
        <v>759</v>
      </c>
      <c r="AR3" s="555" t="s">
        <v>760</v>
      </c>
    </row>
    <row r="4" spans="2:44">
      <c r="B4" s="554"/>
      <c r="C4" s="4" t="s">
        <v>721</v>
      </c>
      <c r="D4" s="4" t="s">
        <v>735</v>
      </c>
      <c r="E4" s="4" t="s">
        <v>739</v>
      </c>
      <c r="F4" s="4" t="s">
        <v>744</v>
      </c>
      <c r="G4" s="4" t="s">
        <v>748</v>
      </c>
      <c r="H4" s="4" t="s">
        <v>752</v>
      </c>
      <c r="I4" s="554"/>
      <c r="J4" s="4" t="s">
        <v>721</v>
      </c>
      <c r="K4" s="4" t="s">
        <v>735</v>
      </c>
      <c r="L4" s="4" t="s">
        <v>739</v>
      </c>
      <c r="M4" s="4" t="s">
        <v>744</v>
      </c>
      <c r="N4" s="4" t="s">
        <v>748</v>
      </c>
      <c r="O4" s="4" t="s">
        <v>752</v>
      </c>
      <c r="P4" s="554"/>
      <c r="R4" s="4" t="s">
        <v>721</v>
      </c>
      <c r="S4" s="4" t="s">
        <v>713</v>
      </c>
      <c r="T4" s="4" t="s">
        <v>719</v>
      </c>
      <c r="U4" s="4" t="s">
        <v>721</v>
      </c>
      <c r="V4" s="4" t="s">
        <v>713</v>
      </c>
      <c r="W4" s="4" t="s">
        <v>719</v>
      </c>
      <c r="Y4" s="4" t="s">
        <v>721</v>
      </c>
      <c r="Z4" s="4" t="s">
        <v>735</v>
      </c>
      <c r="AA4" s="4" t="s">
        <v>739</v>
      </c>
      <c r="AB4" s="4" t="s">
        <v>744</v>
      </c>
      <c r="AC4" s="4" t="s">
        <v>748</v>
      </c>
      <c r="AD4" s="4" t="s">
        <v>752</v>
      </c>
      <c r="AF4" s="4" t="s">
        <v>721</v>
      </c>
      <c r="AG4" s="4" t="s">
        <v>735</v>
      </c>
      <c r="AH4" s="4" t="s">
        <v>739</v>
      </c>
      <c r="AI4" s="4" t="s">
        <v>744</v>
      </c>
      <c r="AJ4" s="4" t="s">
        <v>748</v>
      </c>
      <c r="AK4" s="4" t="s">
        <v>752</v>
      </c>
      <c r="AM4" s="556">
        <v>45933</v>
      </c>
      <c r="AN4" s="557">
        <v>4.3099999999999996</v>
      </c>
      <c r="AO4" s="557">
        <v>421400</v>
      </c>
      <c r="AP4" s="557">
        <v>103.18898</v>
      </c>
      <c r="AQ4" s="557">
        <v>444.74450379999996</v>
      </c>
      <c r="AR4" s="557">
        <v>2.1248999999999998</v>
      </c>
    </row>
    <row r="5" spans="2:44">
      <c r="B5" s="558">
        <v>45933</v>
      </c>
      <c r="C5" s="554">
        <v>10.1722</v>
      </c>
      <c r="D5" s="554">
        <v>9.2132000000000005</v>
      </c>
      <c r="E5" s="554">
        <v>4.9230999999999998</v>
      </c>
      <c r="F5" s="554">
        <v>7.61</v>
      </c>
      <c r="G5" s="554">
        <v>10.071899999999999</v>
      </c>
      <c r="H5" s="554">
        <v>0</v>
      </c>
      <c r="I5" s="558">
        <v>45933</v>
      </c>
      <c r="J5" s="554">
        <v>22.094799999999999</v>
      </c>
      <c r="K5" s="554">
        <v>18.3169</v>
      </c>
      <c r="L5" s="554">
        <v>3.7115</v>
      </c>
      <c r="M5" s="554">
        <v>5.4970999999999997</v>
      </c>
      <c r="N5" s="554">
        <v>11.103199999999999</v>
      </c>
      <c r="O5" s="554">
        <v>0</v>
      </c>
      <c r="P5" s="554"/>
      <c r="Q5" s="558">
        <v>45933</v>
      </c>
      <c r="R5" s="4">
        <v>4.38</v>
      </c>
      <c r="S5" s="4">
        <v>140335.16</v>
      </c>
      <c r="T5" s="4">
        <v>10346.75</v>
      </c>
      <c r="U5" s="4">
        <v>0.85048543689320377</v>
      </c>
      <c r="V5" s="4">
        <v>1.2948873070554598</v>
      </c>
      <c r="W5" s="4" t="e">
        <v>#DIV/0!</v>
      </c>
      <c r="Y5" s="554">
        <v>4.38</v>
      </c>
      <c r="Z5" s="4">
        <v>25.07</v>
      </c>
      <c r="AA5" s="4">
        <v>6.26</v>
      </c>
      <c r="AB5" s="4">
        <v>22.94</v>
      </c>
      <c r="AC5" s="4">
        <v>28.13</v>
      </c>
      <c r="AD5" s="4">
        <v>23.6</v>
      </c>
      <c r="AF5" s="4">
        <v>0.85048543689320377</v>
      </c>
      <c r="AG5" s="4">
        <v>1.1803201506591339</v>
      </c>
      <c r="AH5" s="4">
        <v>0.82585751978891819</v>
      </c>
      <c r="AI5" s="4">
        <v>0.98202054794520555</v>
      </c>
      <c r="AJ5" s="4">
        <v>1.1167129813418022</v>
      </c>
      <c r="AK5" s="4">
        <v>1.0625844214317874</v>
      </c>
      <c r="AM5" s="556">
        <v>45932</v>
      </c>
      <c r="AN5" s="557">
        <v>4.3099999999999996</v>
      </c>
      <c r="AO5" s="557">
        <v>421400</v>
      </c>
      <c r="AP5" s="557">
        <v>103.18898</v>
      </c>
      <c r="AQ5" s="557">
        <v>444.74450379999996</v>
      </c>
      <c r="AR5" s="557">
        <v>2.1248999999999998</v>
      </c>
    </row>
    <row r="6" spans="2:44">
      <c r="B6" s="558">
        <v>45926</v>
      </c>
      <c r="C6" s="554">
        <v>10.207000000000001</v>
      </c>
      <c r="D6" s="554">
        <v>9.3193999999999999</v>
      </c>
      <c r="E6" s="554">
        <v>4.9309000000000003</v>
      </c>
      <c r="F6" s="554">
        <v>7.7531999999999996</v>
      </c>
      <c r="G6" s="554">
        <v>10.2768</v>
      </c>
      <c r="H6" s="554">
        <v>0</v>
      </c>
      <c r="I6" s="558">
        <v>45926</v>
      </c>
      <c r="J6" s="554">
        <v>22.5669</v>
      </c>
      <c r="K6" s="554">
        <v>18.638400000000001</v>
      </c>
      <c r="L6" s="554">
        <v>3.7233000000000001</v>
      </c>
      <c r="M6" s="554">
        <v>5.7055999999999996</v>
      </c>
      <c r="N6" s="554">
        <v>11.4071</v>
      </c>
      <c r="O6" s="554">
        <v>0</v>
      </c>
      <c r="P6" s="554"/>
      <c r="Q6" s="558">
        <v>45926</v>
      </c>
      <c r="R6" s="4">
        <v>4.38</v>
      </c>
      <c r="S6" s="4">
        <v>140335.16</v>
      </c>
      <c r="T6" s="4">
        <v>10346.75</v>
      </c>
      <c r="U6" s="4">
        <v>0.85048543689320377</v>
      </c>
      <c r="V6" s="4">
        <v>1.2948873070554598</v>
      </c>
      <c r="W6" s="4" t="e">
        <v>#DIV/0!</v>
      </c>
      <c r="Y6" s="554">
        <v>4.38</v>
      </c>
      <c r="Z6" s="4">
        <v>25.51</v>
      </c>
      <c r="AA6" s="4">
        <v>6.28</v>
      </c>
      <c r="AB6" s="4">
        <v>23.81</v>
      </c>
      <c r="AC6" s="4">
        <v>28.9</v>
      </c>
      <c r="AD6" s="4">
        <v>24.24</v>
      </c>
      <c r="AF6" s="4">
        <v>0.85048543689320377</v>
      </c>
      <c r="AG6" s="4">
        <v>1.2010357815442563</v>
      </c>
      <c r="AH6" s="4">
        <v>0.82849604221635886</v>
      </c>
      <c r="AI6" s="4">
        <v>1.0192636986301369</v>
      </c>
      <c r="AJ6" s="4">
        <v>1.1472806669313218</v>
      </c>
      <c r="AK6" s="4">
        <v>1.0914002701485817</v>
      </c>
      <c r="AM6" s="556">
        <v>45931</v>
      </c>
      <c r="AN6" s="557">
        <v>4.4000000000000004</v>
      </c>
      <c r="AO6" s="557">
        <v>221800</v>
      </c>
      <c r="AP6" s="557">
        <v>103.18898</v>
      </c>
      <c r="AQ6" s="557">
        <v>454.03151200000002</v>
      </c>
      <c r="AR6" s="557">
        <v>2.1692999999999998</v>
      </c>
    </row>
    <row r="7" spans="2:44">
      <c r="B7" s="558">
        <v>45919</v>
      </c>
      <c r="C7" s="554">
        <v>10.280099999999999</v>
      </c>
      <c r="D7" s="554">
        <v>9.2735000000000003</v>
      </c>
      <c r="E7" s="554">
        <v>4.9504000000000001</v>
      </c>
      <c r="F7" s="554">
        <v>7.5606</v>
      </c>
      <c r="G7" s="554">
        <v>10.2821</v>
      </c>
      <c r="H7" s="554">
        <v>0</v>
      </c>
      <c r="I7" s="558">
        <v>45919</v>
      </c>
      <c r="J7" s="554">
        <v>23.558299999999999</v>
      </c>
      <c r="K7" s="554">
        <v>18.499500000000001</v>
      </c>
      <c r="L7" s="554">
        <v>3.7530000000000001</v>
      </c>
      <c r="M7" s="554">
        <v>5.4252000000000002</v>
      </c>
      <c r="N7" s="554">
        <v>11.414999999999999</v>
      </c>
      <c r="O7" s="554">
        <v>0</v>
      </c>
      <c r="P7" s="554"/>
      <c r="Q7" s="558">
        <v>45919</v>
      </c>
      <c r="R7" s="4">
        <v>4.3</v>
      </c>
      <c r="S7" s="4">
        <v>137771.39000000001</v>
      </c>
      <c r="T7" s="4">
        <v>10346.75</v>
      </c>
      <c r="U7" s="4">
        <v>0.83495145631067957</v>
      </c>
      <c r="V7" s="4">
        <v>1.2712311311462325</v>
      </c>
      <c r="W7" s="4" t="e">
        <v>#DIV/0!</v>
      </c>
      <c r="Y7" s="554">
        <v>4.3</v>
      </c>
      <c r="Z7" s="4">
        <v>25.32</v>
      </c>
      <c r="AA7" s="4">
        <v>6.33</v>
      </c>
      <c r="AB7" s="4">
        <v>22.64</v>
      </c>
      <c r="AC7" s="4">
        <v>28.92</v>
      </c>
      <c r="AD7" s="4">
        <v>24.17</v>
      </c>
      <c r="AF7" s="4">
        <v>0.83495145631067957</v>
      </c>
      <c r="AG7" s="4">
        <v>1.192090395480226</v>
      </c>
      <c r="AH7" s="4">
        <v>0.83509234828496037</v>
      </c>
      <c r="AI7" s="4">
        <v>0.96917808219178092</v>
      </c>
      <c r="AJ7" s="4">
        <v>1.14807463279079</v>
      </c>
      <c r="AK7" s="4">
        <v>1.0882485366951824</v>
      </c>
      <c r="AM7" s="556">
        <v>45930</v>
      </c>
      <c r="AN7" s="557">
        <v>4.4000000000000004</v>
      </c>
      <c r="AO7" s="557">
        <v>221800</v>
      </c>
      <c r="AP7" s="557">
        <v>103.18898</v>
      </c>
      <c r="AQ7" s="557">
        <v>454.03151200000002</v>
      </c>
      <c r="AR7" s="557">
        <v>2.1692999999999998</v>
      </c>
    </row>
    <row r="8" spans="2:44">
      <c r="B8" s="558">
        <v>45912</v>
      </c>
      <c r="C8" s="554">
        <v>10.3148</v>
      </c>
      <c r="D8" s="554">
        <v>9.5039999999999996</v>
      </c>
      <c r="E8" s="554">
        <v>4.6296999999999997</v>
      </c>
      <c r="F8" s="554">
        <v>7.4173999999999998</v>
      </c>
      <c r="G8" s="554">
        <v>10.143800000000001</v>
      </c>
      <c r="H8" s="554">
        <v>0</v>
      </c>
      <c r="I8" s="558">
        <v>45912</v>
      </c>
      <c r="J8" s="554">
        <v>24.0304</v>
      </c>
      <c r="K8" s="554">
        <v>17.827400000000001</v>
      </c>
      <c r="L8" s="554">
        <v>3.2667999999999999</v>
      </c>
      <c r="M8" s="554">
        <v>5.2167000000000003</v>
      </c>
      <c r="N8" s="554">
        <v>11.2098</v>
      </c>
      <c r="O8" s="554">
        <v>0</v>
      </c>
      <c r="P8" s="554"/>
      <c r="Q8" s="558">
        <v>45912</v>
      </c>
      <c r="R8" s="4">
        <v>3.56</v>
      </c>
      <c r="S8" s="4">
        <v>134432.26</v>
      </c>
      <c r="T8" s="4">
        <v>10346.75</v>
      </c>
      <c r="U8" s="4">
        <v>0.6912621359223301</v>
      </c>
      <c r="V8" s="4">
        <v>1.2404206268249485</v>
      </c>
      <c r="W8" s="4" t="e">
        <v>#DIV/0!</v>
      </c>
      <c r="Y8" s="554">
        <v>3.56</v>
      </c>
      <c r="Z8" s="4">
        <v>24.4</v>
      </c>
      <c r="AA8" s="4">
        <v>5.51</v>
      </c>
      <c r="AB8" s="4">
        <v>21.77</v>
      </c>
      <c r="AC8" s="4">
        <v>28.4</v>
      </c>
      <c r="AD8" s="4">
        <v>23.75</v>
      </c>
      <c r="AF8" s="4">
        <v>0.6912621359223301</v>
      </c>
      <c r="AG8" s="4">
        <v>1.1487758945386064</v>
      </c>
      <c r="AH8" s="4">
        <v>0.72691292875989444</v>
      </c>
      <c r="AI8" s="4">
        <v>0.93193493150684936</v>
      </c>
      <c r="AJ8" s="4">
        <v>1.1274315204446208</v>
      </c>
      <c r="AK8" s="4">
        <v>1.069338135974786</v>
      </c>
      <c r="AM8" s="556">
        <v>45929</v>
      </c>
      <c r="AN8" s="557">
        <v>4.4000000000000004</v>
      </c>
      <c r="AO8" s="557">
        <v>221800</v>
      </c>
      <c r="AP8" s="557">
        <v>103.18898</v>
      </c>
      <c r="AQ8" s="557">
        <v>454.03151200000002</v>
      </c>
      <c r="AR8" s="557">
        <v>2.1692999999999998</v>
      </c>
    </row>
    <row r="9" spans="2:44">
      <c r="B9" s="558">
        <v>45905</v>
      </c>
      <c r="C9" s="554">
        <v>10.0748</v>
      </c>
      <c r="D9" s="554">
        <v>9.5274000000000001</v>
      </c>
      <c r="E9" s="554">
        <v>4.7157999999999998</v>
      </c>
      <c r="F9" s="554">
        <v>7.4305000000000003</v>
      </c>
      <c r="G9" s="554">
        <v>10.0746</v>
      </c>
      <c r="H9" s="554">
        <v>0</v>
      </c>
      <c r="I9" s="558">
        <v>45905</v>
      </c>
      <c r="J9" s="554">
        <v>20.7728</v>
      </c>
      <c r="K9" s="554">
        <v>17.8931</v>
      </c>
      <c r="L9" s="554">
        <v>3.3972000000000002</v>
      </c>
      <c r="M9" s="554">
        <v>5.2359</v>
      </c>
      <c r="N9" s="554">
        <v>11.107100000000001</v>
      </c>
      <c r="O9" s="554">
        <v>0</v>
      </c>
      <c r="P9" s="554"/>
      <c r="Q9" s="558">
        <v>45905</v>
      </c>
      <c r="R9" s="4">
        <v>3.72</v>
      </c>
      <c r="S9" s="4">
        <v>137913.68</v>
      </c>
      <c r="T9" s="4">
        <v>10346.75</v>
      </c>
      <c r="U9" s="4">
        <v>0.72233009708737861</v>
      </c>
      <c r="V9" s="4">
        <v>1.2725440559679302</v>
      </c>
      <c r="W9" s="4" t="e">
        <v>#DIV/0!</v>
      </c>
      <c r="Y9" s="554">
        <v>3.72</v>
      </c>
      <c r="Z9" s="4">
        <v>24.49</v>
      </c>
      <c r="AA9" s="4">
        <v>5.73</v>
      </c>
      <c r="AB9" s="4">
        <v>21.85</v>
      </c>
      <c r="AC9" s="4">
        <v>28.14</v>
      </c>
      <c r="AD9" s="4">
        <v>23.82</v>
      </c>
      <c r="AF9" s="4">
        <v>0.72233009708737861</v>
      </c>
      <c r="AG9" s="4">
        <v>1.1530131826741996</v>
      </c>
      <c r="AH9" s="4">
        <v>0.75593667546174148</v>
      </c>
      <c r="AI9" s="4">
        <v>0.93535958904109595</v>
      </c>
      <c r="AJ9" s="4">
        <v>1.1171099642715363</v>
      </c>
      <c r="AK9" s="4">
        <v>1.0724898694281855</v>
      </c>
      <c r="AM9" s="556">
        <v>45928</v>
      </c>
      <c r="AN9" s="557">
        <v>4.45</v>
      </c>
      <c r="AO9" s="557">
        <v>214500</v>
      </c>
      <c r="AP9" s="557">
        <v>103.18898</v>
      </c>
      <c r="AQ9" s="557">
        <v>459.19096100000002</v>
      </c>
      <c r="AR9" s="557">
        <v>2.1890000000000001</v>
      </c>
    </row>
    <row r="10" spans="2:44">
      <c r="B10" s="558">
        <v>45898</v>
      </c>
      <c r="C10" s="554">
        <v>10.1165</v>
      </c>
      <c r="D10" s="554">
        <v>9.3896999999999995</v>
      </c>
      <c r="E10" s="554">
        <v>4.7039999999999997</v>
      </c>
      <c r="F10" s="554">
        <v>7.3152999999999997</v>
      </c>
      <c r="G10" s="554">
        <v>9.9974000000000007</v>
      </c>
      <c r="H10" s="554">
        <v>0</v>
      </c>
      <c r="I10" s="558">
        <v>45898</v>
      </c>
      <c r="J10" s="554">
        <v>21.339400000000001</v>
      </c>
      <c r="K10" s="554">
        <v>17.5059</v>
      </c>
      <c r="L10" s="554">
        <v>3.3795000000000002</v>
      </c>
      <c r="M10" s="554">
        <v>5.0682</v>
      </c>
      <c r="N10" s="554">
        <v>10.992699999999999</v>
      </c>
      <c r="O10" s="554">
        <v>0</v>
      </c>
      <c r="P10" s="554"/>
      <c r="Q10" s="558">
        <v>45898</v>
      </c>
      <c r="R10" s="4">
        <v>3.43</v>
      </c>
      <c r="S10" s="4">
        <v>133151.29999999999</v>
      </c>
      <c r="T10" s="4">
        <v>10346.75</v>
      </c>
      <c r="U10" s="4">
        <v>0.66601941747572813</v>
      </c>
      <c r="V10" s="4">
        <v>1.2286010739427926</v>
      </c>
      <c r="W10" s="4" t="e">
        <v>#DIV/0!</v>
      </c>
      <c r="Y10" s="554">
        <v>3.43</v>
      </c>
      <c r="Z10" s="4">
        <v>23.96</v>
      </c>
      <c r="AA10" s="4">
        <v>5.7</v>
      </c>
      <c r="AB10" s="4">
        <v>21.15</v>
      </c>
      <c r="AC10" s="4">
        <v>27.85</v>
      </c>
      <c r="AD10" s="4">
        <v>23.49</v>
      </c>
      <c r="AF10" s="4">
        <v>0.66601941747572813</v>
      </c>
      <c r="AG10" s="4">
        <v>1.1280602636534842</v>
      </c>
      <c r="AH10" s="4">
        <v>0.75197889182058053</v>
      </c>
      <c r="AI10" s="4">
        <v>0.90539383561643827</v>
      </c>
      <c r="AJ10" s="4">
        <v>1.1055974593092497</v>
      </c>
      <c r="AK10" s="4">
        <v>1.0576316974335884</v>
      </c>
      <c r="AM10" s="556">
        <v>45927</v>
      </c>
      <c r="AN10" s="557">
        <v>4.38</v>
      </c>
      <c r="AO10" s="557">
        <v>133600</v>
      </c>
      <c r="AP10" s="557">
        <v>103.18898</v>
      </c>
      <c r="AQ10" s="557">
        <v>451.96773239999999</v>
      </c>
      <c r="AR10" s="557">
        <v>2.1642999999999999</v>
      </c>
    </row>
    <row r="11" spans="2:44">
      <c r="B11" s="558">
        <v>45891</v>
      </c>
      <c r="C11" s="554">
        <v>10.0017</v>
      </c>
      <c r="D11" s="554">
        <v>9.1506000000000007</v>
      </c>
      <c r="E11" s="554">
        <v>4.6414999999999997</v>
      </c>
      <c r="F11" s="554">
        <v>7.2889999999999997</v>
      </c>
      <c r="G11" s="554">
        <v>9.7260000000000009</v>
      </c>
      <c r="H11" s="554">
        <v>0</v>
      </c>
      <c r="I11" s="558">
        <v>45891</v>
      </c>
      <c r="J11" s="554">
        <v>19.781400000000001</v>
      </c>
      <c r="K11" s="554">
        <v>16.8337</v>
      </c>
      <c r="L11" s="554">
        <v>3.2846000000000002</v>
      </c>
      <c r="M11" s="554">
        <v>5.0297999999999998</v>
      </c>
      <c r="N11" s="554">
        <v>10.5901</v>
      </c>
      <c r="O11" s="554">
        <v>0</v>
      </c>
      <c r="P11" s="554"/>
      <c r="Q11" s="558">
        <v>45891</v>
      </c>
      <c r="R11" s="4">
        <v>3.33</v>
      </c>
      <c r="S11" s="4">
        <v>132725.68</v>
      </c>
      <c r="T11" s="4">
        <v>10346.75</v>
      </c>
      <c r="U11" s="4">
        <v>0.64660194174757279</v>
      </c>
      <c r="V11" s="4">
        <v>1.2246738333593998</v>
      </c>
      <c r="W11" s="4" t="e">
        <v>#DIV/0!</v>
      </c>
      <c r="Y11" s="554">
        <v>3.33</v>
      </c>
      <c r="Z11" s="4">
        <v>23.04</v>
      </c>
      <c r="AA11" s="4">
        <v>5.54</v>
      </c>
      <c r="AB11" s="4">
        <v>20.99</v>
      </c>
      <c r="AC11" s="4">
        <v>26.83</v>
      </c>
      <c r="AD11" s="4">
        <v>22.5</v>
      </c>
      <c r="AF11" s="4">
        <v>0.64660194174757279</v>
      </c>
      <c r="AG11" s="4">
        <v>1.0847457627118644</v>
      </c>
      <c r="AH11" s="4">
        <v>0.73087071240105539</v>
      </c>
      <c r="AI11" s="4">
        <v>0.8985445205479452</v>
      </c>
      <c r="AJ11" s="4">
        <v>1.0651052004763795</v>
      </c>
      <c r="AK11" s="4">
        <v>1.0130571814497973</v>
      </c>
      <c r="AM11" s="556">
        <v>45926</v>
      </c>
      <c r="AN11" s="557">
        <v>4.375</v>
      </c>
      <c r="AO11" s="557">
        <v>257100</v>
      </c>
      <c r="AP11" s="557">
        <v>103.18898</v>
      </c>
      <c r="AQ11" s="557">
        <v>451.45178750000002</v>
      </c>
      <c r="AR11" s="557">
        <v>2.1594000000000002</v>
      </c>
    </row>
    <row r="12" spans="2:44">
      <c r="B12" s="558">
        <v>45884</v>
      </c>
      <c r="C12" s="554">
        <v>9.8313000000000006</v>
      </c>
      <c r="D12" s="554">
        <v>9.1037999999999997</v>
      </c>
      <c r="E12" s="554">
        <v>4.6063000000000001</v>
      </c>
      <c r="F12" s="554">
        <v>7.2263999999999999</v>
      </c>
      <c r="G12" s="554">
        <v>9.6674000000000007</v>
      </c>
      <c r="H12" s="554">
        <v>0</v>
      </c>
      <c r="I12" s="558">
        <v>45884</v>
      </c>
      <c r="J12" s="554">
        <v>17.4681</v>
      </c>
      <c r="K12" s="554">
        <v>16.702200000000001</v>
      </c>
      <c r="L12" s="554">
        <v>3.2311999999999999</v>
      </c>
      <c r="M12" s="554">
        <v>4.9387999999999996</v>
      </c>
      <c r="N12" s="554">
        <v>10.5032</v>
      </c>
      <c r="O12" s="554">
        <v>0</v>
      </c>
      <c r="P12" s="554"/>
      <c r="Q12" s="558">
        <v>45884</v>
      </c>
      <c r="R12" s="4">
        <v>2.94</v>
      </c>
      <c r="S12" s="4">
        <v>134035.72</v>
      </c>
      <c r="T12" s="4">
        <v>10346.75</v>
      </c>
      <c r="U12" s="4">
        <v>0.57087378640776698</v>
      </c>
      <c r="V12" s="4">
        <v>1.2367617104654289</v>
      </c>
      <c r="W12" s="4" t="e">
        <v>#DIV/0!</v>
      </c>
      <c r="Y12" s="554">
        <v>2.94</v>
      </c>
      <c r="Z12" s="4">
        <v>22.86</v>
      </c>
      <c r="AA12" s="4">
        <v>5.45</v>
      </c>
      <c r="AB12" s="4">
        <v>20.61</v>
      </c>
      <c r="AC12" s="4">
        <v>26.61</v>
      </c>
      <c r="AD12" s="4">
        <v>22.01</v>
      </c>
      <c r="AF12" s="4">
        <v>0.57087378640776698</v>
      </c>
      <c r="AG12" s="4">
        <v>1.076271186440678</v>
      </c>
      <c r="AH12" s="4">
        <v>0.71899736147757254</v>
      </c>
      <c r="AI12" s="4">
        <v>0.88227739726027399</v>
      </c>
      <c r="AJ12" s="4">
        <v>1.056371576022231</v>
      </c>
      <c r="AK12" s="4">
        <v>0.99099504727600185</v>
      </c>
      <c r="AM12" s="556">
        <v>45925</v>
      </c>
      <c r="AN12" s="557">
        <v>4.4050000000000002</v>
      </c>
      <c r="AO12" s="557">
        <v>452600</v>
      </c>
      <c r="AP12" s="557">
        <v>103.18898</v>
      </c>
      <c r="AQ12" s="557">
        <v>454.54745690000004</v>
      </c>
      <c r="AR12" s="557">
        <v>2.1741999999999999</v>
      </c>
    </row>
    <row r="13" spans="2:44">
      <c r="B13" s="558">
        <v>45877</v>
      </c>
      <c r="C13" s="554">
        <v>9.8000000000000007</v>
      </c>
      <c r="D13" s="554">
        <v>8.9659999999999993</v>
      </c>
      <c r="E13" s="554">
        <v>4.5671999999999997</v>
      </c>
      <c r="F13" s="554">
        <v>7.1573000000000002</v>
      </c>
      <c r="G13" s="554">
        <v>9.4891000000000005</v>
      </c>
      <c r="H13" s="554">
        <v>0</v>
      </c>
      <c r="I13" s="558">
        <v>45877</v>
      </c>
      <c r="J13" s="554">
        <v>17.043199999999999</v>
      </c>
      <c r="K13" s="554">
        <v>16.315000000000001</v>
      </c>
      <c r="L13" s="554">
        <v>3.1718999999999999</v>
      </c>
      <c r="M13" s="554">
        <v>4.8380999999999998</v>
      </c>
      <c r="N13" s="554">
        <v>10.238799999999999</v>
      </c>
      <c r="O13" s="554">
        <v>0</v>
      </c>
      <c r="P13" s="554"/>
      <c r="Q13" s="558">
        <v>45877</v>
      </c>
      <c r="R13" s="4">
        <v>3.06</v>
      </c>
      <c r="S13" s="4">
        <v>135250.1</v>
      </c>
      <c r="T13" s="4">
        <v>10346.75</v>
      </c>
      <c r="U13" s="4">
        <v>0.59417475728155333</v>
      </c>
      <c r="V13" s="4">
        <v>1.2479669226727048</v>
      </c>
      <c r="W13" s="4" t="e">
        <v>#DIV/0!</v>
      </c>
      <c r="Y13" s="554">
        <v>3.06</v>
      </c>
      <c r="Z13" s="4">
        <v>22.33</v>
      </c>
      <c r="AA13" s="4">
        <v>5.35</v>
      </c>
      <c r="AB13" s="4">
        <v>20.190000000000001</v>
      </c>
      <c r="AC13" s="4">
        <v>25.94</v>
      </c>
      <c r="AD13" s="4">
        <v>21.69</v>
      </c>
      <c r="AF13" s="4">
        <v>0.59417475728155333</v>
      </c>
      <c r="AG13" s="4">
        <v>1.0513182674199624</v>
      </c>
      <c r="AH13" s="4">
        <v>0.7058047493403693</v>
      </c>
      <c r="AI13" s="4">
        <v>0.86429794520547953</v>
      </c>
      <c r="AJ13" s="4">
        <v>1.0297737197300516</v>
      </c>
      <c r="AK13" s="4">
        <v>0.97658712291760474</v>
      </c>
      <c r="AM13" s="556">
        <v>45924</v>
      </c>
      <c r="AN13" s="557">
        <v>4.51</v>
      </c>
      <c r="AO13" s="557">
        <v>423300</v>
      </c>
      <c r="AP13" s="557">
        <v>103.18898</v>
      </c>
      <c r="AQ13" s="557">
        <v>465.3822998</v>
      </c>
      <c r="AR13" s="557">
        <v>2.2284000000000002</v>
      </c>
    </row>
    <row r="14" spans="2:44">
      <c r="B14" s="558">
        <v>45870</v>
      </c>
      <c r="C14" s="554">
        <v>9.7059999999999995</v>
      </c>
      <c r="D14" s="554">
        <v>8.7606999999999999</v>
      </c>
      <c r="E14" s="554">
        <v>4.4927999999999999</v>
      </c>
      <c r="F14" s="554">
        <v>7.1951000000000001</v>
      </c>
      <c r="G14" s="554">
        <v>9.4120000000000008</v>
      </c>
      <c r="H14" s="554">
        <v>0</v>
      </c>
      <c r="I14" s="558">
        <v>45870</v>
      </c>
      <c r="J14" s="554">
        <v>15.7685</v>
      </c>
      <c r="K14" s="554">
        <v>15.7378</v>
      </c>
      <c r="L14" s="554">
        <v>3.0592999999999999</v>
      </c>
      <c r="M14" s="554">
        <v>4.8932000000000002</v>
      </c>
      <c r="N14" s="554">
        <v>10.1243</v>
      </c>
      <c r="O14" s="554">
        <v>0</v>
      </c>
      <c r="P14" s="554"/>
      <c r="Q14" s="558">
        <v>45870</v>
      </c>
      <c r="R14" s="4">
        <v>3.13</v>
      </c>
      <c r="S14" s="4">
        <v>139302.85</v>
      </c>
      <c r="T14" s="4">
        <v>10346.75</v>
      </c>
      <c r="U14" s="4">
        <v>0.60776699029126202</v>
      </c>
      <c r="V14" s="4">
        <v>1.2853620739211091</v>
      </c>
      <c r="W14" s="4" t="e">
        <v>#DIV/0!</v>
      </c>
      <c r="Y14" s="554">
        <v>3.13</v>
      </c>
      <c r="Z14" s="4">
        <v>21.54</v>
      </c>
      <c r="AA14" s="4">
        <v>5.16</v>
      </c>
      <c r="AB14" s="4">
        <v>20.420000000000002</v>
      </c>
      <c r="AC14" s="4">
        <v>25.65</v>
      </c>
      <c r="AD14" s="4">
        <v>21.06</v>
      </c>
      <c r="AF14" s="4">
        <v>0.60776699029126202</v>
      </c>
      <c r="AG14" s="4">
        <v>1.0141242937853108</v>
      </c>
      <c r="AH14" s="4">
        <v>0.68073878627968343</v>
      </c>
      <c r="AI14" s="4">
        <v>0.87414383561643849</v>
      </c>
      <c r="AJ14" s="4">
        <v>1.018261214767765</v>
      </c>
      <c r="AK14" s="4">
        <v>0.94822152183701025</v>
      </c>
      <c r="AM14" s="556">
        <v>45923</v>
      </c>
      <c r="AN14" s="557">
        <v>4.51</v>
      </c>
      <c r="AO14" s="557">
        <v>423300</v>
      </c>
      <c r="AP14" s="557">
        <v>103.18898</v>
      </c>
      <c r="AQ14" s="557">
        <v>465.3822998</v>
      </c>
      <c r="AR14" s="557">
        <v>2.2284000000000002</v>
      </c>
    </row>
    <row r="15" spans="2:44">
      <c r="B15" s="558">
        <v>45863</v>
      </c>
      <c r="C15" s="554">
        <v>9.6956000000000007</v>
      </c>
      <c r="D15" s="554">
        <v>8.6880000000000006</v>
      </c>
      <c r="E15" s="554">
        <v>4.4771999999999998</v>
      </c>
      <c r="F15" s="554">
        <v>7.2083000000000004</v>
      </c>
      <c r="G15" s="554">
        <v>9.3055000000000003</v>
      </c>
      <c r="H15" s="554">
        <v>0</v>
      </c>
      <c r="I15" s="558">
        <v>45863</v>
      </c>
      <c r="J15" s="554">
        <v>15.626799999999999</v>
      </c>
      <c r="K15" s="554">
        <v>15.533200000000001</v>
      </c>
      <c r="L15" s="554">
        <v>3.0356000000000001</v>
      </c>
      <c r="M15" s="554">
        <v>4.9123999999999999</v>
      </c>
      <c r="N15" s="554">
        <v>9.9664000000000001</v>
      </c>
      <c r="O15" s="554">
        <v>0</v>
      </c>
      <c r="P15" s="554"/>
      <c r="Q15" s="558">
        <v>45863</v>
      </c>
      <c r="R15" s="4">
        <v>3.46</v>
      </c>
      <c r="S15" s="4">
        <v>139549.43</v>
      </c>
      <c r="T15" s="4">
        <v>10346.75</v>
      </c>
      <c r="U15" s="4">
        <v>0.67184466019417466</v>
      </c>
      <c r="V15" s="4">
        <v>1.2876372935608182</v>
      </c>
      <c r="W15" s="4" t="e">
        <v>#DIV/0!</v>
      </c>
      <c r="Y15" s="554">
        <v>3.46</v>
      </c>
      <c r="Z15" s="4">
        <v>21.26</v>
      </c>
      <c r="AA15" s="4">
        <v>5.12</v>
      </c>
      <c r="AB15" s="4">
        <v>20.5</v>
      </c>
      <c r="AC15" s="4">
        <v>25.25</v>
      </c>
      <c r="AD15" s="4">
        <v>20.88</v>
      </c>
      <c r="AF15" s="4">
        <v>0.67184466019417466</v>
      </c>
      <c r="AG15" s="4">
        <v>1.0009416195856875</v>
      </c>
      <c r="AH15" s="4">
        <v>0.67546174142480209</v>
      </c>
      <c r="AI15" s="4">
        <v>0.87756849315068497</v>
      </c>
      <c r="AJ15" s="4">
        <v>1.002381897578404</v>
      </c>
      <c r="AK15" s="4">
        <v>0.94011706438541187</v>
      </c>
      <c r="AM15" s="556">
        <v>45922</v>
      </c>
      <c r="AN15" s="557">
        <v>4.51</v>
      </c>
      <c r="AO15" s="557">
        <v>423300</v>
      </c>
      <c r="AP15" s="557">
        <v>103.18898</v>
      </c>
      <c r="AQ15" s="557">
        <v>465.3822998</v>
      </c>
      <c r="AR15" s="557">
        <v>2.2284000000000002</v>
      </c>
    </row>
    <row r="16" spans="2:44">
      <c r="B16" s="558">
        <v>45856</v>
      </c>
      <c r="C16" s="554">
        <v>9.5912000000000006</v>
      </c>
      <c r="D16" s="554">
        <v>8.7944999999999993</v>
      </c>
      <c r="E16" s="554">
        <v>4.4459</v>
      </c>
      <c r="F16" s="554">
        <v>7.0914000000000001</v>
      </c>
      <c r="G16" s="554">
        <v>9.3028999999999993</v>
      </c>
      <c r="H16" s="554">
        <v>0</v>
      </c>
      <c r="I16" s="558">
        <v>45856</v>
      </c>
      <c r="J16" s="554">
        <v>14.2105</v>
      </c>
      <c r="K16" s="554">
        <v>15.832800000000001</v>
      </c>
      <c r="L16" s="554">
        <v>2.9881000000000002</v>
      </c>
      <c r="M16" s="554">
        <v>4.7423000000000002</v>
      </c>
      <c r="N16" s="554">
        <v>9.9625000000000004</v>
      </c>
      <c r="O16" s="554">
        <v>0</v>
      </c>
      <c r="P16" s="554"/>
      <c r="Q16" s="558">
        <v>45856</v>
      </c>
      <c r="R16" s="4">
        <v>3.45</v>
      </c>
      <c r="S16" s="4">
        <v>137164.60999999999</v>
      </c>
      <c r="T16" s="4">
        <v>10346.75</v>
      </c>
      <c r="U16" s="4">
        <v>0.66990291262135926</v>
      </c>
      <c r="V16" s="4">
        <v>1.2656323081557921</v>
      </c>
      <c r="W16" s="4" t="e">
        <v>#DIV/0!</v>
      </c>
      <c r="Y16" s="554">
        <v>3.45</v>
      </c>
      <c r="Z16" s="4">
        <v>21.67</v>
      </c>
      <c r="AA16" s="4">
        <v>5.04</v>
      </c>
      <c r="AB16" s="4">
        <v>19.79</v>
      </c>
      <c r="AC16" s="4">
        <v>25.24</v>
      </c>
      <c r="AD16" s="4">
        <v>21.34</v>
      </c>
      <c r="AF16" s="4">
        <v>0.66990291262135926</v>
      </c>
      <c r="AG16" s="4">
        <v>1.0202448210922788</v>
      </c>
      <c r="AH16" s="4">
        <v>0.66490765171503963</v>
      </c>
      <c r="AI16" s="4">
        <v>0.84717465753424659</v>
      </c>
      <c r="AJ16" s="4">
        <v>1.0019849146486699</v>
      </c>
      <c r="AK16" s="4">
        <v>0.96082845565060782</v>
      </c>
      <c r="AM16" s="556">
        <v>45921</v>
      </c>
      <c r="AN16" s="557">
        <v>4.585</v>
      </c>
      <c r="AO16" s="557">
        <v>412300</v>
      </c>
      <c r="AP16" s="557">
        <v>103.18898</v>
      </c>
      <c r="AQ16" s="557">
        <v>473.12147329999999</v>
      </c>
      <c r="AR16" s="557">
        <v>2.2629000000000001</v>
      </c>
    </row>
    <row r="17" spans="2:44">
      <c r="B17" s="558">
        <v>45849</v>
      </c>
      <c r="C17" s="554">
        <v>9.6085999999999991</v>
      </c>
      <c r="D17" s="554">
        <v>8.7866999999999997</v>
      </c>
      <c r="E17" s="554">
        <v>4.5163000000000002</v>
      </c>
      <c r="F17" s="554">
        <v>7.1407999999999996</v>
      </c>
      <c r="G17" s="554">
        <v>9.4785000000000004</v>
      </c>
      <c r="H17" s="554">
        <v>0</v>
      </c>
      <c r="I17" s="558">
        <v>45849</v>
      </c>
      <c r="J17" s="554">
        <v>14.4466</v>
      </c>
      <c r="K17" s="554">
        <v>15.8108</v>
      </c>
      <c r="L17" s="554">
        <v>3.0949</v>
      </c>
      <c r="M17" s="554">
        <v>4.8141999999999996</v>
      </c>
      <c r="N17" s="554">
        <v>10.223000000000001</v>
      </c>
      <c r="O17" s="554">
        <v>0</v>
      </c>
      <c r="P17" s="554"/>
      <c r="Q17" s="558">
        <v>45849</v>
      </c>
      <c r="R17" s="4">
        <v>3.52</v>
      </c>
      <c r="S17" s="4">
        <v>138840.01999999999</v>
      </c>
      <c r="T17" s="4">
        <v>10346.75</v>
      </c>
      <c r="U17" s="4">
        <v>0.68349514563106795</v>
      </c>
      <c r="V17" s="4">
        <v>1.2810914927472643</v>
      </c>
      <c r="W17" s="4" t="e">
        <v>#DIV/0!</v>
      </c>
      <c r="Y17" s="554">
        <v>3.52</v>
      </c>
      <c r="Z17" s="4">
        <v>21.64</v>
      </c>
      <c r="AA17" s="4">
        <v>5.22</v>
      </c>
      <c r="AB17" s="4">
        <v>20.09</v>
      </c>
      <c r="AC17" s="4">
        <v>25.9</v>
      </c>
      <c r="AD17" s="4">
        <v>22.04</v>
      </c>
      <c r="AF17" s="4">
        <v>0.68349514563106795</v>
      </c>
      <c r="AG17" s="4">
        <v>1.0188323917137478</v>
      </c>
      <c r="AH17" s="4">
        <v>0.68865435356200522</v>
      </c>
      <c r="AI17" s="4">
        <v>0.86001712328767121</v>
      </c>
      <c r="AJ17" s="4">
        <v>1.0281857880111154</v>
      </c>
      <c r="AK17" s="4">
        <v>0.99234579018460145</v>
      </c>
      <c r="AM17" s="556">
        <v>45920</v>
      </c>
      <c r="AN17" s="557">
        <v>4.4749999999999996</v>
      </c>
      <c r="AO17" s="557">
        <v>797200</v>
      </c>
      <c r="AP17" s="557">
        <v>103.18898</v>
      </c>
      <c r="AQ17" s="557">
        <v>461.77068549999996</v>
      </c>
      <c r="AR17" s="557">
        <v>2.2185999999999999</v>
      </c>
    </row>
    <row r="18" spans="2:44">
      <c r="B18" s="558">
        <v>45842</v>
      </c>
      <c r="C18" s="554">
        <v>9.7199000000000009</v>
      </c>
      <c r="D18" s="554">
        <v>9.1012000000000004</v>
      </c>
      <c r="E18" s="554">
        <v>4.5476000000000001</v>
      </c>
      <c r="F18" s="554">
        <v>7.2544000000000004</v>
      </c>
      <c r="G18" s="554">
        <v>9.8164999999999996</v>
      </c>
      <c r="H18" s="554">
        <v>0</v>
      </c>
      <c r="I18" s="558">
        <v>45842</v>
      </c>
      <c r="J18" s="554">
        <v>15.9573</v>
      </c>
      <c r="K18" s="554">
        <v>16.694900000000001</v>
      </c>
      <c r="L18" s="554">
        <v>3.1423000000000001</v>
      </c>
      <c r="M18" s="554">
        <v>4.9794999999999998</v>
      </c>
      <c r="N18" s="554">
        <v>10.724299999999999</v>
      </c>
      <c r="O18" s="554">
        <v>0</v>
      </c>
      <c r="P18" s="554"/>
      <c r="Q18" s="558">
        <v>45842</v>
      </c>
      <c r="R18" s="4">
        <v>3.43</v>
      </c>
      <c r="S18" s="4">
        <v>136436.07</v>
      </c>
      <c r="T18" s="4">
        <v>10346.75</v>
      </c>
      <c r="U18" s="4">
        <v>0.66601941747572813</v>
      </c>
      <c r="V18" s="4">
        <v>1.2589099928166985</v>
      </c>
      <c r="W18" s="4" t="e">
        <v>#DIV/0!</v>
      </c>
      <c r="Y18" s="554">
        <v>3.43</v>
      </c>
      <c r="Z18" s="4">
        <v>22.85</v>
      </c>
      <c r="AA18" s="4">
        <v>5.3</v>
      </c>
      <c r="AB18" s="4">
        <v>20.78</v>
      </c>
      <c r="AC18" s="4">
        <v>27.17</v>
      </c>
      <c r="AD18" s="4">
        <v>22.88</v>
      </c>
      <c r="AF18" s="4">
        <v>0.66601941747572813</v>
      </c>
      <c r="AG18" s="4">
        <v>1.0758003766478343</v>
      </c>
      <c r="AH18" s="4">
        <v>0.69920844327176779</v>
      </c>
      <c r="AI18" s="4">
        <v>0.88955479452054798</v>
      </c>
      <c r="AJ18" s="4">
        <v>1.0786026200873362</v>
      </c>
      <c r="AK18" s="4">
        <v>1.0301665916253939</v>
      </c>
      <c r="AM18" s="556">
        <v>45919</v>
      </c>
      <c r="AN18" s="557">
        <v>4.3049999999999997</v>
      </c>
      <c r="AO18" s="557">
        <v>249600</v>
      </c>
      <c r="AP18" s="557">
        <v>103.18898</v>
      </c>
      <c r="AQ18" s="557">
        <v>444.2285589</v>
      </c>
      <c r="AR18" s="557">
        <v>2.12</v>
      </c>
    </row>
    <row r="19" spans="2:44">
      <c r="B19" s="558">
        <v>45835</v>
      </c>
      <c r="C19" s="554">
        <v>9.6580999999999992</v>
      </c>
      <c r="D19" s="554">
        <v>8.8617000000000008</v>
      </c>
      <c r="E19" s="554">
        <v>4.5956000000000001</v>
      </c>
      <c r="F19" s="554">
        <v>6.9142000000000001</v>
      </c>
      <c r="G19" s="554">
        <v>10.376899999999999</v>
      </c>
      <c r="H19" s="554">
        <v>0</v>
      </c>
      <c r="I19" s="558">
        <v>45835</v>
      </c>
      <c r="J19" s="554">
        <v>9.9216999999999995</v>
      </c>
      <c r="K19" s="554">
        <v>14.468</v>
      </c>
      <c r="L19" s="554">
        <v>3.3281999999999998</v>
      </c>
      <c r="M19" s="554">
        <v>5.0551000000000004</v>
      </c>
      <c r="N19" s="554">
        <v>10.883699999999999</v>
      </c>
      <c r="O19" s="554">
        <v>0</v>
      </c>
      <c r="P19" s="554"/>
      <c r="Q19" s="558">
        <v>45835</v>
      </c>
      <c r="R19" s="4">
        <v>3.57</v>
      </c>
      <c r="S19" s="4">
        <v>137546.26</v>
      </c>
      <c r="T19" s="4">
        <v>10346.75</v>
      </c>
      <c r="U19" s="4">
        <v>0.6932038834951455</v>
      </c>
      <c r="V19" s="4">
        <v>1.2691538329164989</v>
      </c>
      <c r="W19" s="4" t="e">
        <v>#DIV/0!</v>
      </c>
      <c r="Y19" s="554">
        <v>3.57</v>
      </c>
      <c r="Z19" s="4">
        <v>22.55</v>
      </c>
      <c r="AA19" s="4">
        <v>5.25</v>
      </c>
      <c r="AB19" s="4">
        <v>20.72</v>
      </c>
      <c r="AC19" s="4">
        <v>27.04</v>
      </c>
      <c r="AD19" s="4">
        <v>23.01</v>
      </c>
      <c r="AF19" s="4">
        <v>0.6932038834951455</v>
      </c>
      <c r="AG19" s="4">
        <v>1.0616760828625236</v>
      </c>
      <c r="AH19" s="4">
        <v>0.69261213720316617</v>
      </c>
      <c r="AI19" s="4">
        <v>0.88698630136986301</v>
      </c>
      <c r="AJ19" s="4">
        <v>1.0734418420007938</v>
      </c>
      <c r="AK19" s="4">
        <v>1.0360198108959928</v>
      </c>
      <c r="AM19" s="556">
        <v>45918</v>
      </c>
      <c r="AN19" s="557">
        <v>4.2549999999999999</v>
      </c>
      <c r="AO19" s="557">
        <v>199800</v>
      </c>
      <c r="AP19" s="557">
        <v>103.18898</v>
      </c>
      <c r="AQ19" s="557">
        <v>439.0691099</v>
      </c>
      <c r="AR19" s="557">
        <v>2.1052</v>
      </c>
    </row>
    <row r="20" spans="2:44">
      <c r="B20" s="558">
        <v>45828</v>
      </c>
      <c r="C20" s="554">
        <v>9.6616999999999997</v>
      </c>
      <c r="D20" s="554">
        <v>8.5618999999999996</v>
      </c>
      <c r="E20" s="554">
        <v>4.5998000000000001</v>
      </c>
      <c r="F20" s="554">
        <v>6.9157999999999999</v>
      </c>
      <c r="G20" s="554">
        <v>10.048299999999999</v>
      </c>
      <c r="H20" s="554">
        <v>0</v>
      </c>
      <c r="I20" s="558">
        <v>45828</v>
      </c>
      <c r="J20" s="554">
        <v>9.9507999999999992</v>
      </c>
      <c r="K20" s="554">
        <v>13.704499999999999</v>
      </c>
      <c r="L20" s="554">
        <v>3.3346</v>
      </c>
      <c r="M20" s="554">
        <v>5.0575000000000001</v>
      </c>
      <c r="N20" s="554">
        <v>10.4047</v>
      </c>
      <c r="O20" s="554">
        <v>0</v>
      </c>
      <c r="P20" s="554"/>
      <c r="Q20" s="558">
        <v>45828</v>
      </c>
      <c r="R20" s="4">
        <v>3.58</v>
      </c>
      <c r="S20" s="4">
        <v>139541.23000000001</v>
      </c>
      <c r="T20" s="4">
        <v>10346.75</v>
      </c>
      <c r="U20" s="4">
        <v>0.69514563106796112</v>
      </c>
      <c r="V20" s="4">
        <v>1.2875616312968652</v>
      </c>
      <c r="W20" s="4" t="e">
        <v>#DIV/0!</v>
      </c>
      <c r="Y20" s="554">
        <v>3.58</v>
      </c>
      <c r="Z20" s="4">
        <v>21.36</v>
      </c>
      <c r="AA20" s="4">
        <v>5.26</v>
      </c>
      <c r="AB20" s="4">
        <v>20.73</v>
      </c>
      <c r="AC20" s="4">
        <v>25.85</v>
      </c>
      <c r="AD20" s="4">
        <v>21.91</v>
      </c>
      <c r="AF20" s="4">
        <v>0.69514563106796112</v>
      </c>
      <c r="AG20" s="4">
        <v>1.0056497175141244</v>
      </c>
      <c r="AH20" s="4">
        <v>0.69393139841688656</v>
      </c>
      <c r="AI20" s="4">
        <v>0.88741438356164393</v>
      </c>
      <c r="AJ20" s="4">
        <v>1.0262008733624455</v>
      </c>
      <c r="AK20" s="4">
        <v>0.98649257091400266</v>
      </c>
      <c r="AM20" s="556">
        <v>45917</v>
      </c>
      <c r="AN20" s="557">
        <v>4.1950000000000003</v>
      </c>
      <c r="AO20" s="557">
        <v>1126100</v>
      </c>
      <c r="AP20" s="557">
        <v>103.18898</v>
      </c>
      <c r="AQ20" s="557">
        <v>432.87777110000002</v>
      </c>
      <c r="AR20" s="557">
        <v>2.0657000000000001</v>
      </c>
    </row>
    <row r="21" spans="2:44">
      <c r="B21" s="558">
        <v>45821</v>
      </c>
      <c r="C21" s="554">
        <v>9.7007999999999992</v>
      </c>
      <c r="D21" s="554">
        <v>8.5922000000000001</v>
      </c>
      <c r="E21" s="554">
        <v>4.5872000000000002</v>
      </c>
      <c r="F21" s="554">
        <v>6.9157999999999999</v>
      </c>
      <c r="G21" s="554">
        <v>10.0068</v>
      </c>
      <c r="H21" s="554">
        <v>0</v>
      </c>
      <c r="I21" s="558">
        <v>45821</v>
      </c>
      <c r="J21" s="554">
        <v>10.270899999999999</v>
      </c>
      <c r="K21" s="554">
        <v>13.781499999999999</v>
      </c>
      <c r="L21" s="554">
        <v>3.3155999999999999</v>
      </c>
      <c r="M21" s="554">
        <v>5.0575000000000001</v>
      </c>
      <c r="N21" s="554">
        <v>10.3444</v>
      </c>
      <c r="O21" s="554">
        <v>0</v>
      </c>
      <c r="P21" s="554"/>
      <c r="Q21" s="558">
        <v>45821</v>
      </c>
      <c r="R21" s="4">
        <v>3.75</v>
      </c>
      <c r="S21" s="4">
        <v>140109.63</v>
      </c>
      <c r="T21" s="4">
        <v>10346.75</v>
      </c>
      <c r="U21" s="4">
        <v>0.72815533980582514</v>
      </c>
      <c r="V21" s="4">
        <v>1.2928063179835823</v>
      </c>
      <c r="W21" s="4" t="e">
        <v>#DIV/0!</v>
      </c>
      <c r="Y21" s="554">
        <v>3.75</v>
      </c>
      <c r="Z21" s="4">
        <v>21.48</v>
      </c>
      <c r="AA21" s="4">
        <v>5.23</v>
      </c>
      <c r="AB21" s="4">
        <v>20.73</v>
      </c>
      <c r="AC21" s="4">
        <v>25.7</v>
      </c>
      <c r="AD21" s="4">
        <v>21.88</v>
      </c>
      <c r="AF21" s="4">
        <v>0.72815533980582514</v>
      </c>
      <c r="AG21" s="4">
        <v>1.0112994350282487</v>
      </c>
      <c r="AH21" s="4">
        <v>0.68997361477572561</v>
      </c>
      <c r="AI21" s="4">
        <v>0.88741438356164393</v>
      </c>
      <c r="AJ21" s="4">
        <v>1.0202461294164351</v>
      </c>
      <c r="AK21" s="4">
        <v>0.98514182800540284</v>
      </c>
      <c r="AM21" s="556">
        <v>45916</v>
      </c>
      <c r="AN21" s="557">
        <v>4.1950000000000003</v>
      </c>
      <c r="AO21" s="557">
        <v>1126100</v>
      </c>
      <c r="AP21" s="557">
        <v>103.18898</v>
      </c>
      <c r="AQ21" s="557">
        <v>432.87777110000002</v>
      </c>
      <c r="AR21" s="557">
        <v>2.0657000000000001</v>
      </c>
    </row>
    <row r="22" spans="2:44">
      <c r="B22" s="558">
        <v>45814</v>
      </c>
      <c r="C22" s="554">
        <v>9.6972000000000005</v>
      </c>
      <c r="D22" s="554">
        <v>8.6828000000000003</v>
      </c>
      <c r="E22" s="554">
        <v>4.5914000000000001</v>
      </c>
      <c r="F22" s="554">
        <v>7.0522999999999998</v>
      </c>
      <c r="G22" s="554">
        <v>10.1615</v>
      </c>
      <c r="H22" s="554">
        <v>0</v>
      </c>
      <c r="I22" s="558">
        <v>45814</v>
      </c>
      <c r="J22" s="554">
        <v>10.2418</v>
      </c>
      <c r="K22" s="554">
        <v>14.0124</v>
      </c>
      <c r="L22" s="554">
        <v>3.3218999999999999</v>
      </c>
      <c r="M22" s="554">
        <v>5.26</v>
      </c>
      <c r="N22" s="554">
        <v>10.569800000000001</v>
      </c>
      <c r="O22" s="554">
        <v>0</v>
      </c>
      <c r="P22" s="554"/>
      <c r="Q22" s="558">
        <v>45814</v>
      </c>
      <c r="R22" s="4">
        <v>3.71</v>
      </c>
      <c r="S22" s="4">
        <v>138963.10999999999</v>
      </c>
      <c r="T22" s="4">
        <v>10346.75</v>
      </c>
      <c r="U22" s="4">
        <v>0.7203883495145631</v>
      </c>
      <c r="V22" s="4">
        <v>1.2822272571460469</v>
      </c>
      <c r="W22" s="4" t="e">
        <v>#DIV/0!</v>
      </c>
      <c r="Y22" s="554">
        <v>3.71</v>
      </c>
      <c r="Z22" s="4">
        <v>21.84</v>
      </c>
      <c r="AA22" s="4">
        <v>5.24</v>
      </c>
      <c r="AB22" s="4">
        <v>21.56</v>
      </c>
      <c r="AC22" s="4">
        <v>26.26</v>
      </c>
      <c r="AD22" s="4">
        <v>22.26</v>
      </c>
      <c r="AF22" s="4">
        <v>0.7203883495145631</v>
      </c>
      <c r="AG22" s="4">
        <v>1.0282485875706215</v>
      </c>
      <c r="AH22" s="4">
        <v>0.69129287598944589</v>
      </c>
      <c r="AI22" s="4">
        <v>0.92294520547945202</v>
      </c>
      <c r="AJ22" s="4">
        <v>1.0424771734815403</v>
      </c>
      <c r="AK22" s="4">
        <v>1.0022512381809996</v>
      </c>
      <c r="AM22" s="556">
        <v>45915</v>
      </c>
      <c r="AN22" s="557">
        <v>4.1950000000000003</v>
      </c>
      <c r="AO22" s="557">
        <v>1126100</v>
      </c>
      <c r="AP22" s="557">
        <v>103.18898</v>
      </c>
      <c r="AQ22" s="557">
        <v>432.87777110000002</v>
      </c>
      <c r="AR22" s="557">
        <v>2.0657000000000001</v>
      </c>
    </row>
    <row r="23" spans="2:44">
      <c r="B23" s="558">
        <v>45807</v>
      </c>
      <c r="C23" s="554">
        <v>9.6866000000000003</v>
      </c>
      <c r="D23" s="554">
        <v>8.7786000000000008</v>
      </c>
      <c r="E23" s="554">
        <v>4.6378000000000004</v>
      </c>
      <c r="F23" s="554">
        <v>6.9832000000000001</v>
      </c>
      <c r="G23" s="554">
        <v>10.332800000000001</v>
      </c>
      <c r="H23" s="554">
        <v>0</v>
      </c>
      <c r="I23" s="558">
        <v>45807</v>
      </c>
      <c r="J23" s="554">
        <v>10.154500000000001</v>
      </c>
      <c r="K23" s="554">
        <v>14.2562</v>
      </c>
      <c r="L23" s="554">
        <v>3.3915999999999999</v>
      </c>
      <c r="M23" s="554">
        <v>5.1574999999999998</v>
      </c>
      <c r="N23" s="554">
        <v>10.8193</v>
      </c>
      <c r="O23" s="554">
        <v>0</v>
      </c>
      <c r="P23" s="554"/>
      <c r="Q23" s="558">
        <v>45807</v>
      </c>
      <c r="R23" s="4">
        <v>3.7</v>
      </c>
      <c r="S23" s="4">
        <v>133515.82</v>
      </c>
      <c r="T23" s="4">
        <v>10346.75</v>
      </c>
      <c r="U23" s="4">
        <v>0.71844660194174759</v>
      </c>
      <c r="V23" s="4">
        <v>1.2319645383886799</v>
      </c>
      <c r="W23" s="4" t="e">
        <v>#DIV/0!</v>
      </c>
      <c r="Y23" s="554">
        <v>3.7</v>
      </c>
      <c r="Z23" s="4">
        <v>22.22</v>
      </c>
      <c r="AA23" s="4">
        <v>5.35</v>
      </c>
      <c r="AB23" s="4">
        <v>21.14</v>
      </c>
      <c r="AC23" s="4">
        <v>26.88</v>
      </c>
      <c r="AD23" s="4">
        <v>22.65</v>
      </c>
      <c r="AF23" s="4">
        <v>0.71844660194174759</v>
      </c>
      <c r="AG23" s="4">
        <v>1.0461393596986817</v>
      </c>
      <c r="AH23" s="4">
        <v>0.7058047493403693</v>
      </c>
      <c r="AI23" s="4">
        <v>0.90496575342465757</v>
      </c>
      <c r="AJ23" s="4">
        <v>1.0670901151250496</v>
      </c>
      <c r="AK23" s="4">
        <v>1.0198108959927958</v>
      </c>
      <c r="AM23" s="556">
        <v>45914</v>
      </c>
      <c r="AN23" s="557">
        <v>3.6850000000000001</v>
      </c>
      <c r="AO23" s="557">
        <v>234200</v>
      </c>
      <c r="AP23" s="557">
        <v>103.18898</v>
      </c>
      <c r="AQ23" s="557">
        <v>380.25139130000002</v>
      </c>
      <c r="AR23" s="557">
        <v>1.8143</v>
      </c>
    </row>
    <row r="24" spans="2:44">
      <c r="B24" s="558">
        <v>45800</v>
      </c>
      <c r="C24" s="554">
        <v>9.6652000000000005</v>
      </c>
      <c r="D24" s="554">
        <v>8.64</v>
      </c>
      <c r="E24" s="554">
        <v>4.5156000000000001</v>
      </c>
      <c r="F24" s="554">
        <v>7.0637999999999996</v>
      </c>
      <c r="G24" s="554">
        <v>10.062099999999999</v>
      </c>
      <c r="H24" s="554">
        <v>0</v>
      </c>
      <c r="I24" s="558">
        <v>45800</v>
      </c>
      <c r="J24" s="554">
        <v>9.9799000000000007</v>
      </c>
      <c r="K24" s="554">
        <v>13.9034</v>
      </c>
      <c r="L24" s="554">
        <v>3.2078000000000002</v>
      </c>
      <c r="M24" s="554">
        <v>5.2770999999999999</v>
      </c>
      <c r="N24" s="554">
        <v>10.424899999999999</v>
      </c>
      <c r="O24" s="554">
        <v>0</v>
      </c>
      <c r="P24" s="554"/>
      <c r="Q24" s="558">
        <v>45800</v>
      </c>
      <c r="R24" s="4">
        <v>3.74</v>
      </c>
      <c r="S24" s="4">
        <v>135092.99</v>
      </c>
      <c r="T24" s="4">
        <v>10346.75</v>
      </c>
      <c r="U24" s="4">
        <v>0.72621359223300974</v>
      </c>
      <c r="V24" s="4">
        <v>1.2465172521495693</v>
      </c>
      <c r="W24" s="4" t="e">
        <v>#DIV/0!</v>
      </c>
      <c r="Y24" s="554">
        <v>3.74</v>
      </c>
      <c r="Z24" s="4">
        <v>21.67</v>
      </c>
      <c r="AA24" s="4">
        <v>5.0599999999999996</v>
      </c>
      <c r="AB24" s="4">
        <v>21.63</v>
      </c>
      <c r="AC24" s="4">
        <v>25.9</v>
      </c>
      <c r="AD24" s="4">
        <v>21.62</v>
      </c>
      <c r="AF24" s="4">
        <v>0.72621359223300974</v>
      </c>
      <c r="AG24" s="4">
        <v>1.0202448210922788</v>
      </c>
      <c r="AH24" s="4">
        <v>0.66754617414248019</v>
      </c>
      <c r="AI24" s="4">
        <v>0.9259417808219178</v>
      </c>
      <c r="AJ24" s="4">
        <v>1.0281857880111154</v>
      </c>
      <c r="AK24" s="4">
        <v>0.97343538946420527</v>
      </c>
      <c r="AM24" s="556">
        <v>45913</v>
      </c>
      <c r="AN24" s="557">
        <v>3.63</v>
      </c>
      <c r="AO24" s="557">
        <v>353700</v>
      </c>
      <c r="AP24" s="557">
        <v>103.18898</v>
      </c>
      <c r="AQ24" s="557">
        <v>374.57599740000001</v>
      </c>
      <c r="AR24" s="557">
        <v>1.7896000000000001</v>
      </c>
    </row>
    <row r="25" spans="2:44">
      <c r="B25" s="558">
        <v>45793</v>
      </c>
      <c r="C25" s="554">
        <v>9.7969000000000008</v>
      </c>
      <c r="D25" s="554">
        <v>8.6677</v>
      </c>
      <c r="E25" s="554">
        <v>4.5408999999999997</v>
      </c>
      <c r="F25" s="554">
        <v>6.9634999999999998</v>
      </c>
      <c r="G25" s="554">
        <v>10.1173</v>
      </c>
      <c r="H25" s="554">
        <v>0</v>
      </c>
      <c r="I25" s="558">
        <v>45793</v>
      </c>
      <c r="J25" s="554">
        <v>11.0565</v>
      </c>
      <c r="K25" s="554">
        <v>13.9739</v>
      </c>
      <c r="L25" s="554">
        <v>3.2458</v>
      </c>
      <c r="M25" s="554">
        <v>5.1283000000000003</v>
      </c>
      <c r="N25" s="554">
        <v>10.5054</v>
      </c>
      <c r="O25" s="554">
        <v>0</v>
      </c>
      <c r="P25" s="554"/>
      <c r="Q25" s="558">
        <v>45793</v>
      </c>
      <c r="R25" s="4">
        <v>3.56</v>
      </c>
      <c r="S25" s="4">
        <v>130464.38</v>
      </c>
      <c r="T25" s="4">
        <v>10346.75</v>
      </c>
      <c r="U25" s="4">
        <v>0.6912621359223301</v>
      </c>
      <c r="V25" s="4">
        <v>1.2038085800084612</v>
      </c>
      <c r="W25" s="4" t="e">
        <v>#DIV/0!</v>
      </c>
      <c r="Y25" s="554">
        <v>3.56</v>
      </c>
      <c r="Z25" s="4">
        <v>21.78</v>
      </c>
      <c r="AA25" s="4">
        <v>5.12</v>
      </c>
      <c r="AB25" s="4">
        <v>21.02</v>
      </c>
      <c r="AC25" s="4">
        <v>26.1</v>
      </c>
      <c r="AD25" s="4">
        <v>21.9</v>
      </c>
      <c r="AF25" s="4">
        <v>0.6912621359223301</v>
      </c>
      <c r="AG25" s="4">
        <v>1.0254237288135595</v>
      </c>
      <c r="AH25" s="4">
        <v>0.67546174142480209</v>
      </c>
      <c r="AI25" s="4">
        <v>0.89982876712328763</v>
      </c>
      <c r="AJ25" s="4">
        <v>1.0361254466057959</v>
      </c>
      <c r="AK25" s="4">
        <v>0.98604232327780272</v>
      </c>
      <c r="AM25" s="556">
        <v>45912</v>
      </c>
      <c r="AN25" s="557">
        <v>3.5550000000000002</v>
      </c>
      <c r="AO25" s="557">
        <v>428000</v>
      </c>
      <c r="AP25" s="557">
        <v>103.18898</v>
      </c>
      <c r="AQ25" s="557">
        <v>366.83682390000001</v>
      </c>
      <c r="AR25" s="557">
        <v>1.7551000000000001</v>
      </c>
    </row>
    <row r="26" spans="2:44">
      <c r="B26" s="558">
        <v>45786</v>
      </c>
      <c r="C26" s="554">
        <v>9.6936999999999998</v>
      </c>
      <c r="D26" s="554">
        <v>8.5795999999999992</v>
      </c>
      <c r="E26" s="554">
        <v>4.4861000000000004</v>
      </c>
      <c r="F26" s="554">
        <v>6.9191000000000003</v>
      </c>
      <c r="G26" s="554">
        <v>9.9984999999999999</v>
      </c>
      <c r="H26" s="554">
        <v>0</v>
      </c>
      <c r="I26" s="558">
        <v>45786</v>
      </c>
      <c r="J26" s="554">
        <v>10.2127</v>
      </c>
      <c r="K26" s="554">
        <v>13.7494</v>
      </c>
      <c r="L26" s="554">
        <v>3.1634000000000002</v>
      </c>
      <c r="M26" s="554">
        <v>5.0624000000000002</v>
      </c>
      <c r="N26" s="554">
        <v>10.3323</v>
      </c>
      <c r="O26" s="554">
        <v>0</v>
      </c>
      <c r="P26" s="554"/>
      <c r="Q26" s="558">
        <v>45786</v>
      </c>
      <c r="R26" s="4">
        <v>3.53</v>
      </c>
      <c r="S26" s="4">
        <v>129245.39</v>
      </c>
      <c r="T26" s="4">
        <v>10346.75</v>
      </c>
      <c r="U26" s="4">
        <v>0.68543689320388346</v>
      </c>
      <c r="V26" s="4">
        <v>1.1925608308454749</v>
      </c>
      <c r="W26" s="4" t="e">
        <v>#DIV/0!</v>
      </c>
      <c r="Y26" s="554">
        <v>3.53</v>
      </c>
      <c r="Z26" s="4">
        <v>21.43</v>
      </c>
      <c r="AA26" s="4">
        <v>4.99</v>
      </c>
      <c r="AB26" s="4">
        <v>20.75</v>
      </c>
      <c r="AC26" s="4">
        <v>25.67</v>
      </c>
      <c r="AD26" s="4">
        <v>20.76</v>
      </c>
      <c r="AF26" s="4">
        <v>0.68543689320388346</v>
      </c>
      <c r="AG26" s="4">
        <v>1.0089453860640303</v>
      </c>
      <c r="AH26" s="4">
        <v>0.65831134564643801</v>
      </c>
      <c r="AI26" s="4">
        <v>0.88827054794520555</v>
      </c>
      <c r="AJ26" s="4">
        <v>1.019055180627233</v>
      </c>
      <c r="AK26" s="4">
        <v>0.93471409275101314</v>
      </c>
      <c r="AM26" s="556">
        <v>45911</v>
      </c>
      <c r="AN26" s="557">
        <v>3.79</v>
      </c>
      <c r="AO26" s="557">
        <v>403100</v>
      </c>
      <c r="AP26" s="557">
        <v>103.18898</v>
      </c>
      <c r="AQ26" s="557">
        <v>391.08623419999998</v>
      </c>
      <c r="AR26" s="557">
        <v>1.8635999999999999</v>
      </c>
    </row>
    <row r="27" spans="2:44">
      <c r="B27" s="558">
        <v>45779</v>
      </c>
      <c r="C27" s="554">
        <v>9.7827000000000002</v>
      </c>
      <c r="D27" s="554">
        <v>8.6097999999999999</v>
      </c>
      <c r="E27" s="554">
        <v>4.4903000000000004</v>
      </c>
      <c r="F27" s="554">
        <v>7.0045999999999999</v>
      </c>
      <c r="G27" s="554">
        <v>10.084199999999999</v>
      </c>
      <c r="H27" s="554">
        <v>0</v>
      </c>
      <c r="I27" s="558">
        <v>45779</v>
      </c>
      <c r="J27" s="554">
        <v>10.940099999999999</v>
      </c>
      <c r="K27" s="554">
        <v>13.8264</v>
      </c>
      <c r="L27" s="554">
        <v>3.1697000000000002</v>
      </c>
      <c r="M27" s="554">
        <v>5.1891999999999996</v>
      </c>
      <c r="N27" s="554">
        <v>10.457100000000001</v>
      </c>
      <c r="O27" s="554">
        <v>0</v>
      </c>
      <c r="P27" s="554"/>
      <c r="Q27" s="558">
        <v>45779</v>
      </c>
      <c r="R27" s="4">
        <v>3.49</v>
      </c>
      <c r="S27" s="4">
        <v>123931.89</v>
      </c>
      <c r="T27" s="4">
        <v>10346.75</v>
      </c>
      <c r="U27" s="4">
        <v>0.6776699029126213</v>
      </c>
      <c r="V27" s="4">
        <v>1.1435326065142442</v>
      </c>
      <c r="W27" s="4" t="e">
        <v>#DIV/0!</v>
      </c>
      <c r="Y27" s="554">
        <v>3.49</v>
      </c>
      <c r="Z27" s="4">
        <v>21.55</v>
      </c>
      <c r="AA27" s="4">
        <v>5</v>
      </c>
      <c r="AB27" s="4">
        <v>21.27</v>
      </c>
      <c r="AC27" s="4">
        <v>25.98</v>
      </c>
      <c r="AD27" s="4">
        <v>20.91</v>
      </c>
      <c r="AF27" s="4">
        <v>0.6776699029126213</v>
      </c>
      <c r="AG27" s="4">
        <v>1.0145951035781546</v>
      </c>
      <c r="AH27" s="4">
        <v>0.65963060686015829</v>
      </c>
      <c r="AI27" s="4">
        <v>0.91053082191780821</v>
      </c>
      <c r="AJ27" s="4">
        <v>1.0313616514489876</v>
      </c>
      <c r="AK27" s="4">
        <v>0.94146780729401169</v>
      </c>
      <c r="AM27" s="556">
        <v>45910</v>
      </c>
      <c r="AN27" s="557">
        <v>3.6749999999999998</v>
      </c>
      <c r="AO27" s="557">
        <v>87800</v>
      </c>
      <c r="AP27" s="557">
        <v>103.18898</v>
      </c>
      <c r="AQ27" s="557">
        <v>379.21950149999998</v>
      </c>
      <c r="AR27" s="557">
        <v>1.8241000000000001</v>
      </c>
    </row>
    <row r="28" spans="2:44">
      <c r="B28" s="558">
        <v>45772</v>
      </c>
      <c r="C28" s="554">
        <v>9.7790999999999997</v>
      </c>
      <c r="D28" s="554">
        <v>8.5015000000000001</v>
      </c>
      <c r="E28" s="554">
        <v>4.5156000000000001</v>
      </c>
      <c r="F28" s="554">
        <v>6.7973999999999997</v>
      </c>
      <c r="G28" s="554">
        <v>9.9515999999999991</v>
      </c>
      <c r="H28" s="554">
        <v>0</v>
      </c>
      <c r="I28" s="558">
        <v>45772</v>
      </c>
      <c r="J28" s="554">
        <v>10.911</v>
      </c>
      <c r="K28" s="554">
        <v>13.5505</v>
      </c>
      <c r="L28" s="554">
        <v>3.2078000000000002</v>
      </c>
      <c r="M28" s="554">
        <v>4.8818000000000001</v>
      </c>
      <c r="N28" s="554">
        <v>10.2639</v>
      </c>
      <c r="O28" s="554">
        <v>0</v>
      </c>
      <c r="P28" s="554"/>
      <c r="Q28" s="558">
        <v>45772</v>
      </c>
      <c r="R28" s="4">
        <v>3.42</v>
      </c>
      <c r="S28" s="4">
        <v>131147.29</v>
      </c>
      <c r="T28" s="4">
        <v>10346.75</v>
      </c>
      <c r="U28" s="4">
        <v>0.66407766990291262</v>
      </c>
      <c r="V28" s="4">
        <v>1.2101098625299709</v>
      </c>
      <c r="W28" s="4" t="e">
        <v>#DIV/0!</v>
      </c>
      <c r="Y28" s="554">
        <v>3.42</v>
      </c>
      <c r="Z28" s="4">
        <v>21.12</v>
      </c>
      <c r="AA28" s="4">
        <v>5.0599999999999996</v>
      </c>
      <c r="AB28" s="4">
        <v>20.010000000000002</v>
      </c>
      <c r="AC28" s="4">
        <v>25.5</v>
      </c>
      <c r="AD28" s="4">
        <v>20.239999999999998</v>
      </c>
      <c r="AF28" s="4">
        <v>0.66407766990291262</v>
      </c>
      <c r="AG28" s="4">
        <v>0.99435028248587587</v>
      </c>
      <c r="AH28" s="4">
        <v>0.66754617414248019</v>
      </c>
      <c r="AI28" s="4">
        <v>0.85659246575342474</v>
      </c>
      <c r="AJ28" s="4">
        <v>1.0123064708217546</v>
      </c>
      <c r="AK28" s="4">
        <v>0.91130121566861766</v>
      </c>
      <c r="AM28" s="556">
        <v>45909</v>
      </c>
      <c r="AN28" s="557">
        <v>3.6749999999999998</v>
      </c>
      <c r="AO28" s="557">
        <v>87800</v>
      </c>
      <c r="AP28" s="557">
        <v>103.18898</v>
      </c>
      <c r="AQ28" s="557">
        <v>379.21950149999998</v>
      </c>
      <c r="AR28" s="557">
        <v>1.8241000000000001</v>
      </c>
    </row>
    <row r="29" spans="2:44">
      <c r="B29" s="558">
        <v>45765</v>
      </c>
      <c r="C29" s="554">
        <v>9.7506000000000004</v>
      </c>
      <c r="D29" s="554">
        <v>8.1563999999999997</v>
      </c>
      <c r="E29" s="554">
        <v>4.1492000000000004</v>
      </c>
      <c r="F29" s="554">
        <v>6.5952000000000002</v>
      </c>
      <c r="G29" s="554">
        <v>9.4819999999999993</v>
      </c>
      <c r="H29" s="554">
        <v>0</v>
      </c>
      <c r="I29" s="558">
        <v>45765</v>
      </c>
      <c r="J29" s="554">
        <v>10.6782</v>
      </c>
      <c r="K29" s="554">
        <v>12.6715</v>
      </c>
      <c r="L29" s="554">
        <v>2.6562000000000001</v>
      </c>
      <c r="M29" s="554">
        <v>4.5818000000000003</v>
      </c>
      <c r="N29" s="554">
        <v>9.5795999999999992</v>
      </c>
      <c r="O29" s="554">
        <v>0</v>
      </c>
      <c r="P29" s="554"/>
      <c r="Q29" s="558">
        <v>45765</v>
      </c>
      <c r="R29" s="4">
        <v>3.33</v>
      </c>
      <c r="S29" s="4">
        <v>132067.69</v>
      </c>
      <c r="T29" s="4">
        <v>10346.75</v>
      </c>
      <c r="U29" s="4">
        <v>0.64660194174757279</v>
      </c>
      <c r="V29" s="4">
        <v>1.2186024903034656</v>
      </c>
      <c r="W29" s="4" t="e">
        <v>#DIV/0!</v>
      </c>
      <c r="Y29" s="554">
        <v>3.33</v>
      </c>
      <c r="Z29" s="4">
        <v>19.75</v>
      </c>
      <c r="AA29" s="4">
        <v>4.1900000000000004</v>
      </c>
      <c r="AB29" s="4">
        <v>18.78</v>
      </c>
      <c r="AC29" s="4">
        <v>23.8</v>
      </c>
      <c r="AD29" s="4">
        <v>19</v>
      </c>
      <c r="AF29" s="4">
        <v>0.64660194174757279</v>
      </c>
      <c r="AG29" s="4">
        <v>0.92984934086629012</v>
      </c>
      <c r="AH29" s="4">
        <v>0.55277044854881274</v>
      </c>
      <c r="AI29" s="4">
        <v>0.80393835616438358</v>
      </c>
      <c r="AJ29" s="4">
        <v>0.94481937276697103</v>
      </c>
      <c r="AK29" s="4">
        <v>0.85547050877982889</v>
      </c>
      <c r="AM29" s="556">
        <v>45908</v>
      </c>
      <c r="AN29" s="557">
        <v>3.6749999999999998</v>
      </c>
      <c r="AO29" s="557">
        <v>87800</v>
      </c>
      <c r="AP29" s="557">
        <v>103.18898</v>
      </c>
      <c r="AQ29" s="557">
        <v>379.21950149999998</v>
      </c>
      <c r="AR29" s="557">
        <v>1.8241000000000001</v>
      </c>
    </row>
    <row r="30" spans="2:44">
      <c r="B30" s="558">
        <v>45758</v>
      </c>
      <c r="C30" s="554">
        <v>9.7506000000000004</v>
      </c>
      <c r="D30" s="554">
        <v>8.1563999999999997</v>
      </c>
      <c r="E30" s="554">
        <v>4.1492000000000004</v>
      </c>
      <c r="F30" s="554">
        <v>6.5952000000000002</v>
      </c>
      <c r="G30" s="554">
        <v>9.4819999999999993</v>
      </c>
      <c r="H30" s="554">
        <v>0</v>
      </c>
      <c r="I30" s="558">
        <v>45758</v>
      </c>
      <c r="J30" s="554">
        <v>10.6782</v>
      </c>
      <c r="K30" s="554">
        <v>12.6715</v>
      </c>
      <c r="L30" s="554">
        <v>2.6562000000000001</v>
      </c>
      <c r="M30" s="554">
        <v>4.5818000000000003</v>
      </c>
      <c r="N30" s="554">
        <v>9.5795999999999992</v>
      </c>
      <c r="O30" s="554">
        <v>0</v>
      </c>
      <c r="P30" s="554"/>
      <c r="Q30" s="558">
        <v>45758</v>
      </c>
      <c r="R30" s="4">
        <v>3.16</v>
      </c>
      <c r="S30" s="4">
        <v>131474.73000000001</v>
      </c>
      <c r="T30" s="4">
        <v>10346.75</v>
      </c>
      <c r="U30" s="4">
        <v>0.61359223300970878</v>
      </c>
      <c r="V30" s="4">
        <v>1.213131185909103</v>
      </c>
      <c r="W30" s="4" t="e">
        <v>#DIV/0!</v>
      </c>
      <c r="Y30" s="554">
        <v>3.16</v>
      </c>
      <c r="Z30" s="4">
        <v>19.75</v>
      </c>
      <c r="AA30" s="4">
        <v>4.1900000000000004</v>
      </c>
      <c r="AB30" s="4">
        <v>18.78</v>
      </c>
      <c r="AC30" s="4">
        <v>23.8</v>
      </c>
      <c r="AD30" s="4">
        <v>19</v>
      </c>
      <c r="AF30" s="4">
        <v>0.61359223300970878</v>
      </c>
      <c r="AG30" s="4">
        <v>0.92984934086629012</v>
      </c>
      <c r="AH30" s="4">
        <v>0.55277044854881274</v>
      </c>
      <c r="AI30" s="4">
        <v>0.80393835616438358</v>
      </c>
      <c r="AJ30" s="4">
        <v>0.94481937276697103</v>
      </c>
      <c r="AK30" s="4">
        <v>0.85547050877982889</v>
      </c>
      <c r="AM30" s="556">
        <v>45907</v>
      </c>
      <c r="AN30" s="557">
        <v>3.6549999999999998</v>
      </c>
      <c r="AO30" s="557">
        <v>169100</v>
      </c>
      <c r="AP30" s="557">
        <v>103.18898</v>
      </c>
      <c r="AQ30" s="557">
        <v>377.1557219</v>
      </c>
      <c r="AR30" s="557">
        <v>1.7896000000000001</v>
      </c>
    </row>
    <row r="31" spans="2:44">
      <c r="B31" s="558">
        <v>45751</v>
      </c>
      <c r="C31" s="554">
        <v>9.6616999999999997</v>
      </c>
      <c r="D31" s="554">
        <v>8.0757999999999992</v>
      </c>
      <c r="E31" s="554">
        <v>4.1113</v>
      </c>
      <c r="F31" s="554">
        <v>6.4471999999999996</v>
      </c>
      <c r="G31" s="554">
        <v>9.2003000000000004</v>
      </c>
      <c r="H31" s="554">
        <v>0</v>
      </c>
      <c r="I31" s="558">
        <v>45751</v>
      </c>
      <c r="J31" s="554">
        <v>9.9507999999999992</v>
      </c>
      <c r="K31" s="554">
        <v>12.466200000000001</v>
      </c>
      <c r="L31" s="554">
        <v>2.5992000000000002</v>
      </c>
      <c r="M31" s="554">
        <v>4.3621999999999996</v>
      </c>
      <c r="N31" s="554">
        <v>9.1691000000000003</v>
      </c>
      <c r="O31" s="554">
        <v>0</v>
      </c>
      <c r="P31" s="554"/>
      <c r="Q31" s="558">
        <v>45751</v>
      </c>
      <c r="R31" s="4">
        <v>2.81</v>
      </c>
      <c r="S31" s="4">
        <v>123507.35</v>
      </c>
      <c r="T31" s="4">
        <v>10346.75</v>
      </c>
      <c r="U31" s="4">
        <v>0.54563106796116501</v>
      </c>
      <c r="V31" s="4">
        <v>1.1396153312046402</v>
      </c>
      <c r="W31" s="4" t="e">
        <v>#DIV/0!</v>
      </c>
      <c r="Y31" s="554">
        <v>2.81</v>
      </c>
      <c r="Z31" s="4">
        <v>19.43</v>
      </c>
      <c r="AA31" s="4">
        <v>4.0999999999999996</v>
      </c>
      <c r="AB31" s="4">
        <v>17.88</v>
      </c>
      <c r="AC31" s="4">
        <v>22.78</v>
      </c>
      <c r="AD31" s="4">
        <v>18.53</v>
      </c>
      <c r="AF31" s="4">
        <v>0.54563106796116501</v>
      </c>
      <c r="AG31" s="4">
        <v>0.91478342749529196</v>
      </c>
      <c r="AH31" s="4">
        <v>0.54089709762532978</v>
      </c>
      <c r="AI31" s="4">
        <v>0.7654109589041096</v>
      </c>
      <c r="AJ31" s="4">
        <v>0.90432711393410081</v>
      </c>
      <c r="AK31" s="4">
        <v>0.83430886987843311</v>
      </c>
      <c r="AM31" s="556">
        <v>45906</v>
      </c>
      <c r="AN31" s="557">
        <v>3.645</v>
      </c>
      <c r="AO31" s="557">
        <v>100300</v>
      </c>
      <c r="AP31" s="557">
        <v>103.18898</v>
      </c>
      <c r="AQ31" s="557">
        <v>376.12383210000002</v>
      </c>
      <c r="AR31" s="557">
        <v>1.7946</v>
      </c>
    </row>
    <row r="32" spans="2:44">
      <c r="B32" s="558">
        <v>45744</v>
      </c>
      <c r="C32" s="554">
        <v>9.52</v>
      </c>
      <c r="D32" s="554">
        <v>8.9329000000000001</v>
      </c>
      <c r="E32" s="554">
        <v>4.9957000000000003</v>
      </c>
      <c r="F32" s="554">
        <v>7.0208000000000004</v>
      </c>
      <c r="G32" s="554">
        <v>9.2505000000000006</v>
      </c>
      <c r="H32" s="554">
        <v>0</v>
      </c>
      <c r="I32" s="558">
        <v>45744</v>
      </c>
      <c r="J32" s="554">
        <v>7.5152999999999999</v>
      </c>
      <c r="K32" s="554">
        <v>15.6196</v>
      </c>
      <c r="L32" s="554">
        <v>3.2704</v>
      </c>
      <c r="M32" s="554">
        <v>5.0045999999999999</v>
      </c>
      <c r="N32" s="554">
        <v>9.2332999999999998</v>
      </c>
      <c r="O32" s="554">
        <v>0</v>
      </c>
      <c r="P32" s="554"/>
      <c r="Q32" s="558">
        <v>45744</v>
      </c>
      <c r="R32" s="4">
        <v>2.85</v>
      </c>
      <c r="S32" s="4">
        <v>125979.5</v>
      </c>
      <c r="T32" s="4">
        <v>10346.75</v>
      </c>
      <c r="U32" s="4">
        <v>0.55339805825242716</v>
      </c>
      <c r="V32" s="4">
        <v>1.1624261197207693</v>
      </c>
      <c r="W32" s="4" t="e">
        <v>#DIV/0!</v>
      </c>
      <c r="Y32" s="554">
        <v>2.85</v>
      </c>
      <c r="Z32" s="4">
        <v>19.239999999999998</v>
      </c>
      <c r="AA32" s="4">
        <v>4.13</v>
      </c>
      <c r="AB32" s="4">
        <v>18.3</v>
      </c>
      <c r="AC32" s="4">
        <v>22.76</v>
      </c>
      <c r="AD32" s="4">
        <v>18.670000000000002</v>
      </c>
      <c r="AF32" s="4">
        <v>0.55339805825242716</v>
      </c>
      <c r="AG32" s="4">
        <v>0.90583804143126179</v>
      </c>
      <c r="AH32" s="4">
        <v>0.54485488126649073</v>
      </c>
      <c r="AI32" s="4">
        <v>0.78339041095890416</v>
      </c>
      <c r="AJ32" s="4">
        <v>0.90353314807463281</v>
      </c>
      <c r="AK32" s="4">
        <v>0.84061233678523195</v>
      </c>
      <c r="AM32" s="556">
        <v>45905</v>
      </c>
      <c r="AN32" s="557">
        <v>3.7149999999999999</v>
      </c>
      <c r="AO32" s="557">
        <v>458600</v>
      </c>
      <c r="AP32" s="557">
        <v>103.18898</v>
      </c>
      <c r="AQ32" s="557">
        <v>383.34706069999999</v>
      </c>
      <c r="AR32" s="557">
        <v>1.8340000000000001</v>
      </c>
    </row>
    <row r="33" spans="2:44">
      <c r="B33" s="558">
        <v>45737</v>
      </c>
      <c r="C33" s="554">
        <v>9.4446999999999992</v>
      </c>
      <c r="D33" s="554">
        <v>9.0473999999999997</v>
      </c>
      <c r="E33" s="554">
        <v>4.8734999999999999</v>
      </c>
      <c r="F33" s="554">
        <v>6.9901</v>
      </c>
      <c r="G33" s="554">
        <v>9.3588000000000005</v>
      </c>
      <c r="H33" s="554">
        <v>0</v>
      </c>
      <c r="I33" s="558">
        <v>45737</v>
      </c>
      <c r="J33" s="554">
        <v>7.0605000000000002</v>
      </c>
      <c r="K33" s="554">
        <v>15.960599999999999</v>
      </c>
      <c r="L33" s="554">
        <v>3.0882999999999998</v>
      </c>
      <c r="M33" s="554">
        <v>4.9581</v>
      </c>
      <c r="N33" s="554">
        <v>9.3915000000000006</v>
      </c>
      <c r="O33" s="554">
        <v>0</v>
      </c>
      <c r="P33" s="554"/>
      <c r="Q33" s="558">
        <v>45737</v>
      </c>
      <c r="R33" s="4">
        <v>2.85</v>
      </c>
      <c r="S33" s="4">
        <v>125979.5</v>
      </c>
      <c r="T33" s="4">
        <v>10346.75</v>
      </c>
      <c r="U33" s="4">
        <v>0.55339805825242716</v>
      </c>
      <c r="V33" s="4">
        <v>1.1624261197207693</v>
      </c>
      <c r="W33" s="4" t="e">
        <v>#DIV/0!</v>
      </c>
      <c r="Y33" s="554">
        <v>2.85</v>
      </c>
      <c r="Z33" s="4">
        <v>19.66</v>
      </c>
      <c r="AA33" s="4">
        <v>3.9</v>
      </c>
      <c r="AB33" s="4">
        <v>18.13</v>
      </c>
      <c r="AC33" s="4">
        <v>23.15</v>
      </c>
      <c r="AD33" s="4">
        <v>18.96</v>
      </c>
      <c r="AF33" s="4">
        <v>0.55339805825242716</v>
      </c>
      <c r="AG33" s="4">
        <v>0.92561205273069691</v>
      </c>
      <c r="AH33" s="4">
        <v>0.51451187335092352</v>
      </c>
      <c r="AI33" s="4">
        <v>0.77611301369863006</v>
      </c>
      <c r="AJ33" s="4">
        <v>0.91901548233425956</v>
      </c>
      <c r="AK33" s="4">
        <v>0.85366951823502923</v>
      </c>
      <c r="AM33" s="556">
        <v>45904</v>
      </c>
      <c r="AN33" s="557">
        <v>3.65</v>
      </c>
      <c r="AO33" s="557">
        <v>271700</v>
      </c>
      <c r="AP33" s="557">
        <v>103.18898</v>
      </c>
      <c r="AQ33" s="557">
        <v>376.63977699999998</v>
      </c>
      <c r="AR33" s="557">
        <v>1.7946</v>
      </c>
    </row>
    <row r="34" spans="2:44">
      <c r="B34" s="558">
        <v>45730</v>
      </c>
      <c r="C34" s="554">
        <v>9.3513999999999999</v>
      </c>
      <c r="D34" s="554">
        <v>8.8894000000000002</v>
      </c>
      <c r="E34" s="554">
        <v>4.8681999999999999</v>
      </c>
      <c r="F34" s="554">
        <v>6.9756</v>
      </c>
      <c r="G34" s="554">
        <v>9.3665000000000003</v>
      </c>
      <c r="H34" s="554">
        <v>0</v>
      </c>
      <c r="I34" s="558">
        <v>45730</v>
      </c>
      <c r="J34" s="554">
        <v>6.4973999999999998</v>
      </c>
      <c r="K34" s="554">
        <v>15.489699999999999</v>
      </c>
      <c r="L34" s="554">
        <v>3.0802999999999998</v>
      </c>
      <c r="M34" s="554">
        <v>4.9362000000000004</v>
      </c>
      <c r="N34" s="554">
        <v>9.2942</v>
      </c>
      <c r="O34" s="554">
        <v>0</v>
      </c>
      <c r="P34" s="554"/>
      <c r="Q34" s="558">
        <v>45730</v>
      </c>
      <c r="R34" s="4">
        <v>3.23</v>
      </c>
      <c r="S34" s="4">
        <v>128531.71</v>
      </c>
      <c r="T34" s="4">
        <v>10346.75</v>
      </c>
      <c r="U34" s="4">
        <v>0.62718446601941746</v>
      </c>
      <c r="V34" s="4">
        <v>1.1859756302920332</v>
      </c>
      <c r="W34" s="4" t="e">
        <v>#DIV/0!</v>
      </c>
      <c r="Y34" s="554">
        <v>3.23</v>
      </c>
      <c r="Z34" s="4">
        <v>19.079999999999998</v>
      </c>
      <c r="AA34" s="4">
        <v>3.89</v>
      </c>
      <c r="AB34" s="4">
        <v>18.05</v>
      </c>
      <c r="AC34" s="4">
        <v>22.91</v>
      </c>
      <c r="AD34" s="4">
        <v>18.77</v>
      </c>
      <c r="AF34" s="4">
        <v>0.62718446601941746</v>
      </c>
      <c r="AG34" s="4">
        <v>0.89830508474576265</v>
      </c>
      <c r="AH34" s="4">
        <v>0.51319261213720313</v>
      </c>
      <c r="AI34" s="4">
        <v>0.77268835616438358</v>
      </c>
      <c r="AJ34" s="4">
        <v>0.90948789202064306</v>
      </c>
      <c r="AK34" s="4">
        <v>0.84511481314723091</v>
      </c>
      <c r="AM34" s="556">
        <v>45903</v>
      </c>
      <c r="AN34" s="557">
        <v>3.5950000000000002</v>
      </c>
      <c r="AO34" s="557">
        <v>256600</v>
      </c>
      <c r="AP34" s="557">
        <v>103.18898</v>
      </c>
      <c r="AQ34" s="557">
        <v>370.96438310000002</v>
      </c>
      <c r="AR34" s="557">
        <v>1.7798</v>
      </c>
    </row>
    <row r="35" spans="2:44">
      <c r="B35" s="558">
        <v>45723</v>
      </c>
      <c r="C35" s="554">
        <v>9.2401999999999997</v>
      </c>
      <c r="D35" s="554">
        <v>8.6905000000000001</v>
      </c>
      <c r="E35" s="554">
        <v>4.8098000000000001</v>
      </c>
      <c r="F35" s="554">
        <v>6.8529</v>
      </c>
      <c r="G35" s="554">
        <v>8.9956999999999994</v>
      </c>
      <c r="H35" s="554">
        <v>0</v>
      </c>
      <c r="I35" s="558">
        <v>45723</v>
      </c>
      <c r="J35" s="554">
        <v>5.8259999999999996</v>
      </c>
      <c r="K35" s="554">
        <v>14.8971</v>
      </c>
      <c r="L35" s="554">
        <v>2.9931999999999999</v>
      </c>
      <c r="M35" s="554">
        <v>4.7503000000000002</v>
      </c>
      <c r="N35" s="554">
        <v>8.7586999999999993</v>
      </c>
      <c r="O35" s="554">
        <v>0</v>
      </c>
      <c r="P35" s="554"/>
      <c r="Q35" s="558">
        <v>45723</v>
      </c>
      <c r="R35" s="4">
        <v>3.03</v>
      </c>
      <c r="S35" s="4">
        <v>126521.66</v>
      </c>
      <c r="T35" s="4">
        <v>10346.75</v>
      </c>
      <c r="U35" s="4">
        <v>0.58834951456310669</v>
      </c>
      <c r="V35" s="4">
        <v>1.1674286871628359</v>
      </c>
      <c r="W35" s="4" t="e">
        <v>#DIV/0!</v>
      </c>
      <c r="Y35" s="554">
        <v>3.03</v>
      </c>
      <c r="Z35" s="4">
        <v>18.350000000000001</v>
      </c>
      <c r="AA35" s="4">
        <v>3.78</v>
      </c>
      <c r="AB35" s="4">
        <v>17.37</v>
      </c>
      <c r="AC35" s="4">
        <v>21.59</v>
      </c>
      <c r="AD35" s="4">
        <v>18.02</v>
      </c>
      <c r="AF35" s="4">
        <v>0.58834951456310669</v>
      </c>
      <c r="AG35" s="4">
        <v>0.86393596986817334</v>
      </c>
      <c r="AH35" s="4">
        <v>0.49868073878627966</v>
      </c>
      <c r="AI35" s="4">
        <v>0.74357876712328774</v>
      </c>
      <c r="AJ35" s="4">
        <v>0.85708614529575222</v>
      </c>
      <c r="AK35" s="4">
        <v>0.81134624043223769</v>
      </c>
      <c r="AM35" s="556">
        <v>45902</v>
      </c>
      <c r="AN35" s="557">
        <v>3.5950000000000002</v>
      </c>
      <c r="AO35" s="557">
        <v>256600</v>
      </c>
      <c r="AP35" s="557">
        <v>103.18898</v>
      </c>
      <c r="AQ35" s="557">
        <v>370.96438310000002</v>
      </c>
      <c r="AR35" s="557">
        <v>1.7798</v>
      </c>
    </row>
    <row r="36" spans="2:44">
      <c r="B36" s="558">
        <v>45716</v>
      </c>
      <c r="C36" s="554">
        <v>9.2581000000000007</v>
      </c>
      <c r="D36" s="554">
        <v>8.6196000000000002</v>
      </c>
      <c r="E36" s="554">
        <v>4.6929999999999996</v>
      </c>
      <c r="F36" s="554">
        <v>7.0225999999999997</v>
      </c>
      <c r="G36" s="554">
        <v>8.8160000000000007</v>
      </c>
      <c r="H36" s="554">
        <v>0</v>
      </c>
      <c r="I36" s="558">
        <v>45716</v>
      </c>
      <c r="J36" s="554">
        <v>5.9343000000000004</v>
      </c>
      <c r="K36" s="554">
        <v>14.686</v>
      </c>
      <c r="L36" s="554">
        <v>2.819</v>
      </c>
      <c r="M36" s="554">
        <v>5.0072999999999999</v>
      </c>
      <c r="N36" s="554">
        <v>8.4990000000000006</v>
      </c>
      <c r="O36" s="554">
        <v>0</v>
      </c>
      <c r="P36" s="554"/>
      <c r="Q36" s="558">
        <v>45716</v>
      </c>
      <c r="R36" s="4">
        <v>3.25</v>
      </c>
      <c r="S36" s="4">
        <v>125147.42</v>
      </c>
      <c r="T36" s="4">
        <v>10346.75</v>
      </c>
      <c r="U36" s="4">
        <v>0.63106796116504849</v>
      </c>
      <c r="V36" s="4">
        <v>1.154748429892684</v>
      </c>
      <c r="W36" s="4" t="e">
        <v>#DIV/0!</v>
      </c>
      <c r="Y36" s="554">
        <v>3.25</v>
      </c>
      <c r="Z36" s="4">
        <v>18.09</v>
      </c>
      <c r="AA36" s="4">
        <v>3.56</v>
      </c>
      <c r="AB36" s="4">
        <v>18.309999999999999</v>
      </c>
      <c r="AC36" s="4">
        <v>20.95</v>
      </c>
      <c r="AD36" s="4">
        <v>17.66</v>
      </c>
      <c r="AF36" s="4">
        <v>0.63106796116504849</v>
      </c>
      <c r="AG36" s="4">
        <v>0.85169491525423735</v>
      </c>
      <c r="AH36" s="4">
        <v>0.46965699208443273</v>
      </c>
      <c r="AI36" s="4">
        <v>0.78381849315068486</v>
      </c>
      <c r="AJ36" s="4">
        <v>0.83167923779277486</v>
      </c>
      <c r="AK36" s="4">
        <v>0.79513732552904093</v>
      </c>
      <c r="AM36" s="556">
        <v>45901</v>
      </c>
      <c r="AN36" s="557">
        <v>3.5950000000000002</v>
      </c>
      <c r="AO36" s="557">
        <v>256600</v>
      </c>
      <c r="AP36" s="557">
        <v>103.18898</v>
      </c>
      <c r="AQ36" s="557">
        <v>370.96438310000002</v>
      </c>
      <c r="AR36" s="557">
        <v>1.7798</v>
      </c>
    </row>
    <row r="37" spans="2:44">
      <c r="B37" s="558">
        <v>45709</v>
      </c>
      <c r="C37" s="554">
        <v>9.3370999999999995</v>
      </c>
      <c r="D37" s="554">
        <v>8.9110999999999994</v>
      </c>
      <c r="E37" s="554">
        <v>4.8417000000000003</v>
      </c>
      <c r="F37" s="554">
        <v>7.1219000000000001</v>
      </c>
      <c r="G37" s="554">
        <v>9.1643000000000008</v>
      </c>
      <c r="H37" s="554">
        <v>0</v>
      </c>
      <c r="I37" s="558">
        <v>45709</v>
      </c>
      <c r="J37" s="554">
        <v>6.4107000000000003</v>
      </c>
      <c r="K37" s="554">
        <v>15.5547</v>
      </c>
      <c r="L37" s="554">
        <v>3.0407000000000002</v>
      </c>
      <c r="M37" s="554">
        <v>5.1577999999999999</v>
      </c>
      <c r="N37" s="554">
        <v>9.0021000000000004</v>
      </c>
      <c r="O37" s="554">
        <v>0</v>
      </c>
      <c r="P37" s="554"/>
      <c r="Q37" s="558">
        <v>45709</v>
      </c>
      <c r="R37" s="4">
        <v>3.04</v>
      </c>
      <c r="S37" s="4">
        <v>124055.5</v>
      </c>
      <c r="T37" s="4">
        <v>10346.75</v>
      </c>
      <c r="U37" s="4">
        <v>0.59029126213592231</v>
      </c>
      <c r="V37" s="4">
        <v>1.144673169007814</v>
      </c>
      <c r="W37" s="4" t="e">
        <v>#DIV/0!</v>
      </c>
      <c r="Y37" s="554">
        <v>3.04</v>
      </c>
      <c r="Z37" s="4">
        <v>19.16</v>
      </c>
      <c r="AA37" s="4">
        <v>3.84</v>
      </c>
      <c r="AB37" s="4">
        <v>18.86</v>
      </c>
      <c r="AC37" s="4">
        <v>22.19</v>
      </c>
      <c r="AD37" s="4">
        <v>19.43</v>
      </c>
      <c r="AF37" s="4">
        <v>0.59029126213592231</v>
      </c>
      <c r="AG37" s="4">
        <v>0.90207156308851233</v>
      </c>
      <c r="AH37" s="4">
        <v>0.50659630606860151</v>
      </c>
      <c r="AI37" s="4">
        <v>0.80736301369863017</v>
      </c>
      <c r="AJ37" s="4">
        <v>0.88090512107979357</v>
      </c>
      <c r="AK37" s="4">
        <v>0.87483115713642501</v>
      </c>
      <c r="AM37" s="556">
        <v>45900</v>
      </c>
      <c r="AN37" s="557">
        <v>3.65</v>
      </c>
      <c r="AO37" s="557">
        <v>417800</v>
      </c>
      <c r="AP37" s="557">
        <v>103.18898</v>
      </c>
      <c r="AQ37" s="557">
        <v>376.63977699999998</v>
      </c>
      <c r="AR37" s="557">
        <v>1.8044</v>
      </c>
    </row>
    <row r="38" spans="2:44">
      <c r="B38" s="558">
        <v>45702</v>
      </c>
      <c r="C38" s="554">
        <v>9.3836999999999993</v>
      </c>
      <c r="D38" s="554">
        <v>9.0038</v>
      </c>
      <c r="E38" s="554">
        <v>4.9320000000000004</v>
      </c>
      <c r="F38" s="554">
        <v>7.1525999999999996</v>
      </c>
      <c r="G38" s="554">
        <v>9.3497000000000003</v>
      </c>
      <c r="H38" s="554">
        <v>0</v>
      </c>
      <c r="I38" s="558">
        <v>45702</v>
      </c>
      <c r="J38" s="554">
        <v>6.6923000000000004</v>
      </c>
      <c r="K38" s="554">
        <v>15.8307</v>
      </c>
      <c r="L38" s="554">
        <v>3.1753999999999998</v>
      </c>
      <c r="M38" s="554">
        <v>5.2042000000000002</v>
      </c>
      <c r="N38" s="554">
        <v>9.2698</v>
      </c>
      <c r="O38" s="554">
        <v>0</v>
      </c>
      <c r="P38" s="554"/>
      <c r="Q38" s="558">
        <v>45702</v>
      </c>
      <c r="R38" s="4">
        <v>3.08</v>
      </c>
      <c r="S38" s="4">
        <v>123338.34</v>
      </c>
      <c r="T38" s="4">
        <v>10346.75</v>
      </c>
      <c r="U38" s="4">
        <v>0.59805825242718447</v>
      </c>
      <c r="V38" s="4">
        <v>1.1380558581277187</v>
      </c>
      <c r="W38" s="4" t="e">
        <v>#DIV/0!</v>
      </c>
      <c r="Y38" s="554">
        <v>3.08</v>
      </c>
      <c r="Z38" s="4">
        <v>19.5</v>
      </c>
      <c r="AA38" s="4">
        <v>4.01</v>
      </c>
      <c r="AB38" s="4">
        <v>19.03</v>
      </c>
      <c r="AC38" s="4">
        <v>22.85</v>
      </c>
      <c r="AD38" s="4">
        <v>19.55</v>
      </c>
      <c r="AF38" s="4">
        <v>0.59805825242718447</v>
      </c>
      <c r="AG38" s="4">
        <v>0.91807909604519777</v>
      </c>
      <c r="AH38" s="4">
        <v>0.52902374670184693</v>
      </c>
      <c r="AI38" s="4">
        <v>0.81464041095890416</v>
      </c>
      <c r="AJ38" s="4">
        <v>0.90710599444223894</v>
      </c>
      <c r="AK38" s="4">
        <v>0.88023412877082396</v>
      </c>
      <c r="AM38" s="556">
        <v>45899</v>
      </c>
      <c r="AN38" s="557">
        <v>3.4950000000000001</v>
      </c>
      <c r="AO38" s="557">
        <v>198900</v>
      </c>
      <c r="AP38" s="557">
        <v>103.18898</v>
      </c>
      <c r="AQ38" s="557">
        <v>360.64548510000003</v>
      </c>
      <c r="AR38" s="557">
        <v>1.7304999999999999</v>
      </c>
    </row>
    <row r="39" spans="2:44">
      <c r="B39" s="558">
        <v>45695</v>
      </c>
      <c r="C39" s="554">
        <v>9.3370999999999995</v>
      </c>
      <c r="D39" s="554">
        <v>8.8948</v>
      </c>
      <c r="E39" s="554">
        <v>4.8575999999999997</v>
      </c>
      <c r="F39" s="554">
        <v>7.1471</v>
      </c>
      <c r="G39" s="554">
        <v>9.1305999999999994</v>
      </c>
      <c r="H39" s="554">
        <v>0</v>
      </c>
      <c r="I39" s="558">
        <v>45695</v>
      </c>
      <c r="J39" s="554">
        <v>6.4107000000000003</v>
      </c>
      <c r="K39" s="554">
        <v>15.506</v>
      </c>
      <c r="L39" s="554">
        <v>3.0644999999999998</v>
      </c>
      <c r="M39" s="554">
        <v>5.1959999999999997</v>
      </c>
      <c r="N39" s="554">
        <v>8.9534000000000002</v>
      </c>
      <c r="O39" s="554">
        <v>0</v>
      </c>
      <c r="P39" s="554"/>
      <c r="Q39" s="558">
        <v>45695</v>
      </c>
      <c r="R39" s="4">
        <v>2.97</v>
      </c>
      <c r="S39" s="4">
        <v>119298.67</v>
      </c>
      <c r="T39" s="4">
        <v>10346.75</v>
      </c>
      <c r="U39" s="4">
        <v>0.57669902912621362</v>
      </c>
      <c r="V39" s="4">
        <v>1.1007813974174254</v>
      </c>
      <c r="W39" s="4" t="e">
        <v>#DIV/0!</v>
      </c>
      <c r="Y39" s="554">
        <v>2.97</v>
      </c>
      <c r="Z39" s="4">
        <v>19.100000000000001</v>
      </c>
      <c r="AA39" s="4">
        <v>3.87</v>
      </c>
      <c r="AB39" s="4">
        <v>19</v>
      </c>
      <c r="AC39" s="4">
        <v>22.07</v>
      </c>
      <c r="AD39" s="4">
        <v>18.98</v>
      </c>
      <c r="AF39" s="4">
        <v>0.57669902912621362</v>
      </c>
      <c r="AG39" s="4">
        <v>0.89924670433145026</v>
      </c>
      <c r="AH39" s="4">
        <v>0.51055408970976257</v>
      </c>
      <c r="AI39" s="4">
        <v>0.81335616438356162</v>
      </c>
      <c r="AJ39" s="4">
        <v>0.87614132592298533</v>
      </c>
      <c r="AK39" s="4">
        <v>0.85457001350742912</v>
      </c>
      <c r="AM39" s="556">
        <v>45898</v>
      </c>
      <c r="AN39" s="557">
        <v>3.4350000000000001</v>
      </c>
      <c r="AO39" s="557">
        <v>76900</v>
      </c>
      <c r="AP39" s="557">
        <v>103.18898</v>
      </c>
      <c r="AQ39" s="557">
        <v>354.45414629999999</v>
      </c>
      <c r="AR39" s="557">
        <v>1.6910000000000001</v>
      </c>
    </row>
    <row r="40" spans="2:44">
      <c r="B40" s="558">
        <v>45688</v>
      </c>
      <c r="C40" s="554">
        <v>9.4303000000000008</v>
      </c>
      <c r="D40" s="554">
        <v>8.8675999999999995</v>
      </c>
      <c r="E40" s="554">
        <v>4.8993000000000002</v>
      </c>
      <c r="F40" s="554">
        <v>7.1291000000000002</v>
      </c>
      <c r="G40" s="554">
        <v>9.2233000000000001</v>
      </c>
      <c r="H40" s="554">
        <v>0</v>
      </c>
      <c r="I40" s="558">
        <v>45688</v>
      </c>
      <c r="J40" s="554">
        <v>6.9737999999999998</v>
      </c>
      <c r="K40" s="554">
        <v>15.424799999999999</v>
      </c>
      <c r="L40" s="554">
        <v>3.1358000000000001</v>
      </c>
      <c r="M40" s="554">
        <v>5.1687000000000003</v>
      </c>
      <c r="N40" s="554">
        <v>9.0873000000000008</v>
      </c>
      <c r="O40" s="554">
        <v>0</v>
      </c>
      <c r="P40" s="554"/>
      <c r="Q40" s="558">
        <v>45688</v>
      </c>
      <c r="R40" s="4">
        <v>3.05</v>
      </c>
      <c r="S40" s="4">
        <v>121162.66</v>
      </c>
      <c r="T40" s="4">
        <v>10346.75</v>
      </c>
      <c r="U40" s="4">
        <v>0.59223300970873782</v>
      </c>
      <c r="V40" s="4">
        <v>1.1179806295377175</v>
      </c>
      <c r="W40" s="4" t="e">
        <v>#DIV/0!</v>
      </c>
      <c r="Y40" s="554">
        <v>3.05</v>
      </c>
      <c r="Z40" s="4">
        <v>19</v>
      </c>
      <c r="AA40" s="4">
        <v>3.96</v>
      </c>
      <c r="AB40" s="4">
        <v>18.899999999999999</v>
      </c>
      <c r="AC40" s="4">
        <v>22.4</v>
      </c>
      <c r="AD40" s="4">
        <v>18.43</v>
      </c>
      <c r="AF40" s="4">
        <v>0.59223300970873782</v>
      </c>
      <c r="AG40" s="4">
        <v>0.8945386064030133</v>
      </c>
      <c r="AH40" s="4">
        <v>0.52242744063324542</v>
      </c>
      <c r="AI40" s="4">
        <v>0.80907534246575341</v>
      </c>
      <c r="AJ40" s="4">
        <v>0.88924176260420795</v>
      </c>
      <c r="AK40" s="4">
        <v>0.82980639351643404</v>
      </c>
      <c r="AM40" s="556">
        <v>45897</v>
      </c>
      <c r="AN40" s="557">
        <v>3.4049999999999998</v>
      </c>
      <c r="AO40" s="557">
        <v>417400</v>
      </c>
      <c r="AP40" s="557">
        <v>103.18898</v>
      </c>
      <c r="AQ40" s="557">
        <v>351.35847689999997</v>
      </c>
      <c r="AR40" s="557">
        <v>1.6713</v>
      </c>
    </row>
    <row r="41" spans="2:44">
      <c r="B41" s="558">
        <v>45681</v>
      </c>
      <c r="C41" s="554">
        <v>9.3585999999999991</v>
      </c>
      <c r="D41" s="554">
        <v>8.5841999999999992</v>
      </c>
      <c r="E41" s="554">
        <v>4.7563000000000004</v>
      </c>
      <c r="F41" s="554">
        <v>6.7047999999999996</v>
      </c>
      <c r="G41" s="554">
        <v>8.7766000000000002</v>
      </c>
      <c r="H41" s="554">
        <v>0</v>
      </c>
      <c r="I41" s="558">
        <v>45681</v>
      </c>
      <c r="J41" s="554">
        <v>6.5407000000000002</v>
      </c>
      <c r="K41" s="554">
        <v>14.580500000000001</v>
      </c>
      <c r="L41" s="554">
        <v>2.9220000000000002</v>
      </c>
      <c r="M41" s="554">
        <v>4.5259999999999998</v>
      </c>
      <c r="N41" s="554">
        <v>8.4421999999999997</v>
      </c>
      <c r="O41" s="554">
        <v>0</v>
      </c>
      <c r="P41" s="554"/>
      <c r="Q41" s="558">
        <v>45681</v>
      </c>
      <c r="R41" s="4">
        <v>3.2</v>
      </c>
      <c r="S41" s="4">
        <v>124698.04</v>
      </c>
      <c r="T41" s="4">
        <v>10346.75</v>
      </c>
      <c r="U41" s="4">
        <v>0.62135922330097082</v>
      </c>
      <c r="V41" s="4">
        <v>1.1506019532859335</v>
      </c>
      <c r="W41" s="4" t="e">
        <v>#DIV/0!</v>
      </c>
      <c r="Y41" s="554">
        <v>3.2</v>
      </c>
      <c r="Z41" s="4">
        <v>17.96</v>
      </c>
      <c r="AA41" s="4">
        <v>3.69</v>
      </c>
      <c r="AB41" s="4">
        <v>16.55</v>
      </c>
      <c r="AC41" s="4">
        <v>20.81</v>
      </c>
      <c r="AD41" s="4">
        <v>17.03</v>
      </c>
      <c r="AF41" s="4">
        <v>0.62135922330097082</v>
      </c>
      <c r="AG41" s="4">
        <v>0.84557438794726936</v>
      </c>
      <c r="AH41" s="4">
        <v>0.48680738786279681</v>
      </c>
      <c r="AI41" s="4">
        <v>0.70847602739726034</v>
      </c>
      <c r="AJ41" s="4">
        <v>0.8261214767764985</v>
      </c>
      <c r="AK41" s="4">
        <v>0.76677172444844666</v>
      </c>
      <c r="AM41" s="556">
        <v>45896</v>
      </c>
      <c r="AN41" s="557">
        <v>3.3450000000000002</v>
      </c>
      <c r="AO41" s="557">
        <v>450600</v>
      </c>
      <c r="AP41" s="557">
        <v>103.18898</v>
      </c>
      <c r="AQ41" s="557">
        <v>345.16713810000005</v>
      </c>
      <c r="AR41" s="557">
        <v>1.6467000000000001</v>
      </c>
    </row>
    <row r="42" spans="2:44">
      <c r="B42" s="558">
        <v>45674</v>
      </c>
      <c r="C42" s="554">
        <v>9.3513999999999999</v>
      </c>
      <c r="D42" s="554">
        <v>8.5977999999999994</v>
      </c>
      <c r="E42" s="554">
        <v>4.7404000000000002</v>
      </c>
      <c r="F42" s="554">
        <v>7.1002000000000001</v>
      </c>
      <c r="G42" s="554">
        <v>8.6980000000000004</v>
      </c>
      <c r="H42" s="554">
        <v>0</v>
      </c>
      <c r="I42" s="558">
        <v>45674</v>
      </c>
      <c r="J42" s="554">
        <v>6.4973999999999998</v>
      </c>
      <c r="K42" s="554">
        <v>14.6211</v>
      </c>
      <c r="L42" s="554">
        <v>2.8982000000000001</v>
      </c>
      <c r="M42" s="554">
        <v>5.1249000000000002</v>
      </c>
      <c r="N42" s="554">
        <v>8.3285999999999998</v>
      </c>
      <c r="O42" s="554">
        <v>0</v>
      </c>
      <c r="P42" s="554"/>
      <c r="Q42" s="558">
        <v>45674</v>
      </c>
      <c r="R42" s="4">
        <v>3.2</v>
      </c>
      <c r="S42" s="4">
        <v>124698.04</v>
      </c>
      <c r="T42" s="4">
        <v>0</v>
      </c>
      <c r="U42" s="4">
        <v>0.62135922330097082</v>
      </c>
      <c r="V42" s="4">
        <v>1.1506019532859335</v>
      </c>
      <c r="W42" s="4" t="e">
        <v>#DIV/0!</v>
      </c>
      <c r="Y42" s="554">
        <v>3.2</v>
      </c>
      <c r="Z42" s="4">
        <v>18.010000000000002</v>
      </c>
      <c r="AA42" s="4">
        <v>3.66</v>
      </c>
      <c r="AB42" s="4">
        <v>18.739999999999998</v>
      </c>
      <c r="AC42" s="4">
        <v>20.53</v>
      </c>
      <c r="AD42" s="4">
        <v>17.12</v>
      </c>
      <c r="AF42" s="4">
        <v>0.62135922330097082</v>
      </c>
      <c r="AG42" s="4">
        <v>0.84792843691148789</v>
      </c>
      <c r="AH42" s="4">
        <v>0.48284960422163592</v>
      </c>
      <c r="AI42" s="4">
        <v>0.80222602739726023</v>
      </c>
      <c r="AJ42" s="4">
        <v>0.81500595474394599</v>
      </c>
      <c r="AK42" s="4">
        <v>0.7708239531742459</v>
      </c>
      <c r="AM42" s="556">
        <v>45895</v>
      </c>
      <c r="AN42" s="557">
        <v>3.3450000000000002</v>
      </c>
      <c r="AO42" s="557">
        <v>450600</v>
      </c>
      <c r="AP42" s="557">
        <v>103.18898</v>
      </c>
      <c r="AQ42" s="557">
        <v>345.16713810000005</v>
      </c>
      <c r="AR42" s="557">
        <v>1.6467000000000001</v>
      </c>
    </row>
    <row r="43" spans="2:44">
      <c r="B43" s="558">
        <v>45667</v>
      </c>
      <c r="C43" s="554">
        <v>9.3084000000000007</v>
      </c>
      <c r="D43" s="554">
        <v>8.4398</v>
      </c>
      <c r="E43" s="554">
        <v>4.7351000000000001</v>
      </c>
      <c r="F43" s="554">
        <v>6.9702000000000002</v>
      </c>
      <c r="G43" s="554">
        <v>8.6165000000000003</v>
      </c>
      <c r="H43" s="554">
        <v>0</v>
      </c>
      <c r="I43" s="558">
        <v>45667</v>
      </c>
      <c r="J43" s="554">
        <v>6.2374999999999998</v>
      </c>
      <c r="K43" s="554">
        <v>14.1502</v>
      </c>
      <c r="L43" s="554">
        <v>2.8902999999999999</v>
      </c>
      <c r="M43" s="554">
        <v>4.9279999999999999</v>
      </c>
      <c r="N43" s="554">
        <v>8.2110000000000003</v>
      </c>
      <c r="O43" s="554">
        <v>0</v>
      </c>
      <c r="P43" s="554"/>
      <c r="Q43" s="558">
        <v>45667</v>
      </c>
      <c r="R43" s="4">
        <v>3.2</v>
      </c>
      <c r="S43" s="4">
        <v>124698.04</v>
      </c>
      <c r="T43" s="4">
        <v>0</v>
      </c>
      <c r="U43" s="4">
        <v>0.62135922330097082</v>
      </c>
      <c r="V43" s="4">
        <v>1.1506019532859335</v>
      </c>
      <c r="W43" s="4" t="e">
        <v>#DIV/0!</v>
      </c>
      <c r="Y43" s="554">
        <v>3.2</v>
      </c>
      <c r="Z43" s="4">
        <v>17.43</v>
      </c>
      <c r="AA43" s="4">
        <v>3.65</v>
      </c>
      <c r="AB43" s="4">
        <v>18.02</v>
      </c>
      <c r="AC43" s="4">
        <v>20.239999999999998</v>
      </c>
      <c r="AD43" s="4">
        <v>16.8</v>
      </c>
      <c r="AF43" s="4">
        <v>0.62135922330097082</v>
      </c>
      <c r="AG43" s="4">
        <v>0.82062146892655374</v>
      </c>
      <c r="AH43" s="4">
        <v>0.48153034300791553</v>
      </c>
      <c r="AI43" s="4">
        <v>0.77140410958904104</v>
      </c>
      <c r="AJ43" s="4">
        <v>0.80349344978165926</v>
      </c>
      <c r="AK43" s="4">
        <v>0.75641602881584868</v>
      </c>
      <c r="AM43" s="556">
        <v>45894</v>
      </c>
      <c r="AN43" s="557">
        <v>3.3450000000000002</v>
      </c>
      <c r="AO43" s="557">
        <v>450600</v>
      </c>
      <c r="AP43" s="557">
        <v>103.18898</v>
      </c>
      <c r="AQ43" s="557">
        <v>345.16713810000005</v>
      </c>
      <c r="AR43" s="557">
        <v>1.6467000000000001</v>
      </c>
    </row>
    <row r="44" spans="2:44">
      <c r="B44" s="558">
        <v>45660</v>
      </c>
      <c r="C44" s="554">
        <v>9.3407</v>
      </c>
      <c r="D44" s="554">
        <v>8.5624000000000002</v>
      </c>
      <c r="E44" s="554">
        <v>4.7404000000000002</v>
      </c>
      <c r="F44" s="554">
        <v>6.9630000000000001</v>
      </c>
      <c r="G44" s="554">
        <v>8.6277000000000008</v>
      </c>
      <c r="H44" s="554">
        <v>0</v>
      </c>
      <c r="I44" s="558">
        <v>45660</v>
      </c>
      <c r="J44" s="554">
        <v>6.4324000000000003</v>
      </c>
      <c r="K44" s="554">
        <v>14.515499999999999</v>
      </c>
      <c r="L44" s="554">
        <v>2.8982000000000001</v>
      </c>
      <c r="M44" s="554">
        <v>4.9170999999999996</v>
      </c>
      <c r="N44" s="554">
        <v>8.2271999999999998</v>
      </c>
      <c r="O44" s="554">
        <v>0</v>
      </c>
      <c r="P44" s="554"/>
      <c r="Q44" s="558">
        <v>45660</v>
      </c>
      <c r="R44" s="4">
        <v>3.84</v>
      </c>
      <c r="S44" s="4">
        <v>128228.49</v>
      </c>
      <c r="T44" s="4">
        <v>0</v>
      </c>
      <c r="U44" s="4">
        <v>0.74563106796116496</v>
      </c>
      <c r="V44" s="4">
        <v>1.1831777874047245</v>
      </c>
      <c r="W44" s="4" t="e">
        <v>#DIV/0!</v>
      </c>
      <c r="Y44" s="554">
        <v>3.84</v>
      </c>
      <c r="Z44" s="4">
        <v>17.88</v>
      </c>
      <c r="AA44" s="4">
        <v>3.66</v>
      </c>
      <c r="AB44" s="4">
        <v>17.98</v>
      </c>
      <c r="AC44" s="4">
        <v>20.28</v>
      </c>
      <c r="AD44" s="4">
        <v>17.07</v>
      </c>
      <c r="AF44" s="4">
        <v>0.74563106796116496</v>
      </c>
      <c r="AG44" s="4">
        <v>0.84180790960451979</v>
      </c>
      <c r="AH44" s="4">
        <v>0.48284960422163592</v>
      </c>
      <c r="AI44" s="4">
        <v>0.7696917808219178</v>
      </c>
      <c r="AJ44" s="4">
        <v>0.80508138150059549</v>
      </c>
      <c r="AK44" s="4">
        <v>0.76857271499324631</v>
      </c>
      <c r="AM44" s="556">
        <v>45893</v>
      </c>
      <c r="AN44" s="557">
        <v>3.3849999999999998</v>
      </c>
      <c r="AO44" s="557">
        <v>433200</v>
      </c>
      <c r="AP44" s="557">
        <v>103.18898</v>
      </c>
      <c r="AQ44" s="557">
        <v>349.2946973</v>
      </c>
      <c r="AR44" s="557">
        <v>1.6615</v>
      </c>
    </row>
    <row r="45" spans="2:44">
      <c r="B45" s="558">
        <v>45653</v>
      </c>
      <c r="C45" s="554">
        <v>5.71</v>
      </c>
      <c r="D45" s="554">
        <v>11.0977</v>
      </c>
      <c r="E45" s="554">
        <v>5.0612000000000004</v>
      </c>
      <c r="F45" s="554">
        <v>7.5888999999999998</v>
      </c>
      <c r="G45" s="554">
        <v>9.1348000000000003</v>
      </c>
      <c r="H45" s="554">
        <v>0</v>
      </c>
      <c r="I45" s="558">
        <v>45653</v>
      </c>
      <c r="J45" s="554">
        <v>3.1438000000000001</v>
      </c>
      <c r="K45" s="554">
        <v>14.2898</v>
      </c>
      <c r="L45" s="554">
        <v>4.0975999999999999</v>
      </c>
      <c r="M45" s="554">
        <v>5.6062000000000003</v>
      </c>
      <c r="N45" s="554">
        <v>10.863300000000001</v>
      </c>
      <c r="O45" s="554">
        <v>0</v>
      </c>
      <c r="P45" s="554"/>
      <c r="Q45" s="558">
        <v>45653</v>
      </c>
      <c r="R45" s="4">
        <v>3.84</v>
      </c>
      <c r="S45" s="4">
        <v>126139.2</v>
      </c>
      <c r="T45" s="4">
        <v>0</v>
      </c>
      <c r="U45" s="4">
        <v>0.74563106796116496</v>
      </c>
      <c r="V45" s="4">
        <v>1.1638996884467874</v>
      </c>
      <c r="W45" s="4" t="e">
        <v>#DIV/0!</v>
      </c>
      <c r="Y45" s="554">
        <v>3.84</v>
      </c>
      <c r="Z45" s="4">
        <v>18.170000000000002</v>
      </c>
      <c r="AA45" s="4">
        <v>3.74</v>
      </c>
      <c r="AB45" s="4">
        <v>18.27</v>
      </c>
      <c r="AC45" s="4">
        <v>21.19</v>
      </c>
      <c r="AD45" s="4">
        <v>17.440000000000001</v>
      </c>
      <c r="AF45" s="4">
        <v>0.74563106796116496</v>
      </c>
      <c r="AG45" s="4">
        <v>0.85546139359698692</v>
      </c>
      <c r="AH45" s="4">
        <v>0.49340369393139843</v>
      </c>
      <c r="AI45" s="4">
        <v>0.78210616438356162</v>
      </c>
      <c r="AJ45" s="4">
        <v>0.84120682810639147</v>
      </c>
      <c r="AK45" s="4">
        <v>0.78523187753264301</v>
      </c>
      <c r="AM45" s="556">
        <v>45892</v>
      </c>
      <c r="AN45" s="557">
        <v>3.375</v>
      </c>
      <c r="AO45" s="557">
        <v>76900</v>
      </c>
      <c r="AP45" s="557">
        <v>103.18898</v>
      </c>
      <c r="AQ45" s="557">
        <v>348.26280750000001</v>
      </c>
      <c r="AR45" s="557">
        <v>1.6615</v>
      </c>
    </row>
    <row r="46" spans="2:44">
      <c r="B46" s="558">
        <v>45646</v>
      </c>
      <c r="C46" s="554">
        <v>5.7550999999999997</v>
      </c>
      <c r="D46" s="554">
        <v>11.31</v>
      </c>
      <c r="E46" s="554">
        <v>5.1365999999999996</v>
      </c>
      <c r="F46" s="554">
        <v>7.5354999999999999</v>
      </c>
      <c r="G46" s="554">
        <v>9.5282999999999998</v>
      </c>
      <c r="H46" s="554">
        <v>0</v>
      </c>
      <c r="I46" s="558">
        <v>45646</v>
      </c>
      <c r="J46" s="554">
        <v>3.3429000000000002</v>
      </c>
      <c r="K46" s="554">
        <v>14.8246</v>
      </c>
      <c r="L46" s="554">
        <v>4.24</v>
      </c>
      <c r="M46" s="554">
        <v>5.5293999999999999</v>
      </c>
      <c r="N46" s="554">
        <v>11.483599999999999</v>
      </c>
      <c r="O46" s="554">
        <v>0</v>
      </c>
      <c r="P46" s="554"/>
      <c r="Q46" s="558">
        <v>45646</v>
      </c>
      <c r="R46" s="4">
        <v>4.72</v>
      </c>
      <c r="S46" s="4">
        <v>129922.38</v>
      </c>
      <c r="T46" s="4">
        <v>0</v>
      </c>
      <c r="U46" s="4">
        <v>0.91650485436893192</v>
      </c>
      <c r="V46" s="4">
        <v>1.1988074889032525</v>
      </c>
      <c r="W46" s="4" t="e">
        <v>#DIV/0!</v>
      </c>
      <c r="Y46" s="554">
        <v>4.72</v>
      </c>
      <c r="Z46" s="4">
        <v>18.850000000000001</v>
      </c>
      <c r="AA46" s="4">
        <v>3.87</v>
      </c>
      <c r="AB46" s="4">
        <v>18.02</v>
      </c>
      <c r="AC46" s="4">
        <v>22.4</v>
      </c>
      <c r="AD46" s="4">
        <v>18.27</v>
      </c>
      <c r="AF46" s="4">
        <v>0.91650485436893192</v>
      </c>
      <c r="AG46" s="4">
        <v>0.88747645951035792</v>
      </c>
      <c r="AH46" s="4">
        <v>0.51055408970976257</v>
      </c>
      <c r="AI46" s="4">
        <v>0.77140410958904104</v>
      </c>
      <c r="AJ46" s="4">
        <v>0.88924176260420795</v>
      </c>
      <c r="AK46" s="4">
        <v>0.82260243133723543</v>
      </c>
      <c r="AM46" s="556">
        <v>45891</v>
      </c>
      <c r="AN46" s="557">
        <v>3.3450000000000002</v>
      </c>
      <c r="AO46" s="557">
        <v>381600</v>
      </c>
      <c r="AP46" s="557">
        <v>103.18898</v>
      </c>
      <c r="AQ46" s="557">
        <v>345.16713810000005</v>
      </c>
      <c r="AR46" s="557">
        <v>1.6416999999999999</v>
      </c>
    </row>
    <row r="47" spans="2:44">
      <c r="B47" s="558">
        <v>45639</v>
      </c>
      <c r="C47" s="554">
        <v>5.8167999999999997</v>
      </c>
      <c r="D47" s="554">
        <v>11.3756</v>
      </c>
      <c r="E47" s="554">
        <v>5.1597999999999997</v>
      </c>
      <c r="F47" s="554">
        <v>7.7750000000000004</v>
      </c>
      <c r="G47" s="554">
        <v>9.5608000000000004</v>
      </c>
      <c r="H47" s="554">
        <v>0</v>
      </c>
      <c r="I47" s="558">
        <v>45639</v>
      </c>
      <c r="J47" s="554">
        <v>3.6154000000000002</v>
      </c>
      <c r="K47" s="554">
        <v>14.989699999999999</v>
      </c>
      <c r="L47" s="554">
        <v>4.2838000000000003</v>
      </c>
      <c r="M47" s="554">
        <v>5.8731</v>
      </c>
      <c r="N47" s="554">
        <v>11.5349</v>
      </c>
      <c r="O47" s="554">
        <v>0</v>
      </c>
      <c r="P47" s="554"/>
      <c r="Q47" s="558">
        <v>45639</v>
      </c>
      <c r="R47" s="4">
        <v>4.2699999999999996</v>
      </c>
      <c r="S47" s="4">
        <v>128197.25</v>
      </c>
      <c r="T47" s="4">
        <v>0</v>
      </c>
      <c r="U47" s="4">
        <v>0.82912621359223282</v>
      </c>
      <c r="V47" s="4">
        <v>1.1828895326332727</v>
      </c>
      <c r="W47" s="4" t="e">
        <v>#DIV/0!</v>
      </c>
      <c r="Y47" s="554">
        <v>4.2699999999999996</v>
      </c>
      <c r="Z47" s="4">
        <v>19.059999999999999</v>
      </c>
      <c r="AA47" s="4">
        <v>3.91</v>
      </c>
      <c r="AB47" s="4">
        <v>19.14</v>
      </c>
      <c r="AC47" s="4">
        <v>22.5</v>
      </c>
      <c r="AD47" s="4">
        <v>18.39</v>
      </c>
      <c r="AF47" s="4">
        <v>0.82912621359223282</v>
      </c>
      <c r="AG47" s="4">
        <v>0.89736346516007537</v>
      </c>
      <c r="AH47" s="4">
        <v>0.5158311345646438</v>
      </c>
      <c r="AI47" s="4">
        <v>0.81934931506849318</v>
      </c>
      <c r="AJ47" s="4">
        <v>0.8932115919015482</v>
      </c>
      <c r="AK47" s="4">
        <v>0.82800540297163439</v>
      </c>
      <c r="AM47" s="556">
        <v>45890</v>
      </c>
      <c r="AN47" s="557">
        <v>3.2749999999999999</v>
      </c>
      <c r="AO47" s="557">
        <v>642700</v>
      </c>
      <c r="AP47" s="557">
        <v>103.18898</v>
      </c>
      <c r="AQ47" s="557">
        <v>337.94390950000002</v>
      </c>
      <c r="AR47" s="557">
        <v>1.6171</v>
      </c>
    </row>
    <row r="48" spans="2:44">
      <c r="B48" s="558">
        <v>45632</v>
      </c>
      <c r="C48" s="554">
        <v>5.9023000000000003</v>
      </c>
      <c r="D48" s="554">
        <v>11.469200000000001</v>
      </c>
      <c r="E48" s="554">
        <v>5.2352999999999996</v>
      </c>
      <c r="F48" s="554">
        <v>8.2988</v>
      </c>
      <c r="G48" s="554">
        <v>9.7949000000000002</v>
      </c>
      <c r="H48" s="554">
        <v>0</v>
      </c>
      <c r="I48" s="558">
        <v>45632</v>
      </c>
      <c r="J48" s="554">
        <v>3.9925999999999999</v>
      </c>
      <c r="K48" s="554">
        <v>15.2257</v>
      </c>
      <c r="L48" s="554">
        <v>4.4263000000000003</v>
      </c>
      <c r="M48" s="554">
        <v>6.6249000000000002</v>
      </c>
      <c r="N48" s="554">
        <v>11.904</v>
      </c>
      <c r="O48" s="554">
        <v>0</v>
      </c>
      <c r="P48" s="554"/>
      <c r="Q48" s="558">
        <v>45632</v>
      </c>
      <c r="R48" s="4">
        <v>4.3</v>
      </c>
      <c r="S48" s="4">
        <v>127698.32</v>
      </c>
      <c r="T48" s="4">
        <v>0</v>
      </c>
      <c r="U48" s="4">
        <v>0.83495145631067957</v>
      </c>
      <c r="V48" s="4">
        <v>1.1782858529559264</v>
      </c>
      <c r="W48" s="4" t="e">
        <v>#DIV/0!</v>
      </c>
      <c r="Y48" s="554">
        <v>4.3</v>
      </c>
      <c r="Z48" s="4">
        <v>19.36</v>
      </c>
      <c r="AA48" s="4">
        <v>4.04</v>
      </c>
      <c r="AB48" s="4">
        <v>21.59</v>
      </c>
      <c r="AC48" s="4">
        <v>23.22</v>
      </c>
      <c r="AD48" s="4">
        <v>18.84</v>
      </c>
      <c r="AF48" s="4">
        <v>0.83495145631067957</v>
      </c>
      <c r="AG48" s="4">
        <v>0.91148775894538614</v>
      </c>
      <c r="AH48" s="4">
        <v>0.53298153034300788</v>
      </c>
      <c r="AI48" s="4">
        <v>0.92422945205479456</v>
      </c>
      <c r="AJ48" s="4">
        <v>0.92179436284239769</v>
      </c>
      <c r="AK48" s="4">
        <v>0.84826654660063028</v>
      </c>
      <c r="AM48" s="556">
        <v>45889</v>
      </c>
      <c r="AN48" s="557">
        <v>3.3</v>
      </c>
      <c r="AO48" s="557">
        <v>511900</v>
      </c>
      <c r="AP48" s="557">
        <v>103.18898</v>
      </c>
      <c r="AQ48" s="557">
        <v>340.52363399999996</v>
      </c>
      <c r="AR48" s="557">
        <v>1.6318999999999999</v>
      </c>
    </row>
    <row r="49" spans="2:44">
      <c r="B49" s="558">
        <v>45625</v>
      </c>
      <c r="C49" s="554">
        <v>5.9640000000000004</v>
      </c>
      <c r="D49" s="554">
        <v>11.5723</v>
      </c>
      <c r="E49" s="554">
        <v>5.3978000000000002</v>
      </c>
      <c r="F49" s="554">
        <v>8.0015999999999998</v>
      </c>
      <c r="G49" s="554">
        <v>9.9802</v>
      </c>
      <c r="H49" s="554">
        <v>0</v>
      </c>
      <c r="I49" s="558">
        <v>45625</v>
      </c>
      <c r="J49" s="554">
        <v>4.2651000000000003</v>
      </c>
      <c r="K49" s="554">
        <v>15.485200000000001</v>
      </c>
      <c r="L49" s="554">
        <v>4.7329999999999997</v>
      </c>
      <c r="M49" s="554">
        <v>6.1984000000000004</v>
      </c>
      <c r="N49" s="554">
        <v>12.196199999999999</v>
      </c>
      <c r="O49" s="554">
        <v>0</v>
      </c>
      <c r="P49" s="554"/>
      <c r="Q49" s="558">
        <v>45625</v>
      </c>
      <c r="R49" s="4">
        <v>4.5999999999999996</v>
      </c>
      <c r="S49" s="4">
        <v>130660.75</v>
      </c>
      <c r="T49" s="4">
        <v>0</v>
      </c>
      <c r="U49" s="4">
        <v>0.89320388349514546</v>
      </c>
      <c r="V49" s="4">
        <v>1.2056205066880366</v>
      </c>
      <c r="W49" s="4" t="e">
        <v>#DIV/0!</v>
      </c>
      <c r="Y49" s="554">
        <v>4.5999999999999996</v>
      </c>
      <c r="Z49" s="4">
        <v>19.690000000000001</v>
      </c>
      <c r="AA49" s="4">
        <v>4.32</v>
      </c>
      <c r="AB49" s="4">
        <v>20.2</v>
      </c>
      <c r="AC49" s="4">
        <v>23.79</v>
      </c>
      <c r="AD49" s="4">
        <v>19.149999999999999</v>
      </c>
      <c r="AF49" s="4">
        <v>0.89320388349514546</v>
      </c>
      <c r="AG49" s="4">
        <v>0.92702448210922805</v>
      </c>
      <c r="AH49" s="4">
        <v>0.56992084432717682</v>
      </c>
      <c r="AI49" s="4">
        <v>0.86472602739726023</v>
      </c>
      <c r="AJ49" s="4">
        <v>0.94442238983723692</v>
      </c>
      <c r="AK49" s="4">
        <v>0.86222422332282744</v>
      </c>
      <c r="AM49" s="556">
        <v>45888</v>
      </c>
      <c r="AN49" s="557">
        <v>3.3</v>
      </c>
      <c r="AO49" s="557">
        <v>511900</v>
      </c>
      <c r="AP49" s="557">
        <v>103.18898</v>
      </c>
      <c r="AQ49" s="557">
        <v>340.52363399999996</v>
      </c>
      <c r="AR49" s="557">
        <v>1.6318999999999999</v>
      </c>
    </row>
    <row r="50" spans="2:44">
      <c r="B50" s="558">
        <v>45618</v>
      </c>
      <c r="C50" s="554">
        <v>6.0067000000000004</v>
      </c>
      <c r="D50" s="554">
        <v>12.121700000000001</v>
      </c>
      <c r="E50" s="554">
        <v>5.4964000000000004</v>
      </c>
      <c r="F50" s="554">
        <v>8.3223000000000003</v>
      </c>
      <c r="G50" s="554">
        <v>10.607799999999999</v>
      </c>
      <c r="H50" s="554">
        <v>0</v>
      </c>
      <c r="I50" s="558">
        <v>45618</v>
      </c>
      <c r="J50" s="554">
        <v>4.4537000000000004</v>
      </c>
      <c r="K50" s="554">
        <v>16.869299999999999</v>
      </c>
      <c r="L50" s="554">
        <v>4.9192999999999998</v>
      </c>
      <c r="M50" s="554">
        <v>6.6586999999999996</v>
      </c>
      <c r="N50" s="554">
        <v>13.185600000000001</v>
      </c>
      <c r="O50" s="554">
        <v>0</v>
      </c>
      <c r="P50" s="554"/>
      <c r="Q50" s="558">
        <v>45618</v>
      </c>
      <c r="R50" s="4">
        <v>4.57</v>
      </c>
      <c r="S50" s="4">
        <v>130729.93</v>
      </c>
      <c r="T50" s="4">
        <v>0</v>
      </c>
      <c r="U50" s="4">
        <v>0.88737864077669903</v>
      </c>
      <c r="V50" s="4">
        <v>1.2062588378368526</v>
      </c>
      <c r="W50" s="4" t="e">
        <v>#DIV/0!</v>
      </c>
      <c r="Y50" s="554">
        <v>4.57</v>
      </c>
      <c r="Z50" s="4">
        <v>21.45</v>
      </c>
      <c r="AA50" s="4">
        <v>4.49</v>
      </c>
      <c r="AB50" s="4">
        <v>21.7</v>
      </c>
      <c r="AC50" s="4">
        <v>25.72</v>
      </c>
      <c r="AD50" s="4">
        <v>20.32</v>
      </c>
      <c r="AF50" s="4">
        <v>0.88737864077669903</v>
      </c>
      <c r="AG50" s="4">
        <v>1.0098870056497176</v>
      </c>
      <c r="AH50" s="4">
        <v>0.59234828496042213</v>
      </c>
      <c r="AI50" s="4">
        <v>0.92893835616438358</v>
      </c>
      <c r="AJ50" s="4">
        <v>1.0210400952759031</v>
      </c>
      <c r="AK50" s="4">
        <v>0.91490319675821696</v>
      </c>
      <c r="AM50" s="556">
        <v>45887</v>
      </c>
      <c r="AN50" s="557">
        <v>3.3</v>
      </c>
      <c r="AO50" s="557">
        <v>511900</v>
      </c>
      <c r="AP50" s="557">
        <v>103.18898</v>
      </c>
      <c r="AQ50" s="557">
        <v>340.52363399999996</v>
      </c>
      <c r="AR50" s="557">
        <v>1.6318999999999999</v>
      </c>
    </row>
    <row r="51" spans="2:44">
      <c r="B51" s="558">
        <v>45611</v>
      </c>
      <c r="C51" s="554">
        <v>6.0446999999999997</v>
      </c>
      <c r="D51" s="554">
        <v>12.209099999999999</v>
      </c>
      <c r="E51" s="554">
        <v>5.5254000000000003</v>
      </c>
      <c r="F51" s="554">
        <v>8.6771999999999991</v>
      </c>
      <c r="G51" s="554">
        <v>10.269600000000001</v>
      </c>
      <c r="H51" s="554">
        <v>0</v>
      </c>
      <c r="I51" s="558">
        <v>45611</v>
      </c>
      <c r="J51" s="554">
        <v>4.6214000000000004</v>
      </c>
      <c r="K51" s="554">
        <v>17.089500000000001</v>
      </c>
      <c r="L51" s="554">
        <v>4.9741</v>
      </c>
      <c r="M51" s="554">
        <v>7.1680000000000001</v>
      </c>
      <c r="N51" s="554">
        <v>12.6525</v>
      </c>
      <c r="O51" s="554">
        <v>0</v>
      </c>
      <c r="P51" s="554"/>
      <c r="Q51" s="558">
        <v>45611</v>
      </c>
      <c r="R51" s="4">
        <v>4.4000000000000004</v>
      </c>
      <c r="S51" s="4">
        <v>129951.37</v>
      </c>
      <c r="T51" s="4">
        <v>0</v>
      </c>
      <c r="U51" s="4">
        <v>0.85436893203883502</v>
      </c>
      <c r="V51" s="4">
        <v>1.1990749826876435</v>
      </c>
      <c r="W51" s="4" t="e">
        <v>#DIV/0!</v>
      </c>
      <c r="Y51" s="554">
        <v>4.4000000000000004</v>
      </c>
      <c r="Z51" s="4">
        <v>21.73</v>
      </c>
      <c r="AA51" s="4">
        <v>4.54</v>
      </c>
      <c r="AB51" s="4">
        <v>23.36</v>
      </c>
      <c r="AC51" s="4">
        <v>24.68</v>
      </c>
      <c r="AD51" s="4">
        <v>20.100000000000001</v>
      </c>
      <c r="AF51" s="4">
        <v>0.85436893203883502</v>
      </c>
      <c r="AG51" s="4">
        <v>1.0230696798493411</v>
      </c>
      <c r="AH51" s="4">
        <v>0.59894459102902375</v>
      </c>
      <c r="AI51" s="4">
        <v>1</v>
      </c>
      <c r="AJ51" s="4">
        <v>0.97975387058356489</v>
      </c>
      <c r="AK51" s="4">
        <v>0.90499774876181904</v>
      </c>
      <c r="AM51" s="556">
        <v>45886</v>
      </c>
      <c r="AN51" s="557">
        <v>3.0550000000000002</v>
      </c>
      <c r="AO51" s="557">
        <v>121000</v>
      </c>
      <c r="AP51" s="557">
        <v>103.18898</v>
      </c>
      <c r="AQ51" s="557">
        <v>315.24233390000001</v>
      </c>
      <c r="AR51" s="557">
        <v>1.5037</v>
      </c>
    </row>
    <row r="52" spans="2:44">
      <c r="B52" s="558">
        <v>45604</v>
      </c>
      <c r="C52" s="554">
        <v>6.0446999999999997</v>
      </c>
      <c r="D52" s="554">
        <v>12.209099999999999</v>
      </c>
      <c r="E52" s="554">
        <v>5.5254000000000003</v>
      </c>
      <c r="F52" s="554">
        <v>8.6771999999999991</v>
      </c>
      <c r="G52" s="554">
        <v>10.269600000000001</v>
      </c>
      <c r="H52" s="554">
        <v>0</v>
      </c>
      <c r="I52" s="558">
        <v>45604</v>
      </c>
      <c r="J52" s="554">
        <v>4.6214000000000004</v>
      </c>
      <c r="K52" s="554">
        <v>17.089500000000001</v>
      </c>
      <c r="L52" s="554">
        <v>4.9741</v>
      </c>
      <c r="M52" s="554">
        <v>7.1680000000000001</v>
      </c>
      <c r="N52" s="554">
        <v>12.6525</v>
      </c>
      <c r="O52" s="554">
        <v>0</v>
      </c>
      <c r="P52" s="554"/>
      <c r="Q52" s="558">
        <v>45604</v>
      </c>
      <c r="R52" s="4">
        <v>4.5999999999999996</v>
      </c>
      <c r="S52" s="4">
        <v>131043.27</v>
      </c>
      <c r="T52" s="4">
        <v>0</v>
      </c>
      <c r="U52" s="4">
        <v>0.89320388349514546</v>
      </c>
      <c r="V52" s="4">
        <v>1.2091500590304065</v>
      </c>
      <c r="W52" s="4" t="e">
        <v>#DIV/0!</v>
      </c>
      <c r="Y52" s="554">
        <v>4.5999999999999996</v>
      </c>
      <c r="Z52" s="4">
        <v>21.73</v>
      </c>
      <c r="AA52" s="4">
        <v>4.54</v>
      </c>
      <c r="AB52" s="4">
        <v>23.36</v>
      </c>
      <c r="AC52" s="4">
        <v>24.68</v>
      </c>
      <c r="AD52" s="4">
        <v>20.100000000000001</v>
      </c>
      <c r="AF52" s="4">
        <v>0.89320388349514546</v>
      </c>
      <c r="AG52" s="4">
        <v>1.0230696798493411</v>
      </c>
      <c r="AH52" s="4">
        <v>0.59894459102902375</v>
      </c>
      <c r="AI52" s="4">
        <v>1</v>
      </c>
      <c r="AJ52" s="4">
        <v>0.97975387058356489</v>
      </c>
      <c r="AK52" s="4">
        <v>0.90499774876181904</v>
      </c>
      <c r="AM52" s="556">
        <v>45885</v>
      </c>
      <c r="AN52" s="557">
        <v>3.0550000000000002</v>
      </c>
      <c r="AO52" s="557">
        <v>344600</v>
      </c>
      <c r="AP52" s="557">
        <v>103.18898</v>
      </c>
      <c r="AQ52" s="557">
        <v>315.24233390000001</v>
      </c>
      <c r="AR52" s="557">
        <v>1.5037</v>
      </c>
    </row>
    <row r="53" spans="2:44">
      <c r="B53" s="558">
        <v>45597</v>
      </c>
      <c r="C53" s="554">
        <v>6.0376000000000003</v>
      </c>
      <c r="D53" s="554">
        <v>12.1561</v>
      </c>
      <c r="E53" s="554">
        <v>5.3920000000000003</v>
      </c>
      <c r="F53" s="554">
        <v>8.4719999999999995</v>
      </c>
      <c r="G53" s="554">
        <v>10.747400000000001</v>
      </c>
      <c r="H53" s="554">
        <v>0</v>
      </c>
      <c r="I53" s="558">
        <v>45597</v>
      </c>
      <c r="J53" s="554">
        <v>4.5899000000000001</v>
      </c>
      <c r="K53" s="554">
        <v>16.9558</v>
      </c>
      <c r="L53" s="554">
        <v>4.7221000000000002</v>
      </c>
      <c r="M53" s="554">
        <v>6.8734000000000002</v>
      </c>
      <c r="N53" s="554">
        <v>12.837</v>
      </c>
      <c r="O53" s="554">
        <v>0</v>
      </c>
      <c r="P53" s="554"/>
      <c r="Q53" s="558">
        <v>45597</v>
      </c>
      <c r="R53" s="4">
        <v>4.62</v>
      </c>
      <c r="S53" s="4">
        <v>131511.73000000001</v>
      </c>
      <c r="T53" s="4">
        <v>0</v>
      </c>
      <c r="U53" s="4">
        <v>0.8970873786407767</v>
      </c>
      <c r="V53" s="4">
        <v>1.2134725888074289</v>
      </c>
      <c r="W53" s="4" t="e">
        <v>#DIV/0!</v>
      </c>
      <c r="Y53" s="554">
        <v>4.62</v>
      </c>
      <c r="Z53" s="4">
        <v>21.56</v>
      </c>
      <c r="AA53" s="4">
        <v>4.3099999999999996</v>
      </c>
      <c r="AB53" s="4">
        <v>22.4</v>
      </c>
      <c r="AC53" s="4">
        <v>25.04</v>
      </c>
      <c r="AD53" s="4">
        <v>20.399999999999999</v>
      </c>
      <c r="AF53" s="4">
        <v>0.8970873786407767</v>
      </c>
      <c r="AG53" s="4">
        <v>1.0150659133709981</v>
      </c>
      <c r="AH53" s="4">
        <v>0.56860158311345643</v>
      </c>
      <c r="AI53" s="4">
        <v>0.95890410958904104</v>
      </c>
      <c r="AJ53" s="4">
        <v>0.99404525605398963</v>
      </c>
      <c r="AK53" s="4">
        <v>0.91850517784781616</v>
      </c>
      <c r="AM53" s="556">
        <v>45884</v>
      </c>
      <c r="AN53" s="557">
        <v>2.9350000000000001</v>
      </c>
      <c r="AO53" s="557">
        <v>269600</v>
      </c>
      <c r="AP53" s="557">
        <v>103.18898</v>
      </c>
      <c r="AQ53" s="557">
        <v>302.85965629999998</v>
      </c>
      <c r="AR53" s="557">
        <v>1.4495</v>
      </c>
    </row>
    <row r="54" spans="2:44">
      <c r="B54" s="558">
        <v>45590</v>
      </c>
      <c r="C54" s="554">
        <v>6.0898000000000003</v>
      </c>
      <c r="D54" s="554">
        <v>12.2622</v>
      </c>
      <c r="E54" s="554">
        <v>5.4442000000000004</v>
      </c>
      <c r="F54" s="554">
        <v>8.4527000000000001</v>
      </c>
      <c r="G54" s="554">
        <v>11.3337</v>
      </c>
      <c r="H54" s="554">
        <v>0</v>
      </c>
      <c r="I54" s="558">
        <v>45590</v>
      </c>
      <c r="J54" s="554">
        <v>4.8205</v>
      </c>
      <c r="K54" s="554">
        <v>17.223199999999999</v>
      </c>
      <c r="L54" s="554">
        <v>4.8207000000000004</v>
      </c>
      <c r="M54" s="554">
        <v>6.8457999999999997</v>
      </c>
      <c r="N54" s="554">
        <v>12.867800000000001</v>
      </c>
      <c r="O54" s="554">
        <v>0</v>
      </c>
      <c r="P54" s="554"/>
      <c r="Q54" s="558">
        <v>45590</v>
      </c>
      <c r="R54" s="4">
        <v>4.7699999999999996</v>
      </c>
      <c r="S54" s="4">
        <v>132495.16</v>
      </c>
      <c r="T54" s="4">
        <v>0</v>
      </c>
      <c r="U54" s="4">
        <v>0.92621359223300959</v>
      </c>
      <c r="V54" s="4">
        <v>1.2225468010317748</v>
      </c>
      <c r="W54" s="4" t="e">
        <v>#DIV/0!</v>
      </c>
      <c r="Y54" s="554">
        <v>4.7699999999999996</v>
      </c>
      <c r="Z54" s="4">
        <v>21.9</v>
      </c>
      <c r="AA54" s="4">
        <v>4.4000000000000004</v>
      </c>
      <c r="AB54" s="4">
        <v>22.31</v>
      </c>
      <c r="AC54" s="4">
        <v>25.1</v>
      </c>
      <c r="AD54" s="4">
        <v>21.06</v>
      </c>
      <c r="AF54" s="4">
        <v>0.92621359223300959</v>
      </c>
      <c r="AG54" s="4">
        <v>1.0310734463276836</v>
      </c>
      <c r="AH54" s="4">
        <v>0.58047493403693939</v>
      </c>
      <c r="AI54" s="4">
        <v>0.95505136986301364</v>
      </c>
      <c r="AJ54" s="4">
        <v>0.99642715363239376</v>
      </c>
      <c r="AK54" s="4">
        <v>0.94822152183701025</v>
      </c>
      <c r="AM54" s="556">
        <v>45883</v>
      </c>
      <c r="AN54" s="557">
        <v>2.9350000000000001</v>
      </c>
      <c r="AO54" s="557">
        <v>723400</v>
      </c>
      <c r="AP54" s="557">
        <v>103.18898</v>
      </c>
      <c r="AQ54" s="557">
        <v>302.85965629999998</v>
      </c>
      <c r="AR54" s="557">
        <v>1.4396</v>
      </c>
    </row>
    <row r="55" spans="2:44">
      <c r="B55" s="558">
        <v>45583</v>
      </c>
      <c r="C55" s="554">
        <v>6.0708000000000002</v>
      </c>
      <c r="D55" s="554">
        <v>12.412100000000001</v>
      </c>
      <c r="E55" s="554">
        <v>5.45</v>
      </c>
      <c r="F55" s="554">
        <v>8.6411999999999995</v>
      </c>
      <c r="G55" s="554">
        <v>11.6342</v>
      </c>
      <c r="H55" s="554">
        <v>0</v>
      </c>
      <c r="I55" s="558">
        <v>45583</v>
      </c>
      <c r="J55" s="554">
        <v>4.7366999999999999</v>
      </c>
      <c r="K55" s="554">
        <v>17.6007</v>
      </c>
      <c r="L55" s="554">
        <v>4.8315999999999999</v>
      </c>
      <c r="M55" s="554">
        <v>6.7476000000000003</v>
      </c>
      <c r="N55" s="554">
        <v>13.2933</v>
      </c>
      <c r="O55" s="554">
        <v>0</v>
      </c>
      <c r="P55" s="554"/>
      <c r="Q55" s="558">
        <v>45583</v>
      </c>
      <c r="R55" s="4">
        <v>4.6399999999999997</v>
      </c>
      <c r="S55" s="4">
        <v>132155.76</v>
      </c>
      <c r="T55" s="4">
        <v>0</v>
      </c>
      <c r="U55" s="4">
        <v>0.90097087378640761</v>
      </c>
      <c r="V55" s="4">
        <v>1.2194151214725353</v>
      </c>
      <c r="W55" s="4" t="e">
        <v>#DIV/0!</v>
      </c>
      <c r="Y55" s="554">
        <v>4.6399999999999997</v>
      </c>
      <c r="Z55" s="4">
        <v>22.38</v>
      </c>
      <c r="AA55" s="4">
        <v>4.41</v>
      </c>
      <c r="AB55" s="4">
        <v>21.99</v>
      </c>
      <c r="AC55" s="4">
        <v>25.93</v>
      </c>
      <c r="AD55" s="4">
        <v>21.26</v>
      </c>
      <c r="AF55" s="4">
        <v>0.90097087378640761</v>
      </c>
      <c r="AG55" s="4">
        <v>1.0536723163841808</v>
      </c>
      <c r="AH55" s="4">
        <v>0.58179419525065967</v>
      </c>
      <c r="AI55" s="4">
        <v>0.9413527397260274</v>
      </c>
      <c r="AJ55" s="4">
        <v>1.0293767368003175</v>
      </c>
      <c r="AK55" s="4">
        <v>0.95722647456100862</v>
      </c>
      <c r="AM55" s="556">
        <v>45882</v>
      </c>
      <c r="AN55" s="557">
        <v>3.0249999999999999</v>
      </c>
      <c r="AO55" s="557">
        <v>211800</v>
      </c>
      <c r="AP55" s="557">
        <v>103.18898</v>
      </c>
      <c r="AQ55" s="557">
        <v>312.14666449999999</v>
      </c>
      <c r="AR55" s="557">
        <v>1.484</v>
      </c>
    </row>
    <row r="56" spans="2:44">
      <c r="B56" s="558">
        <v>45576</v>
      </c>
      <c r="C56" s="554">
        <v>6.0683999999999996</v>
      </c>
      <c r="D56" s="554">
        <v>12.3309</v>
      </c>
      <c r="E56" s="554">
        <v>5.3455000000000004</v>
      </c>
      <c r="F56" s="554">
        <v>8.6051000000000002</v>
      </c>
      <c r="G56" s="554">
        <v>11.514699999999999</v>
      </c>
      <c r="H56" s="554">
        <v>0</v>
      </c>
      <c r="I56" s="558">
        <v>45576</v>
      </c>
      <c r="J56" s="554">
        <v>4.7262000000000004</v>
      </c>
      <c r="K56" s="554">
        <v>17.3963</v>
      </c>
      <c r="L56" s="554">
        <v>4.6344000000000003</v>
      </c>
      <c r="M56" s="554">
        <v>6.6985000000000001</v>
      </c>
      <c r="N56" s="554">
        <v>13.1241</v>
      </c>
      <c r="O56" s="554">
        <v>0</v>
      </c>
      <c r="P56" s="554"/>
      <c r="Q56" s="558">
        <v>45576</v>
      </c>
      <c r="R56" s="4">
        <v>5.03</v>
      </c>
      <c r="S56" s="4">
        <v>134960.19</v>
      </c>
      <c r="T56" s="4">
        <v>0</v>
      </c>
      <c r="U56" s="4">
        <v>0.97669902912621354</v>
      </c>
      <c r="V56" s="4">
        <v>1.2452918925577396</v>
      </c>
      <c r="W56" s="4" t="e">
        <v>#DIV/0!</v>
      </c>
      <c r="Y56" s="554">
        <v>5.03</v>
      </c>
      <c r="Z56" s="4">
        <v>22.12</v>
      </c>
      <c r="AA56" s="4">
        <v>4.2300000000000004</v>
      </c>
      <c r="AB56" s="4">
        <v>21.83</v>
      </c>
      <c r="AC56" s="4">
        <v>25.6</v>
      </c>
      <c r="AD56" s="4">
        <v>21.2</v>
      </c>
      <c r="AF56" s="4">
        <v>0.97669902912621354</v>
      </c>
      <c r="AG56" s="4">
        <v>1.041431261770245</v>
      </c>
      <c r="AH56" s="4">
        <v>0.55804749340369397</v>
      </c>
      <c r="AI56" s="4">
        <v>0.93450342465753422</v>
      </c>
      <c r="AJ56" s="4">
        <v>1.0162763001190949</v>
      </c>
      <c r="AK56" s="4">
        <v>0.95452498874380898</v>
      </c>
      <c r="AM56" s="556">
        <v>45881</v>
      </c>
      <c r="AN56" s="557">
        <v>3.0249999999999999</v>
      </c>
      <c r="AO56" s="557">
        <v>211800</v>
      </c>
      <c r="AP56" s="557">
        <v>103.18898</v>
      </c>
      <c r="AQ56" s="557">
        <v>312.14666449999999</v>
      </c>
      <c r="AR56" s="557">
        <v>1.484</v>
      </c>
    </row>
    <row r="57" spans="2:44">
      <c r="B57" s="558">
        <v>45569</v>
      </c>
      <c r="C57" s="554">
        <v>6.0922000000000001</v>
      </c>
      <c r="D57" s="554">
        <v>12.4495</v>
      </c>
      <c r="E57" s="554">
        <v>5.3920000000000003</v>
      </c>
      <c r="F57" s="554">
        <v>8.9184999999999999</v>
      </c>
      <c r="G57" s="554">
        <v>11.583500000000001</v>
      </c>
      <c r="H57" s="554">
        <v>0</v>
      </c>
      <c r="I57" s="558">
        <v>45569</v>
      </c>
      <c r="J57" s="554">
        <v>4.8310000000000004</v>
      </c>
      <c r="K57" s="554">
        <v>17.6951</v>
      </c>
      <c r="L57" s="554">
        <v>4.7221000000000002</v>
      </c>
      <c r="M57" s="554">
        <v>7.1250999999999998</v>
      </c>
      <c r="N57" s="554">
        <v>13.221500000000001</v>
      </c>
      <c r="O57" s="554">
        <v>0</v>
      </c>
      <c r="P57" s="554"/>
      <c r="Q57" s="558">
        <v>45569</v>
      </c>
      <c r="R57" s="4">
        <v>4.99</v>
      </c>
      <c r="S57" s="4">
        <v>134319.57999999999</v>
      </c>
      <c r="T57" s="4">
        <v>0</v>
      </c>
      <c r="U57" s="4">
        <v>0.96893203883495138</v>
      </c>
      <c r="V57" s="4">
        <v>1.239380916592965</v>
      </c>
      <c r="W57" s="4" t="e">
        <v>#DIV/0!</v>
      </c>
      <c r="Y57" s="554">
        <v>4.99</v>
      </c>
      <c r="Z57" s="4">
        <v>22.5</v>
      </c>
      <c r="AA57" s="4">
        <v>4.3099999999999996</v>
      </c>
      <c r="AB57" s="4">
        <v>23.22</v>
      </c>
      <c r="AC57" s="4">
        <v>25.79</v>
      </c>
      <c r="AD57" s="4">
        <v>21.6</v>
      </c>
      <c r="AF57" s="4">
        <v>0.96893203883495138</v>
      </c>
      <c r="AG57" s="4">
        <v>1.0593220338983051</v>
      </c>
      <c r="AH57" s="4">
        <v>0.56860158311345643</v>
      </c>
      <c r="AI57" s="4">
        <v>0.99400684931506844</v>
      </c>
      <c r="AJ57" s="4">
        <v>1.0238189757840412</v>
      </c>
      <c r="AK57" s="4">
        <v>0.9725348941918055</v>
      </c>
      <c r="AM57" s="556">
        <v>45880</v>
      </c>
      <c r="AN57" s="557">
        <v>3.0249999999999999</v>
      </c>
      <c r="AO57" s="557">
        <v>211800</v>
      </c>
      <c r="AP57" s="557">
        <v>103.18898</v>
      </c>
      <c r="AQ57" s="557">
        <v>312.14666449999999</v>
      </c>
      <c r="AR57" s="557">
        <v>1.484</v>
      </c>
    </row>
    <row r="58" spans="2:44">
      <c r="B58" s="558">
        <v>45562</v>
      </c>
      <c r="C58" s="554">
        <v>6.1318000000000001</v>
      </c>
      <c r="D58" s="554">
        <v>11.509</v>
      </c>
      <c r="E58" s="554">
        <v>5.6300999999999997</v>
      </c>
      <c r="F58" s="554">
        <v>11.063000000000001</v>
      </c>
      <c r="G58" s="554">
        <v>11.240500000000001</v>
      </c>
      <c r="H58" s="554">
        <v>0</v>
      </c>
      <c r="I58" s="558">
        <v>45562</v>
      </c>
      <c r="J58" s="554">
        <v>4.5976999999999997</v>
      </c>
      <c r="K58" s="554">
        <v>19.984500000000001</v>
      </c>
      <c r="L58" s="554">
        <v>4.7466999999999997</v>
      </c>
      <c r="M58" s="554">
        <v>8.2797999999999998</v>
      </c>
      <c r="N58" s="554">
        <v>13.3127</v>
      </c>
      <c r="O58" s="554">
        <v>0</v>
      </c>
      <c r="P58" s="554"/>
      <c r="Q58" s="558">
        <v>45562</v>
      </c>
      <c r="R58" s="4">
        <v>5.07</v>
      </c>
      <c r="S58" s="4">
        <v>134353.48000000001</v>
      </c>
      <c r="T58" s="4">
        <v>0</v>
      </c>
      <c r="U58" s="4">
        <v>0.98446601941747569</v>
      </c>
      <c r="V58" s="4">
        <v>1.2396937154646748</v>
      </c>
      <c r="W58" s="4" t="e">
        <v>#DIV/0!</v>
      </c>
      <c r="Y58" s="554">
        <v>5.07</v>
      </c>
      <c r="Z58" s="4">
        <v>21.87</v>
      </c>
      <c r="AA58" s="4">
        <v>4.0999999999999996</v>
      </c>
      <c r="AB58" s="4">
        <v>22.35</v>
      </c>
      <c r="AC58" s="4">
        <v>25.54</v>
      </c>
      <c r="AD58" s="4">
        <v>21.13</v>
      </c>
      <c r="AF58" s="4">
        <v>0.98446601941747569</v>
      </c>
      <c r="AG58" s="4">
        <v>1.0296610169491527</v>
      </c>
      <c r="AH58" s="4">
        <v>0.54089709762532978</v>
      </c>
      <c r="AI58" s="4">
        <v>0.9567636986301371</v>
      </c>
      <c r="AJ58" s="4">
        <v>1.0138944025406906</v>
      </c>
      <c r="AK58" s="4">
        <v>0.95137325529040961</v>
      </c>
      <c r="AM58" s="556">
        <v>45879</v>
      </c>
      <c r="AN58" s="557">
        <v>3.105</v>
      </c>
      <c r="AO58" s="557">
        <v>135200</v>
      </c>
      <c r="AP58" s="557">
        <v>103.18898</v>
      </c>
      <c r="AQ58" s="557">
        <v>320.4017829</v>
      </c>
      <c r="AR58" s="557">
        <v>1.5283</v>
      </c>
    </row>
    <row r="59" spans="2:44">
      <c r="B59" s="558">
        <v>45555</v>
      </c>
      <c r="C59" s="554">
        <v>6.0864000000000003</v>
      </c>
      <c r="D59" s="554">
        <v>11.6676</v>
      </c>
      <c r="E59" s="554">
        <v>5.6795</v>
      </c>
      <c r="F59" s="554">
        <v>11.137499999999999</v>
      </c>
      <c r="G59" s="554">
        <v>11.904500000000001</v>
      </c>
      <c r="H59" s="554">
        <v>0</v>
      </c>
      <c r="I59" s="558">
        <v>45555</v>
      </c>
      <c r="J59" s="554">
        <v>4.4172000000000002</v>
      </c>
      <c r="K59" s="554">
        <v>20.423100000000002</v>
      </c>
      <c r="L59" s="554">
        <v>4.8394000000000004</v>
      </c>
      <c r="M59" s="554">
        <v>8.3835999999999995</v>
      </c>
      <c r="N59" s="554">
        <v>13.729699999999999</v>
      </c>
      <c r="O59" s="554">
        <v>0</v>
      </c>
      <c r="P59" s="554"/>
      <c r="Q59" s="558">
        <v>45555</v>
      </c>
      <c r="R59" s="4">
        <v>5.25</v>
      </c>
      <c r="S59" s="4">
        <v>136775.91</v>
      </c>
      <c r="T59" s="4">
        <v>0</v>
      </c>
      <c r="U59" s="4">
        <v>1.0194174757281553</v>
      </c>
      <c r="V59" s="4">
        <v>1.2620457323022964</v>
      </c>
      <c r="W59" s="4" t="e">
        <v>#DIV/0!</v>
      </c>
      <c r="Y59" s="554">
        <v>5.25</v>
      </c>
      <c r="Z59" s="4">
        <v>22.35</v>
      </c>
      <c r="AA59" s="4">
        <v>4.18</v>
      </c>
      <c r="AB59" s="4">
        <v>22.63</v>
      </c>
      <c r="AC59" s="4">
        <v>26.34</v>
      </c>
      <c r="AD59" s="4">
        <v>21.24</v>
      </c>
      <c r="AF59" s="4">
        <v>1.0194174757281553</v>
      </c>
      <c r="AG59" s="4">
        <v>1.0522598870056499</v>
      </c>
      <c r="AH59" s="4">
        <v>0.55145118733509235</v>
      </c>
      <c r="AI59" s="4">
        <v>0.96875</v>
      </c>
      <c r="AJ59" s="4">
        <v>1.0456530369194124</v>
      </c>
      <c r="AK59" s="4">
        <v>0.95632597928860863</v>
      </c>
      <c r="AM59" s="556">
        <v>45878</v>
      </c>
      <c r="AN59" s="557">
        <v>3.0649999999999999</v>
      </c>
      <c r="AO59" s="557">
        <v>187500</v>
      </c>
      <c r="AP59" s="557">
        <v>103.18898</v>
      </c>
      <c r="AQ59" s="557">
        <v>316.27422369999999</v>
      </c>
      <c r="AR59" s="557">
        <v>1.5085999999999999</v>
      </c>
    </row>
    <row r="60" spans="2:44">
      <c r="B60" s="558">
        <v>45548</v>
      </c>
      <c r="C60" s="554">
        <v>6.1914999999999996</v>
      </c>
      <c r="D60" s="554">
        <v>11.829499999999999</v>
      </c>
      <c r="E60" s="554">
        <v>5.9013999999999998</v>
      </c>
      <c r="F60" s="554">
        <v>11.2759</v>
      </c>
      <c r="G60" s="554">
        <v>12.349500000000001</v>
      </c>
      <c r="H60" s="554">
        <v>0</v>
      </c>
      <c r="I60" s="558">
        <v>45548</v>
      </c>
      <c r="J60" s="554">
        <v>4.8352000000000004</v>
      </c>
      <c r="K60" s="554">
        <v>20.870899999999999</v>
      </c>
      <c r="L60" s="554">
        <v>5.2561999999999998</v>
      </c>
      <c r="M60" s="554">
        <v>8.5762</v>
      </c>
      <c r="N60" s="554">
        <v>14.3447</v>
      </c>
      <c r="O60" s="554">
        <v>0</v>
      </c>
      <c r="P60" s="554"/>
      <c r="Q60" s="558">
        <v>45548</v>
      </c>
      <c r="R60" s="4">
        <v>5.28</v>
      </c>
      <c r="S60" s="4">
        <v>136087.41</v>
      </c>
      <c r="T60" s="4">
        <v>0</v>
      </c>
      <c r="U60" s="4">
        <v>1.025242718446602</v>
      </c>
      <c r="V60" s="4">
        <v>1.2556928702618237</v>
      </c>
      <c r="W60" s="4" t="e">
        <v>#DIV/0!</v>
      </c>
      <c r="Y60" s="554">
        <v>5.28</v>
      </c>
      <c r="Z60" s="4">
        <v>22.84</v>
      </c>
      <c r="AA60" s="4">
        <v>4.54</v>
      </c>
      <c r="AB60" s="4">
        <v>23.15</v>
      </c>
      <c r="AC60" s="4">
        <v>27.52</v>
      </c>
      <c r="AD60" s="4">
        <v>22.33</v>
      </c>
      <c r="AF60" s="4">
        <v>1.025242718446602</v>
      </c>
      <c r="AG60" s="4">
        <v>1.0753295668549907</v>
      </c>
      <c r="AH60" s="4">
        <v>0.59894459102902375</v>
      </c>
      <c r="AI60" s="4">
        <v>0.99101027397260266</v>
      </c>
      <c r="AJ60" s="4">
        <v>1.0924970226280268</v>
      </c>
      <c r="AK60" s="4">
        <v>1.0054029716343988</v>
      </c>
      <c r="AM60" s="556">
        <v>45877</v>
      </c>
      <c r="AN60" s="557">
        <v>3.07</v>
      </c>
      <c r="AO60" s="557">
        <v>121700</v>
      </c>
      <c r="AP60" s="557">
        <v>103.18898</v>
      </c>
      <c r="AQ60" s="557">
        <v>316.79016859999996</v>
      </c>
      <c r="AR60" s="557">
        <v>1.5085999999999999</v>
      </c>
    </row>
    <row r="61" spans="2:44">
      <c r="B61" s="558">
        <v>45541</v>
      </c>
      <c r="C61" s="554">
        <v>6.1890999999999998</v>
      </c>
      <c r="D61" s="554">
        <v>11.902200000000001</v>
      </c>
      <c r="E61" s="554">
        <v>5.8705999999999996</v>
      </c>
      <c r="F61" s="554">
        <v>11.262600000000001</v>
      </c>
      <c r="G61" s="554">
        <v>11.757400000000001</v>
      </c>
      <c r="H61" s="554">
        <v>0</v>
      </c>
      <c r="I61" s="558">
        <v>45541</v>
      </c>
      <c r="J61" s="554">
        <v>4.8257000000000003</v>
      </c>
      <c r="K61" s="554">
        <v>21.071899999999999</v>
      </c>
      <c r="L61" s="554">
        <v>5.1982999999999997</v>
      </c>
      <c r="M61" s="554">
        <v>8.5577000000000005</v>
      </c>
      <c r="N61" s="554">
        <v>13.526400000000001</v>
      </c>
      <c r="O61" s="554">
        <v>0</v>
      </c>
      <c r="P61" s="554"/>
      <c r="Q61" s="558">
        <v>45541</v>
      </c>
      <c r="R61" s="4">
        <v>5.31</v>
      </c>
      <c r="S61" s="4">
        <v>132397.97</v>
      </c>
      <c r="T61" s="4">
        <v>0</v>
      </c>
      <c r="U61" s="4">
        <v>1.0310679611650484</v>
      </c>
      <c r="V61" s="4">
        <v>1.2216500186618204</v>
      </c>
      <c r="W61" s="4" t="e">
        <v>#DIV/0!</v>
      </c>
      <c r="Y61" s="554">
        <v>5.31</v>
      </c>
      <c r="Z61" s="4">
        <v>23.06</v>
      </c>
      <c r="AA61" s="4">
        <v>4.49</v>
      </c>
      <c r="AB61" s="4">
        <v>23.1</v>
      </c>
      <c r="AC61" s="4">
        <v>25.95</v>
      </c>
      <c r="AD61" s="4">
        <v>22.03</v>
      </c>
      <c r="AF61" s="4">
        <v>1.0310679611650484</v>
      </c>
      <c r="AG61" s="4">
        <v>1.0856873822975519</v>
      </c>
      <c r="AH61" s="4">
        <v>0.59234828496042213</v>
      </c>
      <c r="AI61" s="4">
        <v>0.98886986301369872</v>
      </c>
      <c r="AJ61" s="4">
        <v>1.0301707026597855</v>
      </c>
      <c r="AK61" s="4">
        <v>0.99189554254840162</v>
      </c>
      <c r="AM61" s="556">
        <v>45876</v>
      </c>
      <c r="AN61" s="557">
        <v>3.1349999999999998</v>
      </c>
      <c r="AO61" s="557">
        <v>291500</v>
      </c>
      <c r="AP61" s="557">
        <v>103.18898</v>
      </c>
      <c r="AQ61" s="557">
        <v>323.49745229999996</v>
      </c>
      <c r="AR61" s="557">
        <v>1.5382</v>
      </c>
    </row>
    <row r="62" spans="2:44">
      <c r="B62" s="558">
        <v>45534</v>
      </c>
      <c r="C62" s="554">
        <v>6.2583000000000002</v>
      </c>
      <c r="D62" s="554">
        <v>11.819599999999999</v>
      </c>
      <c r="E62" s="554">
        <v>5.7965999999999998</v>
      </c>
      <c r="F62" s="554">
        <v>11.342499999999999</v>
      </c>
      <c r="G62" s="554">
        <v>11.640499999999999</v>
      </c>
      <c r="H62" s="554">
        <v>0</v>
      </c>
      <c r="I62" s="558">
        <v>45534</v>
      </c>
      <c r="J62" s="554">
        <v>5.1012000000000004</v>
      </c>
      <c r="K62" s="554">
        <v>20.843499999999999</v>
      </c>
      <c r="L62" s="554">
        <v>5.0593000000000004</v>
      </c>
      <c r="M62" s="554">
        <v>8.6687999999999992</v>
      </c>
      <c r="N62" s="554">
        <v>13.364800000000001</v>
      </c>
      <c r="O62" s="554">
        <v>0</v>
      </c>
      <c r="P62" s="554"/>
      <c r="Q62" s="558">
        <v>45534</v>
      </c>
      <c r="R62" s="4">
        <v>5.32</v>
      </c>
      <c r="S62" s="4">
        <v>126266.7</v>
      </c>
      <c r="T62" s="4">
        <v>0</v>
      </c>
      <c r="U62" s="4">
        <v>1.033009708737864</v>
      </c>
      <c r="V62" s="4">
        <v>1.1650761443802082</v>
      </c>
      <c r="W62" s="4" t="e">
        <v>#DIV/0!</v>
      </c>
      <c r="Y62" s="554">
        <v>5.32</v>
      </c>
      <c r="Z62" s="4">
        <v>22.81</v>
      </c>
      <c r="AA62" s="4">
        <v>4.37</v>
      </c>
      <c r="AB62" s="4">
        <v>23.4</v>
      </c>
      <c r="AC62" s="4">
        <v>25.64</v>
      </c>
      <c r="AD62" s="4">
        <v>22.09</v>
      </c>
      <c r="AF62" s="4">
        <v>1.033009708737864</v>
      </c>
      <c r="AG62" s="4">
        <v>1.0739171374764596</v>
      </c>
      <c r="AH62" s="4">
        <v>0.57651715039577833</v>
      </c>
      <c r="AI62" s="4">
        <v>1.0017123287671232</v>
      </c>
      <c r="AJ62" s="4">
        <v>1.0178642318380309</v>
      </c>
      <c r="AK62" s="4">
        <v>0.99459702836560104</v>
      </c>
      <c r="AM62" s="556">
        <v>45875</v>
      </c>
      <c r="AN62" s="557">
        <v>3.0750000000000002</v>
      </c>
      <c r="AO62" s="557">
        <v>511500</v>
      </c>
      <c r="AP62" s="557">
        <v>103.18898</v>
      </c>
      <c r="AQ62" s="557">
        <v>317.30611350000004</v>
      </c>
      <c r="AR62" s="557">
        <v>1.5085999999999999</v>
      </c>
    </row>
    <row r="63" spans="2:44">
      <c r="B63" s="558">
        <v>45527</v>
      </c>
      <c r="C63" s="554">
        <v>6.2392000000000003</v>
      </c>
      <c r="D63" s="554">
        <v>12.166600000000001</v>
      </c>
      <c r="E63" s="554">
        <v>5.8521000000000001</v>
      </c>
      <c r="F63" s="554">
        <v>11.6539</v>
      </c>
      <c r="G63" s="554">
        <v>12.0365</v>
      </c>
      <c r="H63" s="554">
        <v>0</v>
      </c>
      <c r="I63" s="558">
        <v>45527</v>
      </c>
      <c r="J63" s="554">
        <v>5.0251999999999999</v>
      </c>
      <c r="K63" s="554">
        <v>21.803000000000001</v>
      </c>
      <c r="L63" s="554">
        <v>5.1635</v>
      </c>
      <c r="M63" s="554">
        <v>9.1022999999999996</v>
      </c>
      <c r="N63" s="554">
        <v>13.912100000000001</v>
      </c>
      <c r="O63" s="554">
        <v>0</v>
      </c>
      <c r="P63" s="554"/>
      <c r="Q63" s="558">
        <v>45527</v>
      </c>
      <c r="R63" s="4">
        <v>5.5</v>
      </c>
      <c r="S63" s="4">
        <v>126139.21</v>
      </c>
      <c r="T63" s="4">
        <v>0</v>
      </c>
      <c r="U63" s="4">
        <v>1.0679611650485437</v>
      </c>
      <c r="V63" s="4">
        <v>1.1638997807178411</v>
      </c>
      <c r="W63" s="4" t="e">
        <v>#DIV/0!</v>
      </c>
      <c r="Y63" s="554">
        <v>5.5</v>
      </c>
      <c r="Z63" s="4">
        <v>23.86</v>
      </c>
      <c r="AA63" s="4">
        <v>4.46</v>
      </c>
      <c r="AB63" s="4">
        <v>24.57</v>
      </c>
      <c r="AC63" s="4">
        <v>26.69</v>
      </c>
      <c r="AD63" s="4">
        <v>23.35</v>
      </c>
      <c r="AF63" s="4">
        <v>1.0679611650485437</v>
      </c>
      <c r="AG63" s="4">
        <v>1.1233521657250471</v>
      </c>
      <c r="AH63" s="4">
        <v>0.58839050131926118</v>
      </c>
      <c r="AI63" s="4">
        <v>1.0517979452054795</v>
      </c>
      <c r="AJ63" s="4">
        <v>1.0595474394601032</v>
      </c>
      <c r="AK63" s="4">
        <v>1.0513282305267897</v>
      </c>
      <c r="AM63" s="556">
        <v>45874</v>
      </c>
      <c r="AN63" s="557">
        <v>3.0750000000000002</v>
      </c>
      <c r="AO63" s="557">
        <v>511500</v>
      </c>
      <c r="AP63" s="557">
        <v>103.18898</v>
      </c>
      <c r="AQ63" s="557">
        <v>317.30611350000004</v>
      </c>
      <c r="AR63" s="557">
        <v>1.5085999999999999</v>
      </c>
    </row>
    <row r="64" spans="2:44">
      <c r="B64" s="558">
        <v>45520</v>
      </c>
      <c r="C64" s="554">
        <v>6.2081999999999997</v>
      </c>
      <c r="D64" s="554">
        <v>11.968299999999999</v>
      </c>
      <c r="E64" s="554">
        <v>5.7350000000000003</v>
      </c>
      <c r="F64" s="554">
        <v>11.451599999999999</v>
      </c>
      <c r="G64" s="554">
        <v>11.919600000000001</v>
      </c>
      <c r="H64" s="554">
        <v>0</v>
      </c>
      <c r="I64" s="558">
        <v>45520</v>
      </c>
      <c r="J64" s="554">
        <v>4.9016999999999999</v>
      </c>
      <c r="K64" s="554">
        <v>21.2547</v>
      </c>
      <c r="L64" s="554">
        <v>4.9436</v>
      </c>
      <c r="M64" s="554">
        <v>8.8207000000000004</v>
      </c>
      <c r="N64" s="554">
        <v>13.750500000000001</v>
      </c>
      <c r="O64" s="554">
        <v>0</v>
      </c>
      <c r="P64" s="554"/>
      <c r="Q64" s="558">
        <v>45520</v>
      </c>
      <c r="R64" s="4">
        <v>5.69</v>
      </c>
      <c r="S64" s="4">
        <v>126589.84</v>
      </c>
      <c r="T64" s="4">
        <v>0</v>
      </c>
      <c r="U64" s="4">
        <v>1.1048543689320389</v>
      </c>
      <c r="V64" s="4">
        <v>1.1680577912062917</v>
      </c>
      <c r="W64" s="4" t="e">
        <v>#DIV/0!</v>
      </c>
      <c r="Y64" s="554">
        <v>5.69</v>
      </c>
      <c r="Z64" s="4">
        <v>23.26</v>
      </c>
      <c r="AA64" s="4">
        <v>4.2699999999999996</v>
      </c>
      <c r="AB64" s="4">
        <v>23.81</v>
      </c>
      <c r="AC64" s="4">
        <v>26.38</v>
      </c>
      <c r="AD64" s="4">
        <v>23.23</v>
      </c>
      <c r="AF64" s="4">
        <v>1.1048543689320389</v>
      </c>
      <c r="AG64" s="4">
        <v>1.0951035781544258</v>
      </c>
      <c r="AH64" s="4">
        <v>0.56332453825857509</v>
      </c>
      <c r="AI64" s="4">
        <v>1.0192636986301369</v>
      </c>
      <c r="AJ64" s="4">
        <v>1.0472409686383484</v>
      </c>
      <c r="AK64" s="4">
        <v>1.0459252588923909</v>
      </c>
      <c r="AM64" s="556">
        <v>45873</v>
      </c>
      <c r="AN64" s="557">
        <v>3.0750000000000002</v>
      </c>
      <c r="AO64" s="557">
        <v>511500</v>
      </c>
      <c r="AP64" s="557">
        <v>103.18898</v>
      </c>
      <c r="AQ64" s="557">
        <v>317.30611350000004</v>
      </c>
      <c r="AR64" s="557">
        <v>1.5085999999999999</v>
      </c>
    </row>
    <row r="65" spans="2:44">
      <c r="B65" s="558">
        <v>45513</v>
      </c>
      <c r="C65" s="554">
        <v>6.2655000000000003</v>
      </c>
      <c r="D65" s="554">
        <v>11.9055</v>
      </c>
      <c r="E65" s="554">
        <v>5.6733000000000002</v>
      </c>
      <c r="F65" s="554">
        <v>11.382400000000001</v>
      </c>
      <c r="G65" s="554">
        <v>11.8894</v>
      </c>
      <c r="H65" s="554">
        <v>0</v>
      </c>
      <c r="I65" s="558">
        <v>45513</v>
      </c>
      <c r="J65" s="554">
        <v>5.1296999999999997</v>
      </c>
      <c r="K65" s="554">
        <v>21.081099999999999</v>
      </c>
      <c r="L65" s="554">
        <v>4.8277999999999999</v>
      </c>
      <c r="M65" s="554">
        <v>8.7243999999999993</v>
      </c>
      <c r="N65" s="554">
        <v>13.7088</v>
      </c>
      <c r="O65" s="554">
        <v>0</v>
      </c>
      <c r="P65" s="554"/>
      <c r="Q65" s="558">
        <v>45513</v>
      </c>
      <c r="R65" s="4">
        <v>5.79</v>
      </c>
      <c r="S65" s="4">
        <v>129110.38</v>
      </c>
      <c r="T65" s="4">
        <v>0</v>
      </c>
      <c r="U65" s="4">
        <v>1.124271844660194</v>
      </c>
      <c r="V65" s="4">
        <v>1.1913150793507994</v>
      </c>
      <c r="W65" s="4" t="e">
        <v>#DIV/0!</v>
      </c>
      <c r="Y65" s="554">
        <v>5.79</v>
      </c>
      <c r="Z65" s="4">
        <v>23.07</v>
      </c>
      <c r="AA65" s="4">
        <v>4.17</v>
      </c>
      <c r="AB65" s="4">
        <v>23.55</v>
      </c>
      <c r="AC65" s="4">
        <v>26.3</v>
      </c>
      <c r="AD65" s="4">
        <v>22.88</v>
      </c>
      <c r="AF65" s="4">
        <v>1.124271844660194</v>
      </c>
      <c r="AG65" s="4">
        <v>1.0861581920903955</v>
      </c>
      <c r="AH65" s="4">
        <v>0.55013192612137207</v>
      </c>
      <c r="AI65" s="4">
        <v>1.0081335616438356</v>
      </c>
      <c r="AJ65" s="4">
        <v>1.0440651052004764</v>
      </c>
      <c r="AK65" s="4">
        <v>1.0301665916253939</v>
      </c>
      <c r="AM65" s="556">
        <v>45872</v>
      </c>
      <c r="AN65" s="557">
        <v>3.06</v>
      </c>
      <c r="AO65" s="557">
        <v>503200</v>
      </c>
      <c r="AP65" s="557">
        <v>103.18898</v>
      </c>
      <c r="AQ65" s="557">
        <v>315.75827880000003</v>
      </c>
      <c r="AR65" s="557">
        <v>1.5037</v>
      </c>
    </row>
    <row r="66" spans="2:44">
      <c r="B66" s="558">
        <v>45506</v>
      </c>
      <c r="C66" s="554">
        <v>6.2535999999999996</v>
      </c>
      <c r="D66" s="554">
        <v>11.5619</v>
      </c>
      <c r="E66" s="554">
        <v>5.5747</v>
      </c>
      <c r="F66" s="554">
        <v>11.100300000000001</v>
      </c>
      <c r="G66" s="554">
        <v>11.3238</v>
      </c>
      <c r="H66" s="554">
        <v>0</v>
      </c>
      <c r="I66" s="558">
        <v>45506</v>
      </c>
      <c r="J66" s="554">
        <v>5.0822000000000003</v>
      </c>
      <c r="K66" s="554">
        <v>20.130700000000001</v>
      </c>
      <c r="L66" s="554">
        <v>4.6425999999999998</v>
      </c>
      <c r="M66" s="554">
        <v>8.3316999999999997</v>
      </c>
      <c r="N66" s="554">
        <v>12.9269</v>
      </c>
      <c r="O66" s="554">
        <v>0</v>
      </c>
      <c r="P66" s="554"/>
      <c r="Q66" s="558">
        <v>45506</v>
      </c>
      <c r="R66" s="4">
        <v>5.6</v>
      </c>
      <c r="S66" s="4">
        <v>127108.22</v>
      </c>
      <c r="T66" s="4">
        <v>0</v>
      </c>
      <c r="U66" s="4">
        <v>1.087378640776699</v>
      </c>
      <c r="V66" s="4">
        <v>1.1728409380828935</v>
      </c>
      <c r="W66" s="4" t="e">
        <v>#DIV/0!</v>
      </c>
      <c r="Y66" s="554">
        <v>5.6</v>
      </c>
      <c r="Z66" s="4">
        <v>22.03</v>
      </c>
      <c r="AA66" s="4">
        <v>4.01</v>
      </c>
      <c r="AB66" s="4">
        <v>22.49</v>
      </c>
      <c r="AC66" s="4">
        <v>24.8</v>
      </c>
      <c r="AD66" s="4">
        <v>21.44</v>
      </c>
      <c r="AF66" s="4">
        <v>1.087378640776699</v>
      </c>
      <c r="AG66" s="4">
        <v>1.0371939736346518</v>
      </c>
      <c r="AH66" s="4">
        <v>0.52902374670184693</v>
      </c>
      <c r="AI66" s="4">
        <v>0.96275684931506844</v>
      </c>
      <c r="AJ66" s="4">
        <v>0.98451766574037314</v>
      </c>
      <c r="AK66" s="4">
        <v>0.965330932012607</v>
      </c>
      <c r="AM66" s="556">
        <v>45871</v>
      </c>
      <c r="AN66" s="557">
        <v>3.15</v>
      </c>
      <c r="AO66" s="557">
        <v>232400</v>
      </c>
      <c r="AP66" s="557">
        <v>103.18898</v>
      </c>
      <c r="AQ66" s="557">
        <v>325.04528699999997</v>
      </c>
      <c r="AR66" s="557">
        <v>1.5481</v>
      </c>
    </row>
    <row r="67" spans="2:44">
      <c r="B67" s="558">
        <v>45499</v>
      </c>
      <c r="C67" s="554">
        <v>6.3037000000000001</v>
      </c>
      <c r="D67" s="554">
        <v>11.4429</v>
      </c>
      <c r="E67" s="554">
        <v>5.5685000000000002</v>
      </c>
      <c r="F67" s="554">
        <v>10.823399999999999</v>
      </c>
      <c r="G67" s="554">
        <v>11.0862</v>
      </c>
      <c r="H67" s="554">
        <v>0</v>
      </c>
      <c r="I67" s="558">
        <v>45499</v>
      </c>
      <c r="J67" s="554">
        <v>5.2816999999999998</v>
      </c>
      <c r="K67" s="554">
        <v>19.8018</v>
      </c>
      <c r="L67" s="554">
        <v>4.6310000000000002</v>
      </c>
      <c r="M67" s="554">
        <v>7.9463999999999997</v>
      </c>
      <c r="N67" s="554">
        <v>12.598599999999999</v>
      </c>
      <c r="O67" s="554">
        <v>0</v>
      </c>
      <c r="P67" s="554"/>
      <c r="Q67" s="558">
        <v>45499</v>
      </c>
      <c r="R67" s="4">
        <v>5.08</v>
      </c>
      <c r="S67" s="4">
        <v>124787.08</v>
      </c>
      <c r="T67" s="4">
        <v>0</v>
      </c>
      <c r="U67" s="4">
        <v>0.9864077669902912</v>
      </c>
      <c r="V67" s="4">
        <v>1.1514235347472026</v>
      </c>
      <c r="W67" s="4" t="e">
        <v>#DIV/0!</v>
      </c>
      <c r="Y67" s="554">
        <v>5.08</v>
      </c>
      <c r="Z67" s="4">
        <v>21.67</v>
      </c>
      <c r="AA67" s="4">
        <v>4</v>
      </c>
      <c r="AB67" s="4">
        <v>21.45</v>
      </c>
      <c r="AC67" s="4">
        <v>24.17</v>
      </c>
      <c r="AD67" s="4">
        <v>21.02</v>
      </c>
      <c r="AF67" s="4">
        <v>0.9864077669902912</v>
      </c>
      <c r="AG67" s="4">
        <v>1.0202448210922788</v>
      </c>
      <c r="AH67" s="4">
        <v>0.52770448548812665</v>
      </c>
      <c r="AI67" s="4">
        <v>0.91823630136986301</v>
      </c>
      <c r="AJ67" s="4">
        <v>0.95950774116712978</v>
      </c>
      <c r="AK67" s="4">
        <v>0.94642053129221071</v>
      </c>
      <c r="AM67" s="556">
        <v>45870</v>
      </c>
      <c r="AN67" s="557">
        <v>3.125</v>
      </c>
      <c r="AO67" s="557">
        <v>1470900</v>
      </c>
      <c r="AP67" s="557">
        <v>103.18898</v>
      </c>
      <c r="AQ67" s="557">
        <v>322.46556249999998</v>
      </c>
      <c r="AR67" s="557">
        <v>1.5430999999999999</v>
      </c>
    </row>
    <row r="68" spans="2:44">
      <c r="B68" s="558">
        <v>45492</v>
      </c>
      <c r="C68" s="554">
        <v>6.3132000000000001</v>
      </c>
      <c r="D68" s="554">
        <v>11.4495</v>
      </c>
      <c r="E68" s="554">
        <v>5.5808</v>
      </c>
      <c r="F68" s="554">
        <v>11.2759</v>
      </c>
      <c r="G68" s="554">
        <v>11.259600000000001</v>
      </c>
      <c r="H68" s="554">
        <v>0</v>
      </c>
      <c r="I68" s="558">
        <v>45492</v>
      </c>
      <c r="J68" s="554">
        <v>5.3197000000000001</v>
      </c>
      <c r="K68" s="554">
        <v>19.82</v>
      </c>
      <c r="L68" s="554">
        <v>4.6540999999999997</v>
      </c>
      <c r="M68" s="554">
        <v>8.5762</v>
      </c>
      <c r="N68" s="554">
        <v>12.8383</v>
      </c>
      <c r="O68" s="554">
        <v>0</v>
      </c>
      <c r="P68" s="554"/>
      <c r="Q68" s="558">
        <v>45492</v>
      </c>
      <c r="R68" s="4">
        <v>5.21</v>
      </c>
      <c r="S68" s="4">
        <v>122331.39</v>
      </c>
      <c r="T68" s="4">
        <v>0</v>
      </c>
      <c r="U68" s="4">
        <v>1.0116504854368931</v>
      </c>
      <c r="V68" s="4">
        <v>1.1287646243853018</v>
      </c>
      <c r="W68" s="4" t="e">
        <v>#DIV/0!</v>
      </c>
      <c r="Y68" s="554">
        <v>5.21</v>
      </c>
      <c r="Z68" s="4">
        <v>21.69</v>
      </c>
      <c r="AA68" s="4">
        <v>4.0199999999999996</v>
      </c>
      <c r="AB68" s="4">
        <v>23.15</v>
      </c>
      <c r="AC68" s="4">
        <v>24.63</v>
      </c>
      <c r="AD68" s="4">
        <v>21.44</v>
      </c>
      <c r="AF68" s="4">
        <v>1.0116504854368931</v>
      </c>
      <c r="AG68" s="4">
        <v>1.0211864406779663</v>
      </c>
      <c r="AH68" s="4">
        <v>0.53034300791556721</v>
      </c>
      <c r="AI68" s="4">
        <v>0.99101027397260266</v>
      </c>
      <c r="AJ68" s="4">
        <v>0.97776895593489466</v>
      </c>
      <c r="AK68" s="4">
        <v>0.965330932012607</v>
      </c>
      <c r="AM68" s="556">
        <v>45869</v>
      </c>
      <c r="AN68" s="557">
        <v>3.36</v>
      </c>
      <c r="AO68" s="557">
        <v>334300</v>
      </c>
      <c r="AP68" s="557">
        <v>103.18898</v>
      </c>
      <c r="AQ68" s="557">
        <v>346.7149728</v>
      </c>
      <c r="AR68" s="557">
        <v>1.6516</v>
      </c>
    </row>
    <row r="69" spans="2:44">
      <c r="B69" s="558">
        <v>45485</v>
      </c>
      <c r="C69" s="554">
        <v>6.4088000000000003</v>
      </c>
      <c r="D69" s="554">
        <v>11.585000000000001</v>
      </c>
      <c r="E69" s="554">
        <v>5.7595999999999998</v>
      </c>
      <c r="F69" s="554">
        <v>11.9781</v>
      </c>
      <c r="G69" s="554">
        <v>11.282299999999999</v>
      </c>
      <c r="H69" s="554">
        <v>0</v>
      </c>
      <c r="I69" s="558">
        <v>45485</v>
      </c>
      <c r="J69" s="554">
        <v>5.6996000000000002</v>
      </c>
      <c r="K69" s="554">
        <v>20.194700000000001</v>
      </c>
      <c r="L69" s="554">
        <v>4.9898999999999996</v>
      </c>
      <c r="M69" s="554">
        <v>8.6651000000000007</v>
      </c>
      <c r="N69" s="554">
        <v>12.8696</v>
      </c>
      <c r="O69" s="554">
        <v>0</v>
      </c>
      <c r="P69" s="554"/>
      <c r="Q69" s="558">
        <v>45485</v>
      </c>
      <c r="R69" s="4">
        <v>4.83</v>
      </c>
      <c r="S69" s="4">
        <v>119630.44</v>
      </c>
      <c r="T69" s="4">
        <v>0</v>
      </c>
      <c r="U69" s="4">
        <v>0.93786407766990287</v>
      </c>
      <c r="V69" s="4">
        <v>1.1038426741627669</v>
      </c>
      <c r="W69" s="4" t="e">
        <v>#DIV/0!</v>
      </c>
      <c r="Y69" s="554">
        <v>4.83</v>
      </c>
      <c r="Z69" s="4">
        <v>22.1</v>
      </c>
      <c r="AA69" s="4">
        <v>4.3099999999999996</v>
      </c>
      <c r="AB69" s="4">
        <v>23.39</v>
      </c>
      <c r="AC69" s="4">
        <v>24.69</v>
      </c>
      <c r="AD69" s="4">
        <v>21.97</v>
      </c>
      <c r="AF69" s="4">
        <v>0.93786407766990287</v>
      </c>
      <c r="AG69" s="4">
        <v>1.0404896421845575</v>
      </c>
      <c r="AH69" s="4">
        <v>0.56860158311345643</v>
      </c>
      <c r="AI69" s="4">
        <v>1.0012842465753424</v>
      </c>
      <c r="AJ69" s="4">
        <v>0.98015085351329889</v>
      </c>
      <c r="AK69" s="4">
        <v>0.98919405673120209</v>
      </c>
      <c r="AM69" s="556">
        <v>45868</v>
      </c>
      <c r="AN69" s="557">
        <v>3.38</v>
      </c>
      <c r="AO69" s="557">
        <v>128200</v>
      </c>
      <c r="AP69" s="557">
        <v>103.18898</v>
      </c>
      <c r="AQ69" s="557">
        <v>348.77875239999997</v>
      </c>
      <c r="AR69" s="557">
        <v>1.6664000000000001</v>
      </c>
    </row>
    <row r="70" spans="2:44">
      <c r="B70" s="558">
        <v>45478</v>
      </c>
      <c r="C70" s="554">
        <v>6.3085000000000004</v>
      </c>
      <c r="D70" s="554">
        <v>11.618</v>
      </c>
      <c r="E70" s="554">
        <v>5.7287999999999997</v>
      </c>
      <c r="F70" s="554">
        <v>12.3743</v>
      </c>
      <c r="G70" s="554">
        <v>11.0862</v>
      </c>
      <c r="H70" s="554">
        <v>0</v>
      </c>
      <c r="I70" s="558">
        <v>45478</v>
      </c>
      <c r="J70" s="554">
        <v>5.3007</v>
      </c>
      <c r="K70" s="554">
        <v>20.286100000000001</v>
      </c>
      <c r="L70" s="554">
        <v>4.9320000000000004</v>
      </c>
      <c r="M70" s="554">
        <v>9.1652000000000005</v>
      </c>
      <c r="N70" s="554">
        <v>12.598599999999999</v>
      </c>
      <c r="O70" s="554">
        <v>0</v>
      </c>
      <c r="P70" s="554"/>
      <c r="Q70" s="558">
        <v>45478</v>
      </c>
      <c r="R70" s="4">
        <v>4.91</v>
      </c>
      <c r="S70" s="4">
        <v>121635.06</v>
      </c>
      <c r="T70" s="4">
        <v>0</v>
      </c>
      <c r="U70" s="4">
        <v>0.95339805825242718</v>
      </c>
      <c r="V70" s="4">
        <v>1.1223395141098587</v>
      </c>
      <c r="W70" s="4" t="e">
        <v>#DIV/0!</v>
      </c>
      <c r="Y70" s="554">
        <v>4.91</v>
      </c>
      <c r="Z70" s="4">
        <v>22.2</v>
      </c>
      <c r="AA70" s="4">
        <v>4.26</v>
      </c>
      <c r="AB70" s="4">
        <v>24.74</v>
      </c>
      <c r="AC70" s="4">
        <v>24.17</v>
      </c>
      <c r="AD70" s="4">
        <v>21.87</v>
      </c>
      <c r="AF70" s="4">
        <v>0.95339805825242718</v>
      </c>
      <c r="AG70" s="4">
        <v>1.0451977401129944</v>
      </c>
      <c r="AH70" s="4">
        <v>0.56200527704485481</v>
      </c>
      <c r="AI70" s="4">
        <v>1.0590753424657533</v>
      </c>
      <c r="AJ70" s="4">
        <v>0.95950774116712978</v>
      </c>
      <c r="AK70" s="4">
        <v>0.98469158036920312</v>
      </c>
      <c r="AM70" s="556">
        <v>45867</v>
      </c>
      <c r="AN70" s="557">
        <v>3.38</v>
      </c>
      <c r="AO70" s="557">
        <v>128200</v>
      </c>
      <c r="AP70" s="557">
        <v>103.18898</v>
      </c>
      <c r="AQ70" s="557">
        <v>348.77875239999997</v>
      </c>
      <c r="AR70" s="557">
        <v>1.6664000000000001</v>
      </c>
    </row>
    <row r="71" spans="2:44">
      <c r="B71" s="558">
        <v>45471</v>
      </c>
      <c r="C71" s="554">
        <v>5.9814999999999996</v>
      </c>
      <c r="D71" s="554">
        <v>11.484500000000001</v>
      </c>
      <c r="E71" s="554">
        <v>5.8864000000000001</v>
      </c>
      <c r="F71" s="554">
        <v>14.616400000000001</v>
      </c>
      <c r="G71" s="554">
        <v>10.7835</v>
      </c>
      <c r="H71" s="554">
        <v>0</v>
      </c>
      <c r="I71" s="558">
        <v>45471</v>
      </c>
      <c r="J71" s="554">
        <v>4.4775</v>
      </c>
      <c r="K71" s="554">
        <v>25.8856</v>
      </c>
      <c r="L71" s="554">
        <v>5.0579000000000001</v>
      </c>
      <c r="M71" s="554">
        <v>10.603999999999999</v>
      </c>
      <c r="N71" s="554">
        <v>12.1579</v>
      </c>
      <c r="O71" s="554">
        <v>0</v>
      </c>
      <c r="P71" s="554"/>
      <c r="Q71" s="558">
        <v>45471</v>
      </c>
      <c r="R71" s="4">
        <v>4.5199999999999996</v>
      </c>
      <c r="S71" s="4">
        <v>121802.06</v>
      </c>
      <c r="T71" s="4">
        <v>0</v>
      </c>
      <c r="U71" s="4">
        <v>0.87766990291262126</v>
      </c>
      <c r="V71" s="4">
        <v>1.123880440705006</v>
      </c>
      <c r="W71" s="4" t="e">
        <v>#DIV/0!</v>
      </c>
      <c r="Y71" s="554">
        <v>4.5199999999999996</v>
      </c>
      <c r="Z71" s="4">
        <v>21.12</v>
      </c>
      <c r="AA71" s="4">
        <v>3.95</v>
      </c>
      <c r="AB71" s="4">
        <v>23.35</v>
      </c>
      <c r="AC71" s="4">
        <v>22.54</v>
      </c>
      <c r="AD71" s="4">
        <v>20.58</v>
      </c>
      <c r="AF71" s="4">
        <v>0.87766990291262126</v>
      </c>
      <c r="AG71" s="4">
        <v>0.99435028248587587</v>
      </c>
      <c r="AH71" s="4">
        <v>0.52110817941952503</v>
      </c>
      <c r="AI71" s="4">
        <v>0.9995719178082193</v>
      </c>
      <c r="AJ71" s="4">
        <v>0.89479952362048421</v>
      </c>
      <c r="AK71" s="4">
        <v>0.92660963529941454</v>
      </c>
      <c r="AM71" s="556">
        <v>45866</v>
      </c>
      <c r="AN71" s="557">
        <v>3.38</v>
      </c>
      <c r="AO71" s="557">
        <v>128200</v>
      </c>
      <c r="AP71" s="557">
        <v>103.18898</v>
      </c>
      <c r="AQ71" s="557">
        <v>348.77875239999997</v>
      </c>
      <c r="AR71" s="557">
        <v>1.6664000000000001</v>
      </c>
    </row>
    <row r="72" spans="2:44">
      <c r="B72" s="558">
        <v>45464</v>
      </c>
      <c r="C72" s="554">
        <v>5.9980000000000002</v>
      </c>
      <c r="D72" s="554">
        <v>11.3843</v>
      </c>
      <c r="E72" s="554">
        <v>5.8216000000000001</v>
      </c>
      <c r="F72" s="554">
        <v>14.447100000000001</v>
      </c>
      <c r="G72" s="554">
        <v>10.6515</v>
      </c>
      <c r="H72" s="554">
        <v>0</v>
      </c>
      <c r="I72" s="558">
        <v>45464</v>
      </c>
      <c r="J72" s="554">
        <v>4.5391000000000004</v>
      </c>
      <c r="K72" s="554">
        <v>25.530200000000001</v>
      </c>
      <c r="L72" s="554">
        <v>4.9298000000000002</v>
      </c>
      <c r="M72" s="554">
        <v>10.395099999999999</v>
      </c>
      <c r="N72" s="554">
        <v>11.974500000000001</v>
      </c>
      <c r="O72" s="554">
        <v>0</v>
      </c>
      <c r="P72" s="554"/>
      <c r="Q72" s="558">
        <v>45464</v>
      </c>
      <c r="R72" s="4">
        <v>4.6500000000000004</v>
      </c>
      <c r="S72" s="4">
        <v>123779.54</v>
      </c>
      <c r="T72" s="4">
        <v>0</v>
      </c>
      <c r="U72" s="4">
        <v>0.90291262135922334</v>
      </c>
      <c r="V72" s="4">
        <v>1.1421268570126231</v>
      </c>
      <c r="W72" s="4" t="e">
        <v>#DIV/0!</v>
      </c>
      <c r="Y72" s="554">
        <v>4.6500000000000004</v>
      </c>
      <c r="Z72" s="4">
        <v>20.83</v>
      </c>
      <c r="AA72" s="4">
        <v>3.85</v>
      </c>
      <c r="AB72" s="4">
        <v>22.89</v>
      </c>
      <c r="AC72" s="4">
        <v>22.2</v>
      </c>
      <c r="AD72" s="4">
        <v>19.72</v>
      </c>
      <c r="AF72" s="4">
        <v>0.90291262135922334</v>
      </c>
      <c r="AG72" s="4">
        <v>0.98069679849340863</v>
      </c>
      <c r="AH72" s="4">
        <v>0.5079155672823219</v>
      </c>
      <c r="AI72" s="4">
        <v>0.97988013698630139</v>
      </c>
      <c r="AJ72" s="4">
        <v>0.88130210400952746</v>
      </c>
      <c r="AK72" s="4">
        <v>0.88788833858622229</v>
      </c>
      <c r="AM72" s="556">
        <v>45865</v>
      </c>
      <c r="AN72" s="557">
        <v>3.4049999999999998</v>
      </c>
      <c r="AO72" s="557">
        <v>272200</v>
      </c>
      <c r="AP72" s="557">
        <v>103.18898</v>
      </c>
      <c r="AQ72" s="557">
        <v>351.35847689999997</v>
      </c>
      <c r="AR72" s="557">
        <v>1.6761999999999999</v>
      </c>
    </row>
    <row r="73" spans="2:44">
      <c r="B73" s="558">
        <v>45457</v>
      </c>
      <c r="C73" s="554">
        <v>5.9057000000000004</v>
      </c>
      <c r="D73" s="554">
        <v>11.380800000000001</v>
      </c>
      <c r="E73" s="554">
        <v>5.7567000000000004</v>
      </c>
      <c r="F73" s="554">
        <v>14.277799999999999</v>
      </c>
      <c r="G73" s="554">
        <v>10.7525</v>
      </c>
      <c r="H73" s="554">
        <v>0</v>
      </c>
      <c r="I73" s="558">
        <v>45457</v>
      </c>
      <c r="J73" s="554">
        <v>4.1959999999999997</v>
      </c>
      <c r="K73" s="554">
        <v>25.517900000000001</v>
      </c>
      <c r="L73" s="554">
        <v>4.8018000000000001</v>
      </c>
      <c r="M73" s="554">
        <v>10.186199999999999</v>
      </c>
      <c r="N73" s="554">
        <v>12.114699999999999</v>
      </c>
      <c r="O73" s="554">
        <v>0</v>
      </c>
      <c r="P73" s="554"/>
      <c r="Q73" s="558">
        <v>45457</v>
      </c>
      <c r="R73" s="4">
        <v>5.08</v>
      </c>
      <c r="S73" s="4">
        <v>127411.55</v>
      </c>
      <c r="T73" s="4">
        <v>0</v>
      </c>
      <c r="U73" s="4">
        <v>0.9864077669902912</v>
      </c>
      <c r="V73" s="4">
        <v>1.1756397959517921</v>
      </c>
      <c r="W73" s="4" t="e">
        <v>#DIV/0!</v>
      </c>
      <c r="Y73" s="554">
        <v>5.08</v>
      </c>
      <c r="Z73" s="4">
        <v>20.82</v>
      </c>
      <c r="AA73" s="4">
        <v>3.75</v>
      </c>
      <c r="AB73" s="4">
        <v>22.43</v>
      </c>
      <c r="AC73" s="4">
        <v>22.46</v>
      </c>
      <c r="AD73" s="4">
        <v>19.559999999999999</v>
      </c>
      <c r="AF73" s="4">
        <v>0.9864077669902912</v>
      </c>
      <c r="AG73" s="4">
        <v>0.9802259887005651</v>
      </c>
      <c r="AH73" s="4">
        <v>0.49472295514511871</v>
      </c>
      <c r="AI73" s="4">
        <v>0.96018835616438358</v>
      </c>
      <c r="AJ73" s="4">
        <v>0.89162366018261219</v>
      </c>
      <c r="AK73" s="4">
        <v>0.88068437640702379</v>
      </c>
      <c r="AM73" s="556">
        <v>45864</v>
      </c>
      <c r="AN73" s="557">
        <v>3.3250000000000002</v>
      </c>
      <c r="AO73" s="557">
        <v>601900</v>
      </c>
      <c r="AP73" s="557">
        <v>103.18898</v>
      </c>
      <c r="AQ73" s="557">
        <v>343.10335850000001</v>
      </c>
      <c r="AR73" s="557">
        <v>1.6368</v>
      </c>
    </row>
    <row r="74" spans="2:44">
      <c r="B74" s="558">
        <v>45450</v>
      </c>
      <c r="C74" s="554">
        <v>5.8181000000000003</v>
      </c>
      <c r="D74" s="554">
        <v>11.985200000000001</v>
      </c>
      <c r="E74" s="554">
        <v>5.8346</v>
      </c>
      <c r="F74" s="554">
        <v>14.0974</v>
      </c>
      <c r="G74" s="554">
        <v>10.9155</v>
      </c>
      <c r="H74" s="554">
        <v>0</v>
      </c>
      <c r="I74" s="558">
        <v>45450</v>
      </c>
      <c r="J74" s="554">
        <v>3.8706</v>
      </c>
      <c r="K74" s="554">
        <v>26.1675</v>
      </c>
      <c r="L74" s="554">
        <v>4.9554</v>
      </c>
      <c r="M74" s="554">
        <v>9.9635999999999996</v>
      </c>
      <c r="N74" s="554">
        <v>12.3413</v>
      </c>
      <c r="O74" s="554">
        <v>0</v>
      </c>
      <c r="P74" s="554"/>
      <c r="Q74" s="558">
        <v>45450</v>
      </c>
      <c r="R74" s="4">
        <v>5.09</v>
      </c>
      <c r="S74" s="4">
        <v>128515.49</v>
      </c>
      <c r="T74" s="4">
        <v>0</v>
      </c>
      <c r="U74" s="4">
        <v>0.98834951456310671</v>
      </c>
      <c r="V74" s="4">
        <v>1.1858259666430915</v>
      </c>
      <c r="W74" s="4" t="e">
        <v>#DIV/0!</v>
      </c>
      <c r="Y74" s="554">
        <v>5.09</v>
      </c>
      <c r="Z74" s="4">
        <v>21.35</v>
      </c>
      <c r="AA74" s="4">
        <v>3.87</v>
      </c>
      <c r="AB74" s="4">
        <v>21.94</v>
      </c>
      <c r="AC74" s="4">
        <v>22.88</v>
      </c>
      <c r="AD74" s="4">
        <v>20.39</v>
      </c>
      <c r="AF74" s="4">
        <v>0.98834951456310671</v>
      </c>
      <c r="AG74" s="4">
        <v>1.0051789077212807</v>
      </c>
      <c r="AH74" s="4">
        <v>0.51055408970976257</v>
      </c>
      <c r="AI74" s="4">
        <v>0.93921232876712335</v>
      </c>
      <c r="AJ74" s="4">
        <v>0.90829694323144095</v>
      </c>
      <c r="AK74" s="4">
        <v>0.91805493021161633</v>
      </c>
      <c r="AM74" s="556">
        <v>45863</v>
      </c>
      <c r="AN74" s="557">
        <v>3.47</v>
      </c>
      <c r="AO74" s="557">
        <v>156800</v>
      </c>
      <c r="AP74" s="557">
        <v>103.18898</v>
      </c>
      <c r="AQ74" s="557">
        <v>358.06576060000003</v>
      </c>
      <c r="AR74" s="557">
        <v>1.7058</v>
      </c>
    </row>
    <row r="75" spans="2:44">
      <c r="B75" s="558">
        <v>45443</v>
      </c>
      <c r="C75" s="554">
        <v>5.8582999999999998</v>
      </c>
      <c r="D75" s="554">
        <v>11.846399999999999</v>
      </c>
      <c r="E75" s="554">
        <v>5.9188999999999998</v>
      </c>
      <c r="F75" s="554">
        <v>14.0017</v>
      </c>
      <c r="G75" s="554">
        <v>10.845599999999999</v>
      </c>
      <c r="H75" s="554">
        <v>0</v>
      </c>
      <c r="I75" s="558">
        <v>45443</v>
      </c>
      <c r="J75" s="554">
        <v>4.0201000000000002</v>
      </c>
      <c r="K75" s="554">
        <v>25.701799999999999</v>
      </c>
      <c r="L75" s="554">
        <v>5.1219000000000001</v>
      </c>
      <c r="M75" s="554">
        <v>9.8455999999999992</v>
      </c>
      <c r="N75" s="554">
        <v>12.244199999999999</v>
      </c>
      <c r="O75" s="554">
        <v>0</v>
      </c>
      <c r="P75" s="554"/>
      <c r="Q75" s="558">
        <v>45443</v>
      </c>
      <c r="R75" s="4">
        <v>5.26</v>
      </c>
      <c r="S75" s="4">
        <v>129210.48</v>
      </c>
      <c r="T75" s="4">
        <v>0</v>
      </c>
      <c r="U75" s="4">
        <v>1.0213592233009707</v>
      </c>
      <c r="V75" s="4">
        <v>1.1922387125973517</v>
      </c>
      <c r="W75" s="4" t="e">
        <v>#DIV/0!</v>
      </c>
      <c r="Y75" s="554">
        <v>5.26</v>
      </c>
      <c r="Z75" s="4">
        <v>20.97</v>
      </c>
      <c r="AA75" s="4">
        <v>4</v>
      </c>
      <c r="AB75" s="4">
        <v>21.68</v>
      </c>
      <c r="AC75" s="4">
        <v>22.7</v>
      </c>
      <c r="AD75" s="4">
        <v>20.25</v>
      </c>
      <c r="AF75" s="4">
        <v>1.0213592233009707</v>
      </c>
      <c r="AG75" s="4">
        <v>0.98728813559322037</v>
      </c>
      <c r="AH75" s="4">
        <v>0.52770448548812665</v>
      </c>
      <c r="AI75" s="4">
        <v>0.92808219178082196</v>
      </c>
      <c r="AJ75" s="4">
        <v>0.90115125049622857</v>
      </c>
      <c r="AK75" s="4">
        <v>0.9117514633048176</v>
      </c>
      <c r="AM75" s="556">
        <v>45862</v>
      </c>
      <c r="AN75" s="557">
        <v>3.4950000000000001</v>
      </c>
      <c r="AO75" s="557">
        <v>308600</v>
      </c>
      <c r="AP75" s="557">
        <v>103.18898</v>
      </c>
      <c r="AQ75" s="557">
        <v>360.64548510000003</v>
      </c>
      <c r="AR75" s="557">
        <v>1.7304999999999999</v>
      </c>
    </row>
    <row r="76" spans="2:44">
      <c r="B76" s="558">
        <v>45436</v>
      </c>
      <c r="C76" s="554">
        <v>5.9081000000000001</v>
      </c>
      <c r="D76" s="554">
        <v>11.967000000000001</v>
      </c>
      <c r="E76" s="554">
        <v>5.9577999999999998</v>
      </c>
      <c r="F76" s="554">
        <v>14.1195</v>
      </c>
      <c r="G76" s="554">
        <v>10.8805</v>
      </c>
      <c r="H76" s="554">
        <v>0</v>
      </c>
      <c r="I76" s="558">
        <v>45436</v>
      </c>
      <c r="J76" s="554">
        <v>4.2047999999999996</v>
      </c>
      <c r="K76" s="554">
        <v>26.106200000000001</v>
      </c>
      <c r="L76" s="554">
        <v>5.1986999999999997</v>
      </c>
      <c r="M76" s="554">
        <v>9.9908999999999999</v>
      </c>
      <c r="N76" s="554">
        <v>12.2927</v>
      </c>
      <c r="O76" s="554">
        <v>0</v>
      </c>
      <c r="P76" s="554"/>
      <c r="Q76" s="558">
        <v>45436</v>
      </c>
      <c r="R76" s="4">
        <v>5.14</v>
      </c>
      <c r="S76" s="4">
        <v>125924.19</v>
      </c>
      <c r="T76" s="4">
        <v>0</v>
      </c>
      <c r="U76" s="4">
        <v>0.99805825242718438</v>
      </c>
      <c r="V76" s="4">
        <v>1.1619157685232986</v>
      </c>
      <c r="W76" s="4" t="e">
        <v>#DIV/0!</v>
      </c>
      <c r="Y76" s="554">
        <v>5.14</v>
      </c>
      <c r="Z76" s="4">
        <v>21.3</v>
      </c>
      <c r="AA76" s="4">
        <v>4.0599999999999996</v>
      </c>
      <c r="AB76" s="4">
        <v>22</v>
      </c>
      <c r="AC76" s="4">
        <v>22.79</v>
      </c>
      <c r="AD76" s="4">
        <v>20.399999999999999</v>
      </c>
      <c r="AF76" s="4">
        <v>0.99805825242718438</v>
      </c>
      <c r="AG76" s="4">
        <v>1.0028248587570623</v>
      </c>
      <c r="AH76" s="4">
        <v>0.53562005277044844</v>
      </c>
      <c r="AI76" s="4">
        <v>0.94178082191780821</v>
      </c>
      <c r="AJ76" s="4">
        <v>0.90472409686383481</v>
      </c>
      <c r="AK76" s="4">
        <v>0.91850517784781616</v>
      </c>
      <c r="AM76" s="556">
        <v>45861</v>
      </c>
      <c r="AN76" s="557">
        <v>3.415</v>
      </c>
      <c r="AO76" s="557">
        <v>96600</v>
      </c>
      <c r="AP76" s="557">
        <v>103.18898</v>
      </c>
      <c r="AQ76" s="557">
        <v>352.39036670000002</v>
      </c>
      <c r="AR76" s="557">
        <v>1.9012</v>
      </c>
    </row>
    <row r="77" spans="2:44">
      <c r="B77" s="558">
        <v>45429</v>
      </c>
      <c r="C77" s="554">
        <v>5.9672999999999998</v>
      </c>
      <c r="D77" s="554">
        <v>12.182499999999999</v>
      </c>
      <c r="E77" s="554">
        <v>6.0096999999999996</v>
      </c>
      <c r="F77" s="554">
        <v>14.3772</v>
      </c>
      <c r="G77" s="554">
        <v>11.3813</v>
      </c>
      <c r="H77" s="554">
        <v>0</v>
      </c>
      <c r="I77" s="558">
        <v>45429</v>
      </c>
      <c r="J77" s="554">
        <v>4.4246999999999996</v>
      </c>
      <c r="K77" s="554">
        <v>26.8294</v>
      </c>
      <c r="L77" s="554">
        <v>5.3011999999999997</v>
      </c>
      <c r="M77" s="554">
        <v>10.3088</v>
      </c>
      <c r="N77" s="554">
        <v>12.9885</v>
      </c>
      <c r="O77" s="554">
        <v>0</v>
      </c>
      <c r="P77" s="554"/>
      <c r="Q77" s="558">
        <v>45429</v>
      </c>
      <c r="R77" s="4">
        <v>5.3</v>
      </c>
      <c r="S77" s="4">
        <v>125148.07</v>
      </c>
      <c r="T77" s="4">
        <v>0</v>
      </c>
      <c r="U77" s="4">
        <v>1.029126213592233</v>
      </c>
      <c r="V77" s="4">
        <v>1.1547544275111683</v>
      </c>
      <c r="W77" s="4" t="e">
        <v>#DIV/0!</v>
      </c>
      <c r="Y77" s="554">
        <v>5.3</v>
      </c>
      <c r="Z77" s="4">
        <v>21.89</v>
      </c>
      <c r="AA77" s="4">
        <v>4.1399999999999997</v>
      </c>
      <c r="AB77" s="4">
        <v>22.7</v>
      </c>
      <c r="AC77" s="4">
        <v>24.08</v>
      </c>
      <c r="AD77" s="4">
        <v>20.82</v>
      </c>
      <c r="AF77" s="4">
        <v>1.029126213592233</v>
      </c>
      <c r="AG77" s="4">
        <v>1.03060263653484</v>
      </c>
      <c r="AH77" s="4">
        <v>0.54617414248021101</v>
      </c>
      <c r="AI77" s="4">
        <v>0.97174657534246578</v>
      </c>
      <c r="AJ77" s="4">
        <v>0.95593489479952354</v>
      </c>
      <c r="AK77" s="4">
        <v>0.93741557856821245</v>
      </c>
      <c r="AM77" s="556">
        <v>45860</v>
      </c>
      <c r="AN77" s="557">
        <v>3.415</v>
      </c>
      <c r="AO77" s="557">
        <v>96600</v>
      </c>
      <c r="AP77" s="557">
        <v>103.18898</v>
      </c>
      <c r="AQ77" s="557">
        <v>352.39036670000002</v>
      </c>
      <c r="AR77" s="557">
        <v>1.9012</v>
      </c>
    </row>
    <row r="78" spans="2:44">
      <c r="B78" s="558">
        <v>45422</v>
      </c>
      <c r="C78" s="554">
        <v>5.9577999999999998</v>
      </c>
      <c r="D78" s="554">
        <v>11.930400000000001</v>
      </c>
      <c r="E78" s="554">
        <v>6.0486000000000004</v>
      </c>
      <c r="F78" s="554">
        <v>14.229900000000001</v>
      </c>
      <c r="G78" s="554">
        <v>11.214399999999999</v>
      </c>
      <c r="H78" s="554">
        <v>0</v>
      </c>
      <c r="I78" s="558">
        <v>45422</v>
      </c>
      <c r="J78" s="554">
        <v>4.3895999999999997</v>
      </c>
      <c r="K78" s="554">
        <v>25.983699999999999</v>
      </c>
      <c r="L78" s="554">
        <v>5.3780000000000001</v>
      </c>
      <c r="M78" s="554">
        <v>10.1271</v>
      </c>
      <c r="N78" s="554">
        <v>12.756600000000001</v>
      </c>
      <c r="O78" s="554">
        <v>0</v>
      </c>
      <c r="P78" s="554"/>
      <c r="Q78" s="558">
        <v>45422</v>
      </c>
      <c r="R78" s="4">
        <v>5.23</v>
      </c>
      <c r="S78" s="4">
        <v>124388.62</v>
      </c>
      <c r="T78" s="4">
        <v>0</v>
      </c>
      <c r="U78" s="4">
        <v>1.0155339805825243</v>
      </c>
      <c r="V78" s="4">
        <v>1.1477469023453917</v>
      </c>
      <c r="W78" s="4" t="e">
        <v>#DIV/0!</v>
      </c>
      <c r="Y78" s="554">
        <v>5.23</v>
      </c>
      <c r="Z78" s="4">
        <v>21.2</v>
      </c>
      <c r="AA78" s="4">
        <v>4.2</v>
      </c>
      <c r="AB78" s="4">
        <v>22.3</v>
      </c>
      <c r="AC78" s="4">
        <v>23.65</v>
      </c>
      <c r="AD78" s="4">
        <v>21.19</v>
      </c>
      <c r="AF78" s="4">
        <v>1.0155339805825243</v>
      </c>
      <c r="AG78" s="4">
        <v>0.99811676082862533</v>
      </c>
      <c r="AH78" s="4">
        <v>0.55408970976253302</v>
      </c>
      <c r="AI78" s="4">
        <v>0.95462328767123295</v>
      </c>
      <c r="AJ78" s="4">
        <v>0.93886462882096056</v>
      </c>
      <c r="AK78" s="4">
        <v>0.95407474110760926</v>
      </c>
      <c r="AM78" s="556">
        <v>45859</v>
      </c>
      <c r="AN78" s="557">
        <v>3.415</v>
      </c>
      <c r="AO78" s="557">
        <v>96600</v>
      </c>
      <c r="AP78" s="557">
        <v>103.18898</v>
      </c>
      <c r="AQ78" s="557">
        <v>352.39036670000002</v>
      </c>
      <c r="AR78" s="557">
        <v>1.9012</v>
      </c>
    </row>
    <row r="79" spans="2:44">
      <c r="B79" s="558">
        <v>45415</v>
      </c>
      <c r="C79" s="554">
        <v>6.0525000000000002</v>
      </c>
      <c r="D79" s="554">
        <v>11.8537</v>
      </c>
      <c r="E79" s="554">
        <v>6.1524000000000001</v>
      </c>
      <c r="F79" s="554">
        <v>14.450799999999999</v>
      </c>
      <c r="G79" s="554">
        <v>11.5831</v>
      </c>
      <c r="H79" s="554">
        <v>0</v>
      </c>
      <c r="I79" s="558">
        <v>45415</v>
      </c>
      <c r="J79" s="554">
        <v>4.7413999999999996</v>
      </c>
      <c r="K79" s="554">
        <v>25.726299999999998</v>
      </c>
      <c r="L79" s="554">
        <v>5.5829000000000004</v>
      </c>
      <c r="M79" s="554">
        <v>10.3996</v>
      </c>
      <c r="N79" s="554">
        <v>13.269</v>
      </c>
      <c r="O79" s="554">
        <v>0</v>
      </c>
      <c r="P79" s="554"/>
      <c r="Q79" s="558">
        <v>45415</v>
      </c>
      <c r="R79" s="4">
        <v>5.98</v>
      </c>
      <c r="S79" s="4">
        <v>129890.37</v>
      </c>
      <c r="T79" s="4">
        <v>0</v>
      </c>
      <c r="U79" s="4">
        <v>1.1611650485436893</v>
      </c>
      <c r="V79" s="4">
        <v>1.1985121292606735</v>
      </c>
      <c r="W79" s="4" t="e">
        <v>#DIV/0!</v>
      </c>
      <c r="Y79" s="554">
        <v>5.98</v>
      </c>
      <c r="Z79" s="4">
        <v>20.99</v>
      </c>
      <c r="AA79" s="4">
        <v>4.3600000000000003</v>
      </c>
      <c r="AB79" s="4">
        <v>22.9</v>
      </c>
      <c r="AC79" s="4">
        <v>24.6</v>
      </c>
      <c r="AD79" s="4">
        <v>22.2</v>
      </c>
      <c r="AF79" s="4">
        <v>1.1611650485436893</v>
      </c>
      <c r="AG79" s="4">
        <v>0.98822975517890776</v>
      </c>
      <c r="AH79" s="4">
        <v>0.57519788918205805</v>
      </c>
      <c r="AI79" s="4">
        <v>0.9803082191780822</v>
      </c>
      <c r="AJ79" s="4">
        <v>0.97657800714569276</v>
      </c>
      <c r="AK79" s="4">
        <v>0.99954975236380006</v>
      </c>
      <c r="AM79" s="556">
        <v>45858</v>
      </c>
      <c r="AN79" s="557">
        <v>3.4449999999999998</v>
      </c>
      <c r="AO79" s="557">
        <v>240900</v>
      </c>
      <c r="AP79" s="557">
        <v>103.18898</v>
      </c>
      <c r="AQ79" s="557">
        <v>355.48603609999998</v>
      </c>
      <c r="AR79" s="557">
        <v>1.9178999999999999</v>
      </c>
    </row>
    <row r="80" spans="2:44">
      <c r="B80" s="558">
        <v>45408</v>
      </c>
      <c r="C80" s="554">
        <v>6.0571999999999999</v>
      </c>
      <c r="D80" s="554">
        <v>12.021800000000001</v>
      </c>
      <c r="E80" s="554">
        <v>6.1329000000000002</v>
      </c>
      <c r="F80" s="554">
        <v>14.034800000000001</v>
      </c>
      <c r="G80" s="554">
        <v>11.350199999999999</v>
      </c>
      <c r="H80" s="554">
        <v>0</v>
      </c>
      <c r="I80" s="558">
        <v>45408</v>
      </c>
      <c r="J80" s="554">
        <v>4.7590000000000003</v>
      </c>
      <c r="K80" s="554">
        <v>26.290099999999999</v>
      </c>
      <c r="L80" s="554">
        <v>5.5445000000000002</v>
      </c>
      <c r="M80" s="554">
        <v>9.8864000000000001</v>
      </c>
      <c r="N80" s="554">
        <v>12.945399999999999</v>
      </c>
      <c r="O80" s="554">
        <v>0</v>
      </c>
      <c r="P80" s="554"/>
      <c r="Q80" s="558">
        <v>45408</v>
      </c>
      <c r="R80" s="4">
        <v>6.16</v>
      </c>
      <c r="S80" s="4">
        <v>127548.52</v>
      </c>
      <c r="T80" s="4">
        <v>0</v>
      </c>
      <c r="U80" s="4">
        <v>1.1961165048543689</v>
      </c>
      <c r="V80" s="4">
        <v>1.1769036325729736</v>
      </c>
      <c r="W80" s="4" t="e">
        <v>#DIV/0!</v>
      </c>
      <c r="Y80" s="554">
        <v>6.16</v>
      </c>
      <c r="Z80" s="4">
        <v>21.45</v>
      </c>
      <c r="AA80" s="4">
        <v>4.33</v>
      </c>
      <c r="AB80" s="4">
        <v>21.77</v>
      </c>
      <c r="AC80" s="4">
        <v>24</v>
      </c>
      <c r="AD80" s="4">
        <v>21.26</v>
      </c>
      <c r="AF80" s="4">
        <v>1.1961165048543689</v>
      </c>
      <c r="AG80" s="4">
        <v>1.0098870056497176</v>
      </c>
      <c r="AH80" s="4">
        <v>0.5712401055408971</v>
      </c>
      <c r="AI80" s="4">
        <v>0.93193493150684936</v>
      </c>
      <c r="AJ80" s="4">
        <v>0.95275903136165141</v>
      </c>
      <c r="AK80" s="4">
        <v>0.95722647456100862</v>
      </c>
      <c r="AM80" s="556">
        <v>45857</v>
      </c>
      <c r="AN80" s="557">
        <v>3.3450000000000002</v>
      </c>
      <c r="AO80" s="557">
        <v>239800</v>
      </c>
      <c r="AP80" s="557">
        <v>103.18898</v>
      </c>
      <c r="AQ80" s="557">
        <v>345.16713810000005</v>
      </c>
      <c r="AR80" s="557">
        <v>1.8622000000000001</v>
      </c>
    </row>
    <row r="81" spans="2:44">
      <c r="B81" s="558">
        <v>45401</v>
      </c>
      <c r="C81" s="554">
        <v>6.0312000000000001</v>
      </c>
      <c r="D81" s="554">
        <v>12.1167</v>
      </c>
      <c r="E81" s="554">
        <v>6.1005000000000003</v>
      </c>
      <c r="F81" s="554">
        <v>14.0054</v>
      </c>
      <c r="G81" s="554">
        <v>11.3813</v>
      </c>
      <c r="H81" s="554">
        <v>0</v>
      </c>
      <c r="I81" s="558">
        <v>45401</v>
      </c>
      <c r="J81" s="554">
        <v>4.6623000000000001</v>
      </c>
      <c r="K81" s="554">
        <v>26.608799999999999</v>
      </c>
      <c r="L81" s="554">
        <v>5.4804000000000004</v>
      </c>
      <c r="M81" s="554">
        <v>9.8500999999999994</v>
      </c>
      <c r="N81" s="554">
        <v>12.9885</v>
      </c>
      <c r="O81" s="554">
        <v>0</v>
      </c>
      <c r="P81" s="554"/>
      <c r="Q81" s="558">
        <v>45401</v>
      </c>
      <c r="R81" s="4">
        <v>6.37</v>
      </c>
      <c r="S81" s="4">
        <v>126863.02</v>
      </c>
      <c r="T81" s="4">
        <v>0</v>
      </c>
      <c r="U81" s="4">
        <v>1.236893203883495</v>
      </c>
      <c r="V81" s="4">
        <v>1.1705784518485813</v>
      </c>
      <c r="W81" s="4" t="e">
        <v>#DIV/0!</v>
      </c>
      <c r="Y81" s="554">
        <v>6.37</v>
      </c>
      <c r="Z81" s="4">
        <v>21.71</v>
      </c>
      <c r="AA81" s="4">
        <v>4.28</v>
      </c>
      <c r="AB81" s="4">
        <v>21.69</v>
      </c>
      <c r="AC81" s="4">
        <v>24.08</v>
      </c>
      <c r="AD81" s="4">
        <v>20.91</v>
      </c>
      <c r="AF81" s="4">
        <v>1.236893203883495</v>
      </c>
      <c r="AG81" s="4">
        <v>1.0221280602636535</v>
      </c>
      <c r="AH81" s="4">
        <v>0.56464379947229559</v>
      </c>
      <c r="AI81" s="4">
        <v>0.92851027397260277</v>
      </c>
      <c r="AJ81" s="4">
        <v>0.95593489479952354</v>
      </c>
      <c r="AK81" s="4">
        <v>0.94146780729401169</v>
      </c>
      <c r="AM81" s="556">
        <v>45856</v>
      </c>
      <c r="AN81" s="557">
        <v>3.47</v>
      </c>
      <c r="AO81" s="557">
        <v>409800</v>
      </c>
      <c r="AP81" s="557">
        <v>103.18898</v>
      </c>
      <c r="AQ81" s="557">
        <v>358.06576060000003</v>
      </c>
      <c r="AR81" s="557">
        <v>1.9235</v>
      </c>
    </row>
    <row r="82" spans="2:44">
      <c r="B82" s="558">
        <v>45394</v>
      </c>
      <c r="C82" s="554">
        <v>6.1069000000000004</v>
      </c>
      <c r="D82" s="554">
        <v>12.529500000000001</v>
      </c>
      <c r="E82" s="554">
        <v>6.0486000000000004</v>
      </c>
      <c r="F82" s="554">
        <v>14.2189</v>
      </c>
      <c r="G82" s="554">
        <v>11.598599999999999</v>
      </c>
      <c r="H82" s="554">
        <v>0</v>
      </c>
      <c r="I82" s="558">
        <v>45394</v>
      </c>
      <c r="J82" s="554">
        <v>4.9438000000000004</v>
      </c>
      <c r="K82" s="554">
        <v>27.9937</v>
      </c>
      <c r="L82" s="554">
        <v>5.3780000000000001</v>
      </c>
      <c r="M82" s="554">
        <v>10.1135</v>
      </c>
      <c r="N82" s="554">
        <v>13.2906</v>
      </c>
      <c r="O82" s="554">
        <v>0</v>
      </c>
      <c r="P82" s="554"/>
      <c r="Q82" s="558">
        <v>45394</v>
      </c>
      <c r="R82" s="4">
        <v>5.94</v>
      </c>
      <c r="S82" s="4">
        <v>127528.85</v>
      </c>
      <c r="T82" s="4">
        <v>0</v>
      </c>
      <c r="U82" s="4">
        <v>1.1533980582524272</v>
      </c>
      <c r="V82" s="4">
        <v>1.1767221354105393</v>
      </c>
      <c r="W82" s="4" t="e">
        <v>#DIV/0!</v>
      </c>
      <c r="Y82" s="554">
        <v>5.94</v>
      </c>
      <c r="Z82" s="4">
        <v>22.84</v>
      </c>
      <c r="AA82" s="4">
        <v>4.2</v>
      </c>
      <c r="AB82" s="4">
        <v>22.27</v>
      </c>
      <c r="AC82" s="4">
        <v>24.64</v>
      </c>
      <c r="AD82" s="4">
        <v>22.26</v>
      </c>
      <c r="AF82" s="4">
        <v>1.1533980582524272</v>
      </c>
      <c r="AG82" s="4">
        <v>1.0753295668549907</v>
      </c>
      <c r="AH82" s="4">
        <v>0.55408970976253302</v>
      </c>
      <c r="AI82" s="4">
        <v>0.9533390410958904</v>
      </c>
      <c r="AJ82" s="4">
        <v>0.97816593886462877</v>
      </c>
      <c r="AK82" s="4">
        <v>1.0022512381809996</v>
      </c>
      <c r="AM82" s="556">
        <v>45855</v>
      </c>
      <c r="AN82" s="557">
        <v>3.3650000000000002</v>
      </c>
      <c r="AO82" s="557">
        <v>510600</v>
      </c>
      <c r="AP82" s="557">
        <v>103.18898</v>
      </c>
      <c r="AQ82" s="557">
        <v>347.23091770000002</v>
      </c>
      <c r="AR82" s="557">
        <v>1.8676999999999999</v>
      </c>
    </row>
    <row r="83" spans="2:44">
      <c r="B83" s="558">
        <v>45387</v>
      </c>
      <c r="C83" s="554">
        <v>6.2252999999999998</v>
      </c>
      <c r="D83" s="554">
        <v>12.887499999999999</v>
      </c>
      <c r="E83" s="554">
        <v>6.3663999999999996</v>
      </c>
      <c r="F83" s="554">
        <v>14.104799999999999</v>
      </c>
      <c r="G83" s="554">
        <v>11.695600000000001</v>
      </c>
      <c r="H83" s="554">
        <v>0</v>
      </c>
      <c r="I83" s="558">
        <v>45387</v>
      </c>
      <c r="J83" s="554">
        <v>5.3836000000000004</v>
      </c>
      <c r="K83" s="554">
        <v>29.194900000000001</v>
      </c>
      <c r="L83" s="554">
        <v>6.0053999999999998</v>
      </c>
      <c r="M83" s="554">
        <v>9.9726999999999997</v>
      </c>
      <c r="N83" s="554">
        <v>13.4254</v>
      </c>
      <c r="O83" s="554">
        <v>0</v>
      </c>
      <c r="P83" s="554"/>
      <c r="Q83" s="558">
        <v>45387</v>
      </c>
      <c r="R83" s="4">
        <v>5.55</v>
      </c>
      <c r="S83" s="4">
        <v>127667.84</v>
      </c>
      <c r="T83" s="4">
        <v>0</v>
      </c>
      <c r="U83" s="4">
        <v>1.0776699029126213</v>
      </c>
      <c r="V83" s="4">
        <v>1.1780046107845483</v>
      </c>
      <c r="W83" s="4" t="e">
        <v>#DIV/0!</v>
      </c>
      <c r="Y83" s="554">
        <v>5.55</v>
      </c>
      <c r="Z83" s="4">
        <v>23.82</v>
      </c>
      <c r="AA83" s="4">
        <v>4.6900000000000004</v>
      </c>
      <c r="AB83" s="4">
        <v>21.96</v>
      </c>
      <c r="AC83" s="4">
        <v>24.89</v>
      </c>
      <c r="AD83" s="4">
        <v>23</v>
      </c>
      <c r="AF83" s="4">
        <v>1.0776699029126213</v>
      </c>
      <c r="AG83" s="4">
        <v>1.1214689265536724</v>
      </c>
      <c r="AH83" s="4">
        <v>0.6187335092348285</v>
      </c>
      <c r="AI83" s="4">
        <v>0.94006849315068497</v>
      </c>
      <c r="AJ83" s="4">
        <v>0.98809051210797938</v>
      </c>
      <c r="AK83" s="4">
        <v>1.0355695632597928</v>
      </c>
      <c r="AM83" s="556">
        <v>45854</v>
      </c>
      <c r="AN83" s="557">
        <v>3.43</v>
      </c>
      <c r="AO83" s="557">
        <v>335900</v>
      </c>
      <c r="AP83" s="557">
        <v>103.18898</v>
      </c>
      <c r="AQ83" s="557">
        <v>353.93820140000003</v>
      </c>
      <c r="AR83" s="557">
        <v>1.9068000000000001</v>
      </c>
    </row>
    <row r="84" spans="2:44">
      <c r="B84" s="558">
        <v>45380</v>
      </c>
      <c r="C84" s="554">
        <v>5.8158000000000003</v>
      </c>
      <c r="D84" s="554">
        <v>3.4238</v>
      </c>
      <c r="E84" s="554">
        <v>6.3429000000000002</v>
      </c>
      <c r="F84" s="554">
        <v>14.4322</v>
      </c>
      <c r="G84" s="554">
        <v>11.331099999999999</v>
      </c>
      <c r="H84" s="554">
        <v>0</v>
      </c>
      <c r="I84" s="558">
        <v>45380</v>
      </c>
      <c r="J84" s="554">
        <v>5.3780000000000001</v>
      </c>
      <c r="K84" s="554">
        <v>2.5686</v>
      </c>
      <c r="L84" s="554">
        <v>6.1634000000000002</v>
      </c>
      <c r="M84" s="554">
        <v>11.8339</v>
      </c>
      <c r="N84" s="554">
        <v>13.032</v>
      </c>
      <c r="O84" s="554">
        <v>0</v>
      </c>
      <c r="P84" s="554"/>
      <c r="Q84" s="558">
        <v>45380</v>
      </c>
      <c r="R84" s="4">
        <v>5.34</v>
      </c>
      <c r="S84" s="4">
        <v>128098.11</v>
      </c>
      <c r="T84" s="4">
        <v>0</v>
      </c>
      <c r="U84" s="4">
        <v>1.036893203883495</v>
      </c>
      <c r="V84" s="4">
        <v>1.1819747574078661</v>
      </c>
      <c r="W84" s="4" t="e">
        <v>#DIV/0!</v>
      </c>
      <c r="Y84" s="554">
        <v>5.34</v>
      </c>
      <c r="Z84" s="4">
        <v>24.08</v>
      </c>
      <c r="AA84" s="4">
        <v>4.22</v>
      </c>
      <c r="AB84" s="4">
        <v>22.81</v>
      </c>
      <c r="AC84" s="4">
        <v>26.1</v>
      </c>
      <c r="AD84" s="4">
        <v>23.8</v>
      </c>
      <c r="AF84" s="4">
        <v>1.036893203883495</v>
      </c>
      <c r="AG84" s="4">
        <v>1.1337099811676083</v>
      </c>
      <c r="AH84" s="4">
        <v>0.55672823218997358</v>
      </c>
      <c r="AI84" s="4">
        <v>0.9764554794520548</v>
      </c>
      <c r="AJ84" s="4">
        <v>1.0361254466057959</v>
      </c>
      <c r="AK84" s="4">
        <v>1.0715893741557856</v>
      </c>
      <c r="AM84" s="556">
        <v>45853</v>
      </c>
      <c r="AN84" s="557">
        <v>3.43</v>
      </c>
      <c r="AO84" s="557">
        <v>335900</v>
      </c>
      <c r="AP84" s="557">
        <v>103.18898</v>
      </c>
      <c r="AQ84" s="557">
        <v>353.93820140000003</v>
      </c>
      <c r="AR84" s="557">
        <v>1.9068000000000001</v>
      </c>
    </row>
    <row r="85" spans="2:44">
      <c r="B85" s="558">
        <v>45373</v>
      </c>
      <c r="C85" s="554">
        <v>5.8158000000000003</v>
      </c>
      <c r="D85" s="554">
        <v>3.4238</v>
      </c>
      <c r="E85" s="554">
        <v>6.3429000000000002</v>
      </c>
      <c r="F85" s="554">
        <v>14.4322</v>
      </c>
      <c r="G85" s="554">
        <v>11.331099999999999</v>
      </c>
      <c r="H85" s="554">
        <v>0</v>
      </c>
      <c r="I85" s="558">
        <v>45373</v>
      </c>
      <c r="J85" s="554">
        <v>5.3780000000000001</v>
      </c>
      <c r="K85" s="554">
        <v>2.5686</v>
      </c>
      <c r="L85" s="554">
        <v>6.1634000000000002</v>
      </c>
      <c r="M85" s="554">
        <v>11.8339</v>
      </c>
      <c r="N85" s="554">
        <v>13.032</v>
      </c>
      <c r="O85" s="554">
        <v>0</v>
      </c>
      <c r="P85" s="554"/>
      <c r="Q85" s="558">
        <v>45373</v>
      </c>
      <c r="R85" s="4">
        <v>5.04</v>
      </c>
      <c r="S85" s="4">
        <v>131689.37</v>
      </c>
      <c r="T85" s="4">
        <v>0</v>
      </c>
      <c r="U85" s="4">
        <v>0.97864077669902905</v>
      </c>
      <c r="V85" s="4">
        <v>1.2151116918036082</v>
      </c>
      <c r="W85" s="4" t="e">
        <v>#DIV/0!</v>
      </c>
      <c r="Y85" s="554">
        <v>5.04</v>
      </c>
      <c r="Z85" s="4">
        <v>24.08</v>
      </c>
      <c r="AA85" s="4">
        <v>4.22</v>
      </c>
      <c r="AB85" s="4">
        <v>22.81</v>
      </c>
      <c r="AC85" s="4">
        <v>26.1</v>
      </c>
      <c r="AD85" s="4">
        <v>23.8</v>
      </c>
      <c r="AF85" s="4">
        <v>0.97864077669902905</v>
      </c>
      <c r="AG85" s="4">
        <v>1.1337099811676083</v>
      </c>
      <c r="AH85" s="4">
        <v>0.55672823218997358</v>
      </c>
      <c r="AI85" s="4">
        <v>0.9764554794520548</v>
      </c>
      <c r="AJ85" s="4">
        <v>1.0361254466057959</v>
      </c>
      <c r="AK85" s="4">
        <v>1.0715893741557856</v>
      </c>
      <c r="AM85" s="556">
        <v>45852</v>
      </c>
      <c r="AN85" s="557">
        <v>3.43</v>
      </c>
      <c r="AO85" s="557">
        <v>335900</v>
      </c>
      <c r="AP85" s="557">
        <v>103.18898</v>
      </c>
      <c r="AQ85" s="557">
        <v>353.93820140000003</v>
      </c>
      <c r="AR85" s="557">
        <v>1.9068000000000001</v>
      </c>
    </row>
    <row r="86" spans="2:44">
      <c r="B86" s="558">
        <v>45366</v>
      </c>
      <c r="C86" s="554">
        <v>5.4817</v>
      </c>
      <c r="D86" s="554">
        <v>3.4792999999999998</v>
      </c>
      <c r="E86" s="554">
        <v>6.3983999999999996</v>
      </c>
      <c r="F86" s="554">
        <v>14.178800000000001</v>
      </c>
      <c r="G86" s="554">
        <v>11.269500000000001</v>
      </c>
      <c r="H86" s="554">
        <v>0</v>
      </c>
      <c r="I86" s="558">
        <v>45366</v>
      </c>
      <c r="J86" s="554">
        <v>4.2271999999999998</v>
      </c>
      <c r="K86" s="554">
        <v>2.6305000000000001</v>
      </c>
      <c r="L86" s="554">
        <v>6.2803000000000004</v>
      </c>
      <c r="M86" s="554">
        <v>11.501899999999999</v>
      </c>
      <c r="N86" s="554">
        <v>12.9472</v>
      </c>
      <c r="O86" s="554">
        <v>0</v>
      </c>
      <c r="P86" s="554"/>
      <c r="Q86" s="558">
        <v>45366</v>
      </c>
      <c r="R86" s="4">
        <v>4.9800000000000004</v>
      </c>
      <c r="S86" s="4">
        <v>129916.11</v>
      </c>
      <c r="T86" s="4">
        <v>0</v>
      </c>
      <c r="U86" s="4">
        <v>0.96699029126213598</v>
      </c>
      <c r="V86" s="4">
        <v>1.1987496349526441</v>
      </c>
      <c r="W86" s="4" t="e">
        <v>#DIV/0!</v>
      </c>
      <c r="Y86" s="554">
        <v>4.9800000000000004</v>
      </c>
      <c r="Z86" s="4">
        <v>24.66</v>
      </c>
      <c r="AA86" s="4">
        <v>4.3</v>
      </c>
      <c r="AB86" s="4">
        <v>22.17</v>
      </c>
      <c r="AC86" s="4">
        <v>25.93</v>
      </c>
      <c r="AD86" s="4">
        <v>23.84</v>
      </c>
      <c r="AF86" s="4">
        <v>0.96699029126213598</v>
      </c>
      <c r="AG86" s="4">
        <v>1.1610169491525424</v>
      </c>
      <c r="AH86" s="4">
        <v>0.56728232189973615</v>
      </c>
      <c r="AI86" s="4">
        <v>0.94905821917808231</v>
      </c>
      <c r="AJ86" s="4">
        <v>1.0293767368003175</v>
      </c>
      <c r="AK86" s="4">
        <v>1.0733903647005854</v>
      </c>
      <c r="AM86" s="556">
        <v>45851</v>
      </c>
      <c r="AN86" s="557">
        <v>3.54</v>
      </c>
      <c r="AO86" s="557">
        <v>401300</v>
      </c>
      <c r="AP86" s="557">
        <v>103.18898</v>
      </c>
      <c r="AQ86" s="557">
        <v>365.2889892</v>
      </c>
      <c r="AR86" s="557">
        <v>1.9793000000000001</v>
      </c>
    </row>
    <row r="87" spans="2:44">
      <c r="B87" s="558">
        <v>45359</v>
      </c>
      <c r="C87" s="554">
        <v>5.4703999999999997</v>
      </c>
      <c r="D87" s="554">
        <v>3.4401000000000002</v>
      </c>
      <c r="E87" s="554">
        <v>6.4260999999999999</v>
      </c>
      <c r="F87" s="554">
        <v>14.2659</v>
      </c>
      <c r="G87" s="554">
        <v>11.3348</v>
      </c>
      <c r="H87" s="554">
        <v>0</v>
      </c>
      <c r="I87" s="558">
        <v>45359</v>
      </c>
      <c r="J87" s="554">
        <v>4.1881000000000004</v>
      </c>
      <c r="K87" s="554">
        <v>2.5867</v>
      </c>
      <c r="L87" s="554">
        <v>6.3387000000000002</v>
      </c>
      <c r="M87" s="554">
        <v>11.616</v>
      </c>
      <c r="N87" s="554">
        <v>13.037000000000001</v>
      </c>
      <c r="O87" s="554">
        <v>0</v>
      </c>
      <c r="P87" s="554"/>
      <c r="Q87" s="558">
        <v>45359</v>
      </c>
      <c r="R87" s="4">
        <v>4.7699999999999996</v>
      </c>
      <c r="S87" s="4">
        <v>130416.31</v>
      </c>
      <c r="T87" s="4">
        <v>0</v>
      </c>
      <c r="U87" s="4">
        <v>0.92621359223300959</v>
      </c>
      <c r="V87" s="4">
        <v>1.2033650330537982</v>
      </c>
      <c r="W87" s="4" t="e">
        <v>#DIV/0!</v>
      </c>
      <c r="Y87" s="554">
        <v>4.7699999999999996</v>
      </c>
      <c r="Z87" s="4">
        <v>24.25</v>
      </c>
      <c r="AA87" s="4">
        <v>4.34</v>
      </c>
      <c r="AB87" s="4">
        <v>22.39</v>
      </c>
      <c r="AC87" s="4">
        <v>26.11</v>
      </c>
      <c r="AD87" s="4">
        <v>23.75</v>
      </c>
      <c r="AF87" s="4">
        <v>0.92621359223300959</v>
      </c>
      <c r="AG87" s="4">
        <v>1.1417137476459511</v>
      </c>
      <c r="AH87" s="4">
        <v>0.57255936675461738</v>
      </c>
      <c r="AI87" s="4">
        <v>0.95847602739726034</v>
      </c>
      <c r="AJ87" s="4">
        <v>1.03652242953553</v>
      </c>
      <c r="AK87" s="4">
        <v>1.069338135974786</v>
      </c>
      <c r="AM87" s="556">
        <v>45850</v>
      </c>
      <c r="AN87" s="557">
        <v>3.54</v>
      </c>
      <c r="AO87" s="557">
        <v>401300</v>
      </c>
      <c r="AP87" s="557">
        <v>103.18898</v>
      </c>
      <c r="AQ87" s="557">
        <v>365.2889892</v>
      </c>
      <c r="AR87" s="557">
        <v>1.9793000000000001</v>
      </c>
    </row>
    <row r="88" spans="2:44">
      <c r="B88" s="558">
        <v>45352</v>
      </c>
      <c r="C88" s="554">
        <v>5.5136000000000003</v>
      </c>
      <c r="D88" s="554">
        <v>3.4706999999999999</v>
      </c>
      <c r="E88" s="554">
        <v>6.4816000000000003</v>
      </c>
      <c r="F88" s="554">
        <v>14.0838</v>
      </c>
      <c r="G88" s="554">
        <v>11.327500000000001</v>
      </c>
      <c r="H88" s="554">
        <v>0</v>
      </c>
      <c r="I88" s="558">
        <v>45352</v>
      </c>
      <c r="J88" s="554">
        <v>4.3368000000000002</v>
      </c>
      <c r="K88" s="554">
        <v>2.6208999999999998</v>
      </c>
      <c r="L88" s="554">
        <v>6.4554999999999998</v>
      </c>
      <c r="M88" s="554">
        <v>11.3774</v>
      </c>
      <c r="N88" s="554">
        <v>13.027100000000001</v>
      </c>
      <c r="O88" s="554">
        <v>0</v>
      </c>
      <c r="P88" s="554"/>
      <c r="Q88" s="558">
        <v>45352</v>
      </c>
      <c r="R88" s="4">
        <v>4.7699999999999996</v>
      </c>
      <c r="S88" s="4">
        <v>130416.31</v>
      </c>
      <c r="T88" s="4">
        <v>0</v>
      </c>
      <c r="U88" s="4">
        <v>0.92621359223300959</v>
      </c>
      <c r="V88" s="4">
        <v>1.2033650330537982</v>
      </c>
      <c r="W88" s="4" t="e">
        <v>#DIV/0!</v>
      </c>
      <c r="Y88" s="554">
        <v>4.7699999999999996</v>
      </c>
      <c r="Z88" s="4">
        <v>24.57</v>
      </c>
      <c r="AA88" s="4">
        <v>4.42</v>
      </c>
      <c r="AB88" s="4">
        <v>21.93</v>
      </c>
      <c r="AC88" s="4">
        <v>26.09</v>
      </c>
      <c r="AD88" s="4">
        <v>23.59</v>
      </c>
      <c r="AF88" s="4">
        <v>0.92621359223300959</v>
      </c>
      <c r="AG88" s="4">
        <v>1.1567796610169492</v>
      </c>
      <c r="AH88" s="4">
        <v>0.58311345646437995</v>
      </c>
      <c r="AI88" s="4">
        <v>0.93878424657534243</v>
      </c>
      <c r="AJ88" s="4">
        <v>1.035728463676062</v>
      </c>
      <c r="AK88" s="4">
        <v>1.0621341737955876</v>
      </c>
      <c r="AM88" s="556">
        <v>45849</v>
      </c>
      <c r="AN88" s="557">
        <v>3.5249999999999999</v>
      </c>
      <c r="AO88" s="557">
        <v>593900</v>
      </c>
      <c r="AP88" s="557">
        <v>103.18898</v>
      </c>
      <c r="AQ88" s="557">
        <v>363.74115449999999</v>
      </c>
      <c r="AR88" s="557">
        <v>1.9624999999999999</v>
      </c>
    </row>
    <row r="89" spans="2:44">
      <c r="B89" s="558">
        <v>45345</v>
      </c>
      <c r="C89" s="554">
        <v>5.3635999999999999</v>
      </c>
      <c r="D89" s="554">
        <v>3.4142999999999999</v>
      </c>
      <c r="E89" s="554">
        <v>6.44</v>
      </c>
      <c r="F89" s="554">
        <v>13.664</v>
      </c>
      <c r="G89" s="554">
        <v>11.229699999999999</v>
      </c>
      <c r="H89" s="554">
        <v>0</v>
      </c>
      <c r="I89" s="558">
        <v>45345</v>
      </c>
      <c r="J89" s="554">
        <v>3.8201999999999998</v>
      </c>
      <c r="K89" s="554">
        <v>2.5579000000000001</v>
      </c>
      <c r="L89" s="554">
        <v>6.3678999999999997</v>
      </c>
      <c r="M89" s="554">
        <v>10.827400000000001</v>
      </c>
      <c r="N89" s="554">
        <v>12.892200000000001</v>
      </c>
      <c r="O89" s="554">
        <v>0</v>
      </c>
      <c r="P89" s="554"/>
      <c r="Q89" s="558">
        <v>45345</v>
      </c>
      <c r="R89" s="4">
        <v>4.6100000000000003</v>
      </c>
      <c r="S89" s="4">
        <v>127401.81</v>
      </c>
      <c r="T89" s="4">
        <v>0</v>
      </c>
      <c r="U89" s="4">
        <v>0.89514563106796119</v>
      </c>
      <c r="V89" s="4">
        <v>1.175549923945584</v>
      </c>
      <c r="W89" s="4" t="e">
        <v>#DIV/0!</v>
      </c>
      <c r="Y89" s="554">
        <v>4.6100000000000003</v>
      </c>
      <c r="Z89" s="4">
        <v>23.98</v>
      </c>
      <c r="AA89" s="4">
        <v>4.3600000000000003</v>
      </c>
      <c r="AB89" s="4">
        <v>20.87</v>
      </c>
      <c r="AC89" s="4">
        <v>25.82</v>
      </c>
      <c r="AD89" s="4">
        <v>23.45</v>
      </c>
      <c r="AF89" s="4">
        <v>0.89514563106796119</v>
      </c>
      <c r="AG89" s="4">
        <v>1.1290018832391715</v>
      </c>
      <c r="AH89" s="4">
        <v>0.57519788918205805</v>
      </c>
      <c r="AI89" s="4">
        <v>0.89340753424657537</v>
      </c>
      <c r="AJ89" s="4">
        <v>1.0250099245732434</v>
      </c>
      <c r="AK89" s="4">
        <v>1.0558307068887887</v>
      </c>
      <c r="AM89" s="556">
        <v>45848</v>
      </c>
      <c r="AN89" s="557">
        <v>3.68</v>
      </c>
      <c r="AO89" s="557">
        <v>645900</v>
      </c>
      <c r="AP89" s="557">
        <v>103.18898</v>
      </c>
      <c r="AQ89" s="557">
        <v>379.7354464</v>
      </c>
      <c r="AR89" s="557">
        <v>2.0629</v>
      </c>
    </row>
    <row r="90" spans="2:44">
      <c r="B90" s="558">
        <v>45338</v>
      </c>
      <c r="C90" s="554">
        <v>5.35</v>
      </c>
      <c r="D90" s="554">
        <v>3.3654999999999999</v>
      </c>
      <c r="E90" s="554">
        <v>6.3705999999999996</v>
      </c>
      <c r="F90" s="554">
        <v>13.4977</v>
      </c>
      <c r="G90" s="554">
        <v>11.258699999999999</v>
      </c>
      <c r="H90" s="554">
        <v>0</v>
      </c>
      <c r="I90" s="558">
        <v>45338</v>
      </c>
      <c r="J90" s="554">
        <v>3.7732000000000001</v>
      </c>
      <c r="K90" s="554">
        <v>2.5034999999999998</v>
      </c>
      <c r="L90" s="554">
        <v>6.2218</v>
      </c>
      <c r="M90" s="554">
        <v>10.609500000000001</v>
      </c>
      <c r="N90" s="554">
        <v>12.9322</v>
      </c>
      <c r="O90" s="554">
        <v>0</v>
      </c>
      <c r="P90" s="554"/>
      <c r="Q90" s="558">
        <v>45338</v>
      </c>
      <c r="R90" s="4">
        <v>5.0999999999999996</v>
      </c>
      <c r="S90" s="4">
        <v>128262.52</v>
      </c>
      <c r="T90" s="4">
        <v>0</v>
      </c>
      <c r="U90" s="4">
        <v>0.99029126213592222</v>
      </c>
      <c r="V90" s="4">
        <v>1.1834917858001308</v>
      </c>
      <c r="W90" s="4" t="e">
        <v>#DIV/0!</v>
      </c>
      <c r="Y90" s="554">
        <v>5.0999999999999996</v>
      </c>
      <c r="Z90" s="4">
        <v>23.47</v>
      </c>
      <c r="AA90" s="4">
        <v>4.26</v>
      </c>
      <c r="AB90" s="4">
        <v>20.45</v>
      </c>
      <c r="AC90" s="4">
        <v>25.9</v>
      </c>
      <c r="AD90" s="4">
        <v>23.11</v>
      </c>
      <c r="AF90" s="4">
        <v>0.99029126213592222</v>
      </c>
      <c r="AG90" s="4">
        <v>1.1049905838041432</v>
      </c>
      <c r="AH90" s="4">
        <v>0.56200527704485481</v>
      </c>
      <c r="AI90" s="4">
        <v>0.87542808219178081</v>
      </c>
      <c r="AJ90" s="4">
        <v>1.0281857880111154</v>
      </c>
      <c r="AK90" s="4">
        <v>1.0405222872579918</v>
      </c>
      <c r="AM90" s="556">
        <v>45847</v>
      </c>
      <c r="AN90" s="557">
        <v>3.5249999999999999</v>
      </c>
      <c r="AO90" s="557">
        <v>606100</v>
      </c>
      <c r="AP90" s="557">
        <v>103.18898</v>
      </c>
      <c r="AQ90" s="557">
        <v>363.74115449999999</v>
      </c>
      <c r="AR90" s="557">
        <v>1.9681</v>
      </c>
    </row>
    <row r="91" spans="2:44">
      <c r="B91" s="558">
        <v>45331</v>
      </c>
      <c r="C91" s="554">
        <v>5.3250000000000002</v>
      </c>
      <c r="D91" s="554">
        <v>3.4123999999999999</v>
      </c>
      <c r="E91" s="554">
        <v>6.4053000000000004</v>
      </c>
      <c r="F91" s="554">
        <v>13.854100000000001</v>
      </c>
      <c r="G91" s="554">
        <v>11.450699999999999</v>
      </c>
      <c r="H91" s="554">
        <v>0</v>
      </c>
      <c r="I91" s="558">
        <v>45331</v>
      </c>
      <c r="J91" s="554">
        <v>3.6871</v>
      </c>
      <c r="K91" s="554">
        <v>2.5558000000000001</v>
      </c>
      <c r="L91" s="554">
        <v>6.2949000000000002</v>
      </c>
      <c r="M91" s="554">
        <v>11.076499999999999</v>
      </c>
      <c r="N91" s="554">
        <v>13.1968</v>
      </c>
      <c r="O91" s="554">
        <v>0</v>
      </c>
      <c r="P91" s="554"/>
      <c r="Q91" s="558">
        <v>45331</v>
      </c>
      <c r="R91" s="4">
        <v>5.25</v>
      </c>
      <c r="S91" s="4">
        <v>129294.04</v>
      </c>
      <c r="T91" s="4">
        <v>0</v>
      </c>
      <c r="U91" s="4">
        <v>1.0194174757281553</v>
      </c>
      <c r="V91" s="4">
        <v>1.193009729521247</v>
      </c>
      <c r="W91" s="4" t="e">
        <v>#DIV/0!</v>
      </c>
      <c r="Y91" s="554">
        <v>5.25</v>
      </c>
      <c r="Z91" s="4">
        <v>23.96</v>
      </c>
      <c r="AA91" s="4">
        <v>4.3099999999999996</v>
      </c>
      <c r="AB91" s="4">
        <v>21.35</v>
      </c>
      <c r="AC91" s="4">
        <v>26.43</v>
      </c>
      <c r="AD91" s="4">
        <v>23.8</v>
      </c>
      <c r="AF91" s="4">
        <v>1.0194174757281553</v>
      </c>
      <c r="AG91" s="4">
        <v>1.1280602636534842</v>
      </c>
      <c r="AH91" s="4">
        <v>0.56860158311345643</v>
      </c>
      <c r="AI91" s="4">
        <v>0.91395547945205491</v>
      </c>
      <c r="AJ91" s="4">
        <v>1.0492258832870185</v>
      </c>
      <c r="AK91" s="4">
        <v>1.0715893741557856</v>
      </c>
      <c r="AM91" s="556">
        <v>45846</v>
      </c>
      <c r="AN91" s="557">
        <v>3.5249999999999999</v>
      </c>
      <c r="AO91" s="557">
        <v>606100</v>
      </c>
      <c r="AP91" s="557">
        <v>103.18898</v>
      </c>
      <c r="AQ91" s="557">
        <v>363.74115449999999</v>
      </c>
      <c r="AR91" s="557">
        <v>1.9681</v>
      </c>
    </row>
    <row r="92" spans="2:44">
      <c r="B92" s="558">
        <v>45324</v>
      </c>
      <c r="C92" s="554">
        <v>5.3909000000000002</v>
      </c>
      <c r="D92" s="554">
        <v>3.4621</v>
      </c>
      <c r="E92" s="554">
        <v>6.6132999999999997</v>
      </c>
      <c r="F92" s="554">
        <v>13.513500000000001</v>
      </c>
      <c r="G92" s="554">
        <v>11.7515</v>
      </c>
      <c r="H92" s="554">
        <v>0</v>
      </c>
      <c r="I92" s="558">
        <v>45324</v>
      </c>
      <c r="J92" s="554">
        <v>3.9140999999999999</v>
      </c>
      <c r="K92" s="554">
        <v>2.6113</v>
      </c>
      <c r="L92" s="554">
        <v>6.7329999999999997</v>
      </c>
      <c r="M92" s="554">
        <v>10.6303</v>
      </c>
      <c r="N92" s="554">
        <v>13.6113</v>
      </c>
      <c r="O92" s="554">
        <v>0</v>
      </c>
      <c r="P92" s="554"/>
      <c r="Q92" s="558">
        <v>45324</v>
      </c>
      <c r="R92" s="4">
        <v>5.43</v>
      </c>
      <c r="S92" s="4">
        <v>131446.59</v>
      </c>
      <c r="T92" s="4">
        <v>0</v>
      </c>
      <c r="U92" s="4">
        <v>1.0543689320388347</v>
      </c>
      <c r="V92" s="4">
        <v>1.2128715351642678</v>
      </c>
      <c r="W92" s="4" t="e">
        <v>#DIV/0!</v>
      </c>
      <c r="Y92" s="554">
        <v>5.43</v>
      </c>
      <c r="Z92" s="4">
        <v>24.48</v>
      </c>
      <c r="AA92" s="4">
        <v>4.6100000000000003</v>
      </c>
      <c r="AB92" s="4">
        <v>20.49</v>
      </c>
      <c r="AC92" s="4">
        <v>27.26</v>
      </c>
      <c r="AD92" s="4">
        <v>23.71</v>
      </c>
      <c r="AF92" s="4">
        <v>1.0543689320388347</v>
      </c>
      <c r="AG92" s="4">
        <v>1.152542372881356</v>
      </c>
      <c r="AH92" s="4">
        <v>0.60817941952506605</v>
      </c>
      <c r="AI92" s="4">
        <v>0.87714041095890405</v>
      </c>
      <c r="AJ92" s="4">
        <v>1.0821754664549423</v>
      </c>
      <c r="AK92" s="4">
        <v>1.0675371454299865</v>
      </c>
      <c r="AM92" s="556">
        <v>45845</v>
      </c>
      <c r="AN92" s="557">
        <v>3.5249999999999999</v>
      </c>
      <c r="AO92" s="557">
        <v>606100</v>
      </c>
      <c r="AP92" s="557">
        <v>103.18898</v>
      </c>
      <c r="AQ92" s="557">
        <v>363.74115449999999</v>
      </c>
      <c r="AR92" s="557">
        <v>1.9681</v>
      </c>
    </row>
    <row r="93" spans="2:44">
      <c r="B93" s="558">
        <v>45317</v>
      </c>
      <c r="C93" s="554">
        <v>5.3613</v>
      </c>
      <c r="D93" s="554">
        <v>3.4754999999999998</v>
      </c>
      <c r="E93" s="554">
        <v>6.7934999999999999</v>
      </c>
      <c r="F93" s="554">
        <v>13.568899999999999</v>
      </c>
      <c r="G93" s="554">
        <v>12.0886</v>
      </c>
      <c r="H93" s="554">
        <v>0</v>
      </c>
      <c r="I93" s="558">
        <v>45317</v>
      </c>
      <c r="J93" s="554">
        <v>3.8123</v>
      </c>
      <c r="K93" s="554">
        <v>2.6261999999999999</v>
      </c>
      <c r="L93" s="554">
        <v>7.1128</v>
      </c>
      <c r="M93" s="554">
        <v>10.7029</v>
      </c>
      <c r="N93" s="554">
        <v>14.0756</v>
      </c>
      <c r="O93" s="554">
        <v>0</v>
      </c>
      <c r="P93" s="554"/>
      <c r="Q93" s="558">
        <v>45317</v>
      </c>
      <c r="R93" s="4">
        <v>5.68</v>
      </c>
      <c r="S93" s="4">
        <v>132696.63</v>
      </c>
      <c r="T93" s="4">
        <v>0</v>
      </c>
      <c r="U93" s="4">
        <v>1.1029126213592231</v>
      </c>
      <c r="V93" s="4">
        <v>1.2244057859486872</v>
      </c>
      <c r="W93" s="4" t="e">
        <v>#DIV/0!</v>
      </c>
      <c r="Y93" s="554">
        <v>5.68</v>
      </c>
      <c r="Z93" s="4">
        <v>24.62</v>
      </c>
      <c r="AA93" s="4">
        <v>4.87</v>
      </c>
      <c r="AB93" s="4">
        <v>20.63</v>
      </c>
      <c r="AC93" s="4">
        <v>28.19</v>
      </c>
      <c r="AD93" s="4">
        <v>23.55</v>
      </c>
      <c r="AF93" s="4">
        <v>1.1029126213592231</v>
      </c>
      <c r="AG93" s="4">
        <v>1.1591337099811678</v>
      </c>
      <c r="AH93" s="4">
        <v>0.64248021108179421</v>
      </c>
      <c r="AI93" s="4">
        <v>0.88313356164383561</v>
      </c>
      <c r="AJ93" s="4">
        <v>1.1190948789202064</v>
      </c>
      <c r="AK93" s="4">
        <v>1.0603331832507878</v>
      </c>
      <c r="AM93" s="556">
        <v>45844</v>
      </c>
      <c r="AN93" s="557">
        <v>3.56</v>
      </c>
      <c r="AO93" s="557">
        <v>320800</v>
      </c>
      <c r="AP93" s="557">
        <v>103.18898</v>
      </c>
      <c r="AQ93" s="557">
        <v>367.35276880000004</v>
      </c>
      <c r="AR93" s="557">
        <v>1.9793000000000001</v>
      </c>
    </row>
    <row r="94" spans="2:44">
      <c r="B94" s="558">
        <v>45310</v>
      </c>
      <c r="C94" s="554">
        <v>5.4454000000000002</v>
      </c>
      <c r="D94" s="554">
        <v>3.4630000000000001</v>
      </c>
      <c r="E94" s="554">
        <v>6.8697999999999997</v>
      </c>
      <c r="F94" s="554">
        <v>13.6996</v>
      </c>
      <c r="G94" s="554">
        <v>11.8856</v>
      </c>
      <c r="H94" s="554">
        <v>0</v>
      </c>
      <c r="I94" s="558">
        <v>45310</v>
      </c>
      <c r="J94" s="554">
        <v>4.1020000000000003</v>
      </c>
      <c r="K94" s="554">
        <v>2.6122999999999998</v>
      </c>
      <c r="L94" s="554">
        <v>7.2733999999999996</v>
      </c>
      <c r="M94" s="554">
        <v>10.8741</v>
      </c>
      <c r="N94" s="554">
        <v>13.795999999999999</v>
      </c>
      <c r="O94" s="554">
        <v>0</v>
      </c>
      <c r="P94" s="554"/>
      <c r="Q94" s="558">
        <v>45310</v>
      </c>
      <c r="R94" s="4">
        <v>5.89</v>
      </c>
      <c r="S94" s="4">
        <v>133532.92000000001</v>
      </c>
      <c r="T94" s="4">
        <v>0</v>
      </c>
      <c r="U94" s="4">
        <v>1.1436893203883494</v>
      </c>
      <c r="V94" s="4">
        <v>1.2321223218903388</v>
      </c>
      <c r="W94" s="4" t="e">
        <v>#DIV/0!</v>
      </c>
      <c r="Y94" s="554">
        <v>5.89</v>
      </c>
      <c r="Z94" s="4">
        <v>24.49</v>
      </c>
      <c r="AA94" s="4">
        <v>4.9800000000000004</v>
      </c>
      <c r="AB94" s="4">
        <v>20.96</v>
      </c>
      <c r="AC94" s="4">
        <v>27.63</v>
      </c>
      <c r="AD94" s="4">
        <v>23.75</v>
      </c>
      <c r="AF94" s="4">
        <v>1.1436893203883494</v>
      </c>
      <c r="AG94" s="4">
        <v>1.1530131826741996</v>
      </c>
      <c r="AH94" s="4">
        <v>0.65699208443271773</v>
      </c>
      <c r="AI94" s="4">
        <v>0.89726027397260277</v>
      </c>
      <c r="AJ94" s="4">
        <v>1.0968638348551012</v>
      </c>
      <c r="AK94" s="4">
        <v>1.069338135974786</v>
      </c>
      <c r="AM94" s="556">
        <v>45843</v>
      </c>
      <c r="AN94" s="557">
        <v>3.4750000000000001</v>
      </c>
      <c r="AO94" s="557">
        <v>363400</v>
      </c>
      <c r="AP94" s="557">
        <v>103.18898</v>
      </c>
      <c r="AQ94" s="557">
        <v>358.5817055</v>
      </c>
      <c r="AR94" s="557">
        <v>1.9401999999999999</v>
      </c>
    </row>
    <row r="95" spans="2:44">
      <c r="B95" s="558">
        <v>45303</v>
      </c>
      <c r="C95" s="554">
        <v>5.4589999999999996</v>
      </c>
      <c r="D95" s="554">
        <v>3.5663</v>
      </c>
      <c r="E95" s="554">
        <v>6.9806999999999997</v>
      </c>
      <c r="F95" s="554">
        <v>14.3293</v>
      </c>
      <c r="G95" s="554">
        <v>12.396599999999999</v>
      </c>
      <c r="H95" s="554">
        <v>0</v>
      </c>
      <c r="I95" s="558">
        <v>45303</v>
      </c>
      <c r="J95" s="554">
        <v>4.1489000000000003</v>
      </c>
      <c r="K95" s="554">
        <v>2.7275</v>
      </c>
      <c r="L95" s="554">
        <v>7.5071000000000003</v>
      </c>
      <c r="M95" s="554">
        <v>11.699</v>
      </c>
      <c r="N95" s="554">
        <v>14.5</v>
      </c>
      <c r="O95" s="554">
        <v>0</v>
      </c>
      <c r="P95" s="554"/>
      <c r="Q95" s="558">
        <v>45303</v>
      </c>
      <c r="R95" s="4">
        <v>5.52</v>
      </c>
      <c r="S95" s="4">
        <v>131850.9</v>
      </c>
      <c r="T95" s="4">
        <v>0</v>
      </c>
      <c r="U95" s="4">
        <v>1.0718446601941747</v>
      </c>
      <c r="V95" s="4">
        <v>1.2166021461324357</v>
      </c>
      <c r="W95" s="4" t="e">
        <v>#DIV/0!</v>
      </c>
      <c r="Y95" s="554">
        <v>5.52</v>
      </c>
      <c r="Z95" s="4">
        <v>25.57</v>
      </c>
      <c r="AA95" s="4">
        <v>5.14</v>
      </c>
      <c r="AB95" s="4">
        <v>22.55</v>
      </c>
      <c r="AC95" s="4">
        <v>29.04</v>
      </c>
      <c r="AD95" s="4">
        <v>24.59</v>
      </c>
      <c r="AF95" s="4">
        <v>1.0718446601941747</v>
      </c>
      <c r="AG95" s="4">
        <v>1.2038606403013183</v>
      </c>
      <c r="AH95" s="4">
        <v>0.67810026385224265</v>
      </c>
      <c r="AI95" s="4">
        <v>0.96532534246575352</v>
      </c>
      <c r="AJ95" s="4">
        <v>1.1528384279475981</v>
      </c>
      <c r="AK95" s="4">
        <v>1.1071589374155786</v>
      </c>
      <c r="AM95" s="556">
        <v>45842</v>
      </c>
      <c r="AN95" s="557">
        <v>3.45</v>
      </c>
      <c r="AO95" s="557">
        <v>371200</v>
      </c>
      <c r="AP95" s="557">
        <v>103.18898</v>
      </c>
      <c r="AQ95" s="557">
        <v>356.001981</v>
      </c>
      <c r="AR95" s="557">
        <v>1.9124000000000001</v>
      </c>
    </row>
    <row r="96" spans="2:44">
      <c r="B96" s="558">
        <v>45296</v>
      </c>
      <c r="C96" s="554">
        <v>5.5225999999999997</v>
      </c>
      <c r="D96" s="554">
        <v>3.5337999999999998</v>
      </c>
      <c r="E96" s="554">
        <v>6.9390999999999998</v>
      </c>
      <c r="F96" s="554">
        <v>13.889699999999999</v>
      </c>
      <c r="G96" s="554">
        <v>11.994300000000001</v>
      </c>
      <c r="H96" s="554">
        <v>0</v>
      </c>
      <c r="I96" s="558">
        <v>45296</v>
      </c>
      <c r="J96" s="554">
        <v>4.3681000000000001</v>
      </c>
      <c r="K96" s="554">
        <v>2.6913</v>
      </c>
      <c r="L96" s="554">
        <v>7.4195000000000002</v>
      </c>
      <c r="M96" s="554">
        <v>11.123200000000001</v>
      </c>
      <c r="N96" s="554">
        <v>13.9458</v>
      </c>
      <c r="O96" s="554">
        <v>0</v>
      </c>
      <c r="P96" s="554"/>
      <c r="Q96" s="558">
        <v>45296</v>
      </c>
      <c r="R96" s="4">
        <v>5.03</v>
      </c>
      <c r="S96" s="4">
        <v>126403.03</v>
      </c>
      <c r="T96" s="4">
        <v>0</v>
      </c>
      <c r="U96" s="4">
        <v>0.97669902912621354</v>
      </c>
      <c r="V96" s="4">
        <v>1.1663340756539595</v>
      </c>
      <c r="W96" s="4" t="e">
        <v>#DIV/0!</v>
      </c>
      <c r="Y96" s="554">
        <v>5.03</v>
      </c>
      <c r="Z96" s="4">
        <v>25.23</v>
      </c>
      <c r="AA96" s="4">
        <v>5.08</v>
      </c>
      <c r="AB96" s="4">
        <v>21.44</v>
      </c>
      <c r="AC96" s="4">
        <v>27.93</v>
      </c>
      <c r="AD96" s="4">
        <v>24.39</v>
      </c>
      <c r="AF96" s="4">
        <v>0.97669902912621354</v>
      </c>
      <c r="AG96" s="4">
        <v>1.1878531073446328</v>
      </c>
      <c r="AH96" s="4">
        <v>0.67018469656992086</v>
      </c>
      <c r="AI96" s="4">
        <v>0.91780821917808231</v>
      </c>
      <c r="AJ96" s="4">
        <v>1.1087733227471217</v>
      </c>
      <c r="AK96" s="4">
        <v>1.0981539846915804</v>
      </c>
      <c r="AM96" s="556">
        <v>45841</v>
      </c>
      <c r="AN96" s="557">
        <v>3.48</v>
      </c>
      <c r="AO96" s="557">
        <v>455900</v>
      </c>
      <c r="AP96" s="557">
        <v>103.18898</v>
      </c>
      <c r="AQ96" s="557">
        <v>359.09765040000002</v>
      </c>
      <c r="AR96" s="557">
        <v>1.9347000000000001</v>
      </c>
    </row>
    <row r="97" spans="2:44">
      <c r="B97" s="558">
        <v>45289</v>
      </c>
      <c r="C97" s="554">
        <v>8.9609000000000005</v>
      </c>
      <c r="D97" s="554">
        <v>3.8056000000000001</v>
      </c>
      <c r="E97" s="554">
        <v>8.4085000000000001</v>
      </c>
      <c r="F97" s="554">
        <v>12.183199999999999</v>
      </c>
      <c r="G97" s="554">
        <v>12.123799999999999</v>
      </c>
      <c r="H97" s="554">
        <v>0</v>
      </c>
      <c r="I97" s="558">
        <v>45289</v>
      </c>
      <c r="J97" s="554">
        <v>11.720499999999999</v>
      </c>
      <c r="K97" s="554">
        <v>2.9327999999999999</v>
      </c>
      <c r="L97" s="554">
        <v>9.2096</v>
      </c>
      <c r="M97" s="554">
        <v>13.597899999999999</v>
      </c>
      <c r="N97" s="554">
        <v>15.113899999999999</v>
      </c>
      <c r="O97" s="554">
        <v>0</v>
      </c>
      <c r="P97" s="554"/>
      <c r="Q97" s="558">
        <v>45289</v>
      </c>
      <c r="R97" s="4">
        <v>4.99</v>
      </c>
      <c r="S97" s="4">
        <v>126903.25</v>
      </c>
      <c r="T97" s="4">
        <v>0</v>
      </c>
      <c r="U97" s="4">
        <v>0.96893203883495138</v>
      </c>
      <c r="V97" s="4">
        <v>1.1709496582972208</v>
      </c>
      <c r="W97" s="4" t="e">
        <v>#DIV/0!</v>
      </c>
      <c r="Y97" s="554">
        <v>4.99</v>
      </c>
      <c r="Z97" s="4">
        <v>26.4</v>
      </c>
      <c r="AA97" s="4">
        <v>5.32</v>
      </c>
      <c r="AB97" s="4">
        <v>22.19</v>
      </c>
      <c r="AC97" s="4">
        <v>28.58</v>
      </c>
      <c r="AD97" s="4">
        <v>24.11</v>
      </c>
      <c r="AF97" s="4">
        <v>0.96893203883495138</v>
      </c>
      <c r="AG97" s="4">
        <v>1.2429378531073447</v>
      </c>
      <c r="AH97" s="4">
        <v>0.70184696569920846</v>
      </c>
      <c r="AI97" s="4">
        <v>0.94991438356164393</v>
      </c>
      <c r="AJ97" s="4">
        <v>1.1345772131798331</v>
      </c>
      <c r="AK97" s="4">
        <v>1.0855470508779828</v>
      </c>
      <c r="AM97" s="556">
        <v>45840</v>
      </c>
      <c r="AN97" s="557">
        <v>3.5150000000000001</v>
      </c>
      <c r="AO97" s="557">
        <v>275100</v>
      </c>
      <c r="AP97" s="557">
        <v>103.18898</v>
      </c>
      <c r="AQ97" s="557">
        <v>362.70926470000001</v>
      </c>
      <c r="AR97" s="557">
        <v>1.9624999999999999</v>
      </c>
    </row>
    <row r="98" spans="2:44">
      <c r="B98" s="558">
        <v>45282</v>
      </c>
      <c r="C98" s="554">
        <v>8.9609000000000005</v>
      </c>
      <c r="D98" s="554">
        <v>3.8056000000000001</v>
      </c>
      <c r="E98" s="554">
        <v>8.4085000000000001</v>
      </c>
      <c r="F98" s="554">
        <v>12.183199999999999</v>
      </c>
      <c r="G98" s="554">
        <v>12.123799999999999</v>
      </c>
      <c r="H98" s="554">
        <v>0</v>
      </c>
      <c r="I98" s="558">
        <v>45282</v>
      </c>
      <c r="J98" s="554">
        <v>11.720499999999999</v>
      </c>
      <c r="K98" s="554">
        <v>2.9327999999999999</v>
      </c>
      <c r="L98" s="554">
        <v>9.2096</v>
      </c>
      <c r="M98" s="554">
        <v>13.597899999999999</v>
      </c>
      <c r="N98" s="554">
        <v>15.113899999999999</v>
      </c>
      <c r="O98" s="554">
        <v>0</v>
      </c>
      <c r="P98" s="554"/>
      <c r="Q98" s="558">
        <v>45282</v>
      </c>
      <c r="R98" s="4">
        <v>5.2</v>
      </c>
      <c r="S98" s="4">
        <v>126538.32</v>
      </c>
      <c r="T98" s="4">
        <v>0</v>
      </c>
      <c r="U98" s="4">
        <v>1.0097087378640777</v>
      </c>
      <c r="V98" s="4">
        <v>1.1675824107381361</v>
      </c>
      <c r="W98" s="4" t="e">
        <v>#DIV/0!</v>
      </c>
      <c r="Y98" s="554">
        <v>5.2</v>
      </c>
      <c r="Z98" s="4">
        <v>26.4</v>
      </c>
      <c r="AA98" s="4">
        <v>5.32</v>
      </c>
      <c r="AB98" s="4">
        <v>22.19</v>
      </c>
      <c r="AC98" s="4">
        <v>28.58</v>
      </c>
      <c r="AD98" s="4">
        <v>24.11</v>
      </c>
      <c r="AF98" s="4">
        <v>1.0097087378640777</v>
      </c>
      <c r="AG98" s="4">
        <v>1.2429378531073447</v>
      </c>
      <c r="AH98" s="4">
        <v>0.70184696569920846</v>
      </c>
      <c r="AI98" s="4">
        <v>0.94991438356164393</v>
      </c>
      <c r="AJ98" s="4">
        <v>1.1345772131798331</v>
      </c>
      <c r="AK98" s="4">
        <v>1.0855470508779828</v>
      </c>
      <c r="AM98" s="556">
        <v>45839</v>
      </c>
      <c r="AN98" s="557">
        <v>3.5150000000000001</v>
      </c>
      <c r="AO98" s="557">
        <v>275100</v>
      </c>
      <c r="AP98" s="557">
        <v>103.18898</v>
      </c>
      <c r="AQ98" s="557">
        <v>362.70926470000001</v>
      </c>
      <c r="AR98" s="557">
        <v>1.9624999999999999</v>
      </c>
    </row>
    <row r="99" spans="2:44">
      <c r="B99" s="558">
        <v>45275</v>
      </c>
      <c r="C99" s="554">
        <v>8.6644000000000005</v>
      </c>
      <c r="D99" s="554">
        <v>3.8483000000000001</v>
      </c>
      <c r="E99" s="554">
        <v>8.0167999999999999</v>
      </c>
      <c r="F99" s="554">
        <v>12.466799999999999</v>
      </c>
      <c r="G99" s="554">
        <v>12.2507</v>
      </c>
      <c r="H99" s="554">
        <v>0</v>
      </c>
      <c r="I99" s="558">
        <v>45275</v>
      </c>
      <c r="J99" s="554">
        <v>10.253</v>
      </c>
      <c r="K99" s="554">
        <v>2.9805999999999999</v>
      </c>
      <c r="L99" s="554">
        <v>8.4132999999999996</v>
      </c>
      <c r="M99" s="554">
        <v>14.0943</v>
      </c>
      <c r="N99" s="554">
        <v>15.293699999999999</v>
      </c>
      <c r="O99" s="554">
        <v>0</v>
      </c>
      <c r="P99" s="554"/>
      <c r="Q99" s="558">
        <v>45275</v>
      </c>
      <c r="R99" s="4">
        <v>5.13</v>
      </c>
      <c r="S99" s="4">
        <v>125626.03</v>
      </c>
      <c r="T99" s="4">
        <v>0</v>
      </c>
      <c r="U99" s="4">
        <v>0.99611650485436887</v>
      </c>
      <c r="V99" s="4">
        <v>1.1591646147891121</v>
      </c>
      <c r="W99" s="4" t="e">
        <v>#DIV/0!</v>
      </c>
      <c r="Y99" s="554">
        <v>5.13</v>
      </c>
      <c r="Z99" s="4">
        <v>26.83</v>
      </c>
      <c r="AA99" s="4">
        <v>4.8600000000000003</v>
      </c>
      <c r="AB99" s="4">
        <v>23</v>
      </c>
      <c r="AC99" s="4">
        <v>28.92</v>
      </c>
      <c r="AD99" s="4">
        <v>24.71</v>
      </c>
      <c r="AF99" s="4">
        <v>0.99611650485436887</v>
      </c>
      <c r="AG99" s="4">
        <v>1.2631826741996233</v>
      </c>
      <c r="AH99" s="4">
        <v>0.64116094986807393</v>
      </c>
      <c r="AI99" s="4">
        <v>0.9845890410958904</v>
      </c>
      <c r="AJ99" s="4">
        <v>1.14807463279079</v>
      </c>
      <c r="AK99" s="4">
        <v>1.1125619090499774</v>
      </c>
      <c r="AM99" s="556">
        <v>45838</v>
      </c>
      <c r="AN99" s="557">
        <v>3.5150000000000001</v>
      </c>
      <c r="AO99" s="557">
        <v>275100</v>
      </c>
      <c r="AP99" s="557">
        <v>103.18898</v>
      </c>
      <c r="AQ99" s="557">
        <v>362.70926470000001</v>
      </c>
      <c r="AR99" s="557">
        <v>1.9624999999999999</v>
      </c>
    </row>
    <row r="100" spans="2:44">
      <c r="B100" s="558">
        <v>45268</v>
      </c>
      <c r="C100" s="554">
        <v>8.5814000000000004</v>
      </c>
      <c r="D100" s="554">
        <v>3.6646000000000001</v>
      </c>
      <c r="E100" s="554">
        <v>7.8975999999999997</v>
      </c>
      <c r="F100" s="554">
        <v>12.3653</v>
      </c>
      <c r="G100" s="554">
        <v>11.735799999999999</v>
      </c>
      <c r="H100" s="554">
        <v>0</v>
      </c>
      <c r="I100" s="558">
        <v>45268</v>
      </c>
      <c r="J100" s="554">
        <v>9.8421000000000003</v>
      </c>
      <c r="K100" s="554">
        <v>2.7751000000000001</v>
      </c>
      <c r="L100" s="554">
        <v>8.1709999999999994</v>
      </c>
      <c r="M100" s="554">
        <v>13.916600000000001</v>
      </c>
      <c r="N100" s="554">
        <v>14.5639</v>
      </c>
      <c r="O100" s="554">
        <v>0</v>
      </c>
      <c r="P100" s="554"/>
      <c r="Q100" s="558">
        <v>45268</v>
      </c>
      <c r="R100" s="4">
        <v>5.24</v>
      </c>
      <c r="S100" s="4">
        <v>123165.75999999999</v>
      </c>
      <c r="T100" s="4">
        <v>0</v>
      </c>
      <c r="U100" s="4">
        <v>1.0174757281553397</v>
      </c>
      <c r="V100" s="4">
        <v>1.1364634442846617</v>
      </c>
      <c r="W100" s="4" t="e">
        <v>#DIV/0!</v>
      </c>
      <c r="Y100" s="554">
        <v>5.24</v>
      </c>
      <c r="Z100" s="4">
        <v>24.98</v>
      </c>
      <c r="AA100" s="4">
        <v>4.72</v>
      </c>
      <c r="AB100" s="4">
        <v>22.71</v>
      </c>
      <c r="AC100" s="4">
        <v>27.54</v>
      </c>
      <c r="AD100" s="4">
        <v>23.28</v>
      </c>
      <c r="AF100" s="4">
        <v>1.0174757281553397</v>
      </c>
      <c r="AG100" s="4">
        <v>1.1760828625235407</v>
      </c>
      <c r="AH100" s="4">
        <v>0.62269129287598945</v>
      </c>
      <c r="AI100" s="4">
        <v>0.97217465753424659</v>
      </c>
      <c r="AJ100" s="4">
        <v>1.0932909884874948</v>
      </c>
      <c r="AK100" s="4">
        <v>1.0481764970733904</v>
      </c>
      <c r="AM100" s="556">
        <v>45837</v>
      </c>
      <c r="AN100" s="557">
        <v>3.625</v>
      </c>
      <c r="AO100" s="557">
        <v>290100</v>
      </c>
      <c r="AP100" s="557">
        <v>103.18898</v>
      </c>
      <c r="AQ100" s="557">
        <v>374.06005249999998</v>
      </c>
      <c r="AR100" s="557">
        <v>2.0183</v>
      </c>
    </row>
    <row r="101" spans="2:44">
      <c r="B101" s="558">
        <v>45261</v>
      </c>
      <c r="C101" s="554">
        <v>8.5734999999999992</v>
      </c>
      <c r="D101" s="554">
        <v>3.7111999999999998</v>
      </c>
      <c r="E101" s="554">
        <v>7.7613000000000003</v>
      </c>
      <c r="F101" s="554">
        <v>12.95</v>
      </c>
      <c r="G101" s="554">
        <v>11.806699999999999</v>
      </c>
      <c r="H101" s="554">
        <v>0</v>
      </c>
      <c r="I101" s="558">
        <v>45261</v>
      </c>
      <c r="J101" s="554">
        <v>9.8028999999999993</v>
      </c>
      <c r="K101" s="554">
        <v>2.8273000000000001</v>
      </c>
      <c r="L101" s="554">
        <v>7.8940000000000001</v>
      </c>
      <c r="M101" s="554">
        <v>14.94</v>
      </c>
      <c r="N101" s="554">
        <v>14.664400000000001</v>
      </c>
      <c r="O101" s="554">
        <v>0</v>
      </c>
      <c r="P101" s="554"/>
      <c r="Q101" s="558">
        <v>45261</v>
      </c>
      <c r="R101" s="4">
        <v>5.03</v>
      </c>
      <c r="S101" s="4">
        <v>119268.06</v>
      </c>
      <c r="T101" s="4">
        <v>0</v>
      </c>
      <c r="U101" s="4">
        <v>0.97669902912621354</v>
      </c>
      <c r="V101" s="4">
        <v>1.1004989557223508</v>
      </c>
      <c r="W101" s="4" t="e">
        <v>#DIV/0!</v>
      </c>
      <c r="Y101" s="554">
        <v>5.03</v>
      </c>
      <c r="Z101" s="4">
        <v>25.45</v>
      </c>
      <c r="AA101" s="4">
        <v>4.5599999999999996</v>
      </c>
      <c r="AB101" s="4">
        <v>24.38</v>
      </c>
      <c r="AC101" s="4">
        <v>27.73</v>
      </c>
      <c r="AD101" s="4">
        <v>23.47</v>
      </c>
      <c r="AF101" s="4">
        <v>0.97669902912621354</v>
      </c>
      <c r="AG101" s="4">
        <v>1.198210922787194</v>
      </c>
      <c r="AH101" s="4">
        <v>0.60158311345646431</v>
      </c>
      <c r="AI101" s="4">
        <v>1.0436643835616439</v>
      </c>
      <c r="AJ101" s="4">
        <v>1.1008336641524414</v>
      </c>
      <c r="AK101" s="4">
        <v>1.0567312021611885</v>
      </c>
      <c r="AM101" s="556">
        <v>45836</v>
      </c>
      <c r="AN101" s="557">
        <v>3.7349999999999999</v>
      </c>
      <c r="AO101" s="557">
        <v>417400</v>
      </c>
      <c r="AP101" s="557">
        <v>103.18898</v>
      </c>
      <c r="AQ101" s="557">
        <v>385.41084030000002</v>
      </c>
      <c r="AR101" s="557">
        <v>2.0962999999999998</v>
      </c>
    </row>
    <row r="102" spans="2:44">
      <c r="B102" s="558">
        <v>45254</v>
      </c>
      <c r="C102" s="554">
        <v>8.6011000000000006</v>
      </c>
      <c r="D102" s="554">
        <v>3.6526999999999998</v>
      </c>
      <c r="E102" s="554">
        <v>7.5655000000000001</v>
      </c>
      <c r="F102" s="554">
        <v>12.312799999999999</v>
      </c>
      <c r="G102" s="554">
        <v>11.6127</v>
      </c>
      <c r="H102" s="554">
        <v>0</v>
      </c>
      <c r="I102" s="558">
        <v>45254</v>
      </c>
      <c r="J102" s="554">
        <v>9.9398999999999997</v>
      </c>
      <c r="K102" s="554">
        <v>2.7616999999999998</v>
      </c>
      <c r="L102" s="554">
        <v>7.4958</v>
      </c>
      <c r="M102" s="554">
        <v>13.8247</v>
      </c>
      <c r="N102" s="554">
        <v>14.3894</v>
      </c>
      <c r="O102" s="554">
        <v>0</v>
      </c>
      <c r="P102" s="554"/>
      <c r="Q102" s="558">
        <v>45254</v>
      </c>
      <c r="R102" s="4">
        <v>4.8499999999999996</v>
      </c>
      <c r="S102" s="4">
        <v>113143.67</v>
      </c>
      <c r="T102" s="4">
        <v>0</v>
      </c>
      <c r="U102" s="4">
        <v>0.9417475728155339</v>
      </c>
      <c r="V102" s="4">
        <v>1.0439885639256166</v>
      </c>
      <c r="W102" s="4" t="e">
        <v>#DIV/0!</v>
      </c>
      <c r="Y102" s="554">
        <v>4.8499999999999996</v>
      </c>
      <c r="Z102" s="4">
        <v>24.86</v>
      </c>
      <c r="AA102" s="4">
        <v>4.33</v>
      </c>
      <c r="AB102" s="4">
        <v>22.56</v>
      </c>
      <c r="AC102" s="4">
        <v>27.21</v>
      </c>
      <c r="AD102" s="4">
        <v>22.04</v>
      </c>
      <c r="AF102" s="4">
        <v>0.9417475728155339</v>
      </c>
      <c r="AG102" s="4">
        <v>1.1704331450094163</v>
      </c>
      <c r="AH102" s="4">
        <v>0.5712401055408971</v>
      </c>
      <c r="AI102" s="4">
        <v>0.96575342465753422</v>
      </c>
      <c r="AJ102" s="4">
        <v>1.0801905518062722</v>
      </c>
      <c r="AK102" s="4">
        <v>0.99234579018460145</v>
      </c>
      <c r="AM102" s="556">
        <v>45835</v>
      </c>
      <c r="AN102" s="557">
        <v>3.57</v>
      </c>
      <c r="AO102" s="557">
        <v>254600</v>
      </c>
      <c r="AP102" s="557">
        <v>103.18898</v>
      </c>
      <c r="AQ102" s="557">
        <v>368.38465859999997</v>
      </c>
      <c r="AR102" s="557">
        <v>1.9903999999999999</v>
      </c>
    </row>
    <row r="103" spans="2:44">
      <c r="B103" s="558">
        <v>45247</v>
      </c>
      <c r="C103" s="554">
        <v>8.6209000000000007</v>
      </c>
      <c r="D103" s="554">
        <v>3.6983000000000001</v>
      </c>
      <c r="E103" s="554">
        <v>7.6250999999999998</v>
      </c>
      <c r="F103" s="554">
        <v>12.757400000000001</v>
      </c>
      <c r="G103" s="554">
        <v>11.474600000000001</v>
      </c>
      <c r="H103" s="554">
        <v>0</v>
      </c>
      <c r="I103" s="558">
        <v>45247</v>
      </c>
      <c r="J103" s="554">
        <v>10.037699999999999</v>
      </c>
      <c r="K103" s="554">
        <v>2.8128000000000002</v>
      </c>
      <c r="L103" s="554">
        <v>7.617</v>
      </c>
      <c r="M103" s="554">
        <v>14.6029</v>
      </c>
      <c r="N103" s="554">
        <v>14.1937</v>
      </c>
      <c r="O103" s="554">
        <v>0</v>
      </c>
      <c r="P103" s="554"/>
      <c r="Q103" s="558">
        <v>45247</v>
      </c>
      <c r="R103" s="4">
        <v>4.78</v>
      </c>
      <c r="S103" s="4">
        <v>113761.9</v>
      </c>
      <c r="T103" s="4">
        <v>0</v>
      </c>
      <c r="U103" s="4">
        <v>0.92815533980582521</v>
      </c>
      <c r="V103" s="4">
        <v>1.0496930372724307</v>
      </c>
      <c r="W103" s="4" t="e">
        <v>#DIV/0!</v>
      </c>
      <c r="Y103" s="554">
        <v>4.78</v>
      </c>
      <c r="Z103" s="4">
        <v>25.32</v>
      </c>
      <c r="AA103" s="4">
        <v>4.4000000000000004</v>
      </c>
      <c r="AB103" s="4">
        <v>23.83</v>
      </c>
      <c r="AC103" s="4">
        <v>26.84</v>
      </c>
      <c r="AD103" s="4">
        <v>21.8</v>
      </c>
      <c r="AF103" s="4">
        <v>0.92815533980582521</v>
      </c>
      <c r="AG103" s="4">
        <v>1.192090395480226</v>
      </c>
      <c r="AH103" s="4">
        <v>0.58047493403693939</v>
      </c>
      <c r="AI103" s="4">
        <v>1.0201198630136985</v>
      </c>
      <c r="AJ103" s="4">
        <v>1.0655021834061136</v>
      </c>
      <c r="AK103" s="4">
        <v>0.98153984691580365</v>
      </c>
      <c r="AM103" s="556">
        <v>45834</v>
      </c>
      <c r="AN103" s="557">
        <v>3.5049999999999999</v>
      </c>
      <c r="AO103" s="557">
        <v>150900</v>
      </c>
      <c r="AP103" s="557">
        <v>103.18898</v>
      </c>
      <c r="AQ103" s="557">
        <v>361.67737490000002</v>
      </c>
      <c r="AR103" s="557">
        <v>1.9570000000000001</v>
      </c>
    </row>
    <row r="104" spans="2:44">
      <c r="B104" s="558">
        <v>45240</v>
      </c>
      <c r="C104" s="554">
        <v>8.5616000000000003</v>
      </c>
      <c r="D104" s="554">
        <v>3.6368</v>
      </c>
      <c r="E104" s="554">
        <v>7.8380000000000001</v>
      </c>
      <c r="F104" s="554">
        <v>13.111000000000001</v>
      </c>
      <c r="G104" s="554">
        <v>11.153700000000001</v>
      </c>
      <c r="H104" s="554">
        <v>0</v>
      </c>
      <c r="I104" s="558">
        <v>45240</v>
      </c>
      <c r="J104" s="554">
        <v>9.7441999999999993</v>
      </c>
      <c r="K104" s="554">
        <v>2.7440000000000002</v>
      </c>
      <c r="L104" s="554">
        <v>8.0497999999999994</v>
      </c>
      <c r="M104" s="554">
        <v>15.2218</v>
      </c>
      <c r="N104" s="554">
        <v>13.739000000000001</v>
      </c>
      <c r="O104" s="554">
        <v>0</v>
      </c>
      <c r="P104" s="554"/>
      <c r="Q104" s="558">
        <v>45240</v>
      </c>
      <c r="R104" s="4">
        <v>4.6900000000000004</v>
      </c>
      <c r="S104" s="4">
        <v>115908.43</v>
      </c>
      <c r="T104" s="4">
        <v>0</v>
      </c>
      <c r="U104" s="4">
        <v>0.9106796116504855</v>
      </c>
      <c r="V104" s="4">
        <v>1.0694992957411833</v>
      </c>
      <c r="W104" s="4" t="e">
        <v>#DIV/0!</v>
      </c>
      <c r="Y104" s="554">
        <v>4.6900000000000004</v>
      </c>
      <c r="Z104" s="4">
        <v>24.7</v>
      </c>
      <c r="AA104" s="4">
        <v>4.6500000000000004</v>
      </c>
      <c r="AB104" s="4">
        <v>24.84</v>
      </c>
      <c r="AC104" s="4">
        <v>25.98</v>
      </c>
      <c r="AD104" s="4">
        <v>20.8</v>
      </c>
      <c r="AF104" s="4">
        <v>0.9106796116504855</v>
      </c>
      <c r="AG104" s="4">
        <v>1.1629001883239172</v>
      </c>
      <c r="AH104" s="4">
        <v>0.61345646437994727</v>
      </c>
      <c r="AI104" s="4">
        <v>1.0633561643835616</v>
      </c>
      <c r="AJ104" s="4">
        <v>1.0313616514489876</v>
      </c>
      <c r="AK104" s="4">
        <v>0.93651508329581268</v>
      </c>
      <c r="AM104" s="556">
        <v>45833</v>
      </c>
      <c r="AN104" s="557">
        <v>3.51</v>
      </c>
      <c r="AO104" s="557">
        <v>189500</v>
      </c>
      <c r="AP104" s="557">
        <v>103.18898</v>
      </c>
      <c r="AQ104" s="557">
        <v>362.19331979999998</v>
      </c>
      <c r="AR104" s="557">
        <v>1.9458</v>
      </c>
    </row>
    <row r="105" spans="2:44">
      <c r="B105" s="558">
        <v>45233</v>
      </c>
      <c r="C105" s="554">
        <v>8.6209000000000007</v>
      </c>
      <c r="D105" s="554">
        <v>3.5564</v>
      </c>
      <c r="E105" s="554">
        <v>7.6505999999999998</v>
      </c>
      <c r="F105" s="554">
        <v>12.620900000000001</v>
      </c>
      <c r="G105" s="554">
        <v>11.0306</v>
      </c>
      <c r="H105" s="554">
        <v>0</v>
      </c>
      <c r="I105" s="558">
        <v>45233</v>
      </c>
      <c r="J105" s="554">
        <v>10.037699999999999</v>
      </c>
      <c r="K105" s="554">
        <v>2.6539999999999999</v>
      </c>
      <c r="L105" s="554">
        <v>7.6688999999999998</v>
      </c>
      <c r="M105" s="554">
        <v>14.363899999999999</v>
      </c>
      <c r="N105" s="554">
        <v>13.564399999999999</v>
      </c>
      <c r="O105" s="554">
        <v>0</v>
      </c>
      <c r="P105" s="554"/>
      <c r="Q105" s="558">
        <v>45233</v>
      </c>
      <c r="R105" s="4">
        <v>4.92</v>
      </c>
      <c r="S105" s="4">
        <v>116736.95</v>
      </c>
      <c r="T105" s="4">
        <v>0</v>
      </c>
      <c r="U105" s="4">
        <v>0.95533980582524269</v>
      </c>
      <c r="V105" s="4">
        <v>1.0771441370741863</v>
      </c>
      <c r="W105" s="4" t="e">
        <v>#DIV/0!</v>
      </c>
      <c r="Y105" s="554">
        <v>4.92</v>
      </c>
      <c r="Z105" s="4">
        <v>23.89</v>
      </c>
      <c r="AA105" s="4">
        <v>4.43</v>
      </c>
      <c r="AB105" s="4">
        <v>23.44</v>
      </c>
      <c r="AC105" s="4">
        <v>25.65</v>
      </c>
      <c r="AD105" s="4">
        <v>20.53</v>
      </c>
      <c r="AF105" s="4">
        <v>0.95533980582524269</v>
      </c>
      <c r="AG105" s="4">
        <v>1.1247645951035783</v>
      </c>
      <c r="AH105" s="4">
        <v>0.58443271767810023</v>
      </c>
      <c r="AI105" s="4">
        <v>1.0034246575342467</v>
      </c>
      <c r="AJ105" s="4">
        <v>1.018261214767765</v>
      </c>
      <c r="AK105" s="4">
        <v>0.92435839711841516</v>
      </c>
      <c r="AM105" s="556">
        <v>45832</v>
      </c>
      <c r="AN105" s="557">
        <v>3.51</v>
      </c>
      <c r="AO105" s="557">
        <v>189500</v>
      </c>
      <c r="AP105" s="557">
        <v>103.18898</v>
      </c>
      <c r="AQ105" s="557">
        <v>362.19331979999998</v>
      </c>
      <c r="AR105" s="557">
        <v>1.9458</v>
      </c>
    </row>
    <row r="106" spans="2:44">
      <c r="B106" s="558">
        <v>45226</v>
      </c>
      <c r="C106" s="554">
        <v>8.4588000000000001</v>
      </c>
      <c r="D106" s="554">
        <v>3.4809000000000001</v>
      </c>
      <c r="E106" s="554">
        <v>7.4547999999999996</v>
      </c>
      <c r="F106" s="554">
        <v>11.630100000000001</v>
      </c>
      <c r="G106" s="554">
        <v>10.840299999999999</v>
      </c>
      <c r="H106" s="554">
        <v>0</v>
      </c>
      <c r="I106" s="558">
        <v>45226</v>
      </c>
      <c r="J106" s="554">
        <v>9.2355</v>
      </c>
      <c r="K106" s="554">
        <v>2.5695999999999999</v>
      </c>
      <c r="L106" s="554">
        <v>7.2708000000000004</v>
      </c>
      <c r="M106" s="554">
        <v>12.6297</v>
      </c>
      <c r="N106" s="554">
        <v>13.294700000000001</v>
      </c>
      <c r="O106" s="554">
        <v>0</v>
      </c>
      <c r="P106" s="554"/>
      <c r="Q106" s="558">
        <v>45226</v>
      </c>
      <c r="R106" s="4">
        <v>5.08</v>
      </c>
      <c r="S106" s="4">
        <v>113419.04</v>
      </c>
      <c r="T106" s="4">
        <v>0</v>
      </c>
      <c r="U106" s="4">
        <v>0.9864077669902912</v>
      </c>
      <c r="V106" s="4">
        <v>1.0465294319286449</v>
      </c>
      <c r="W106" s="4" t="e">
        <v>#DIV/0!</v>
      </c>
      <c r="Y106" s="554">
        <v>5.08</v>
      </c>
      <c r="Z106" s="4">
        <v>23.13</v>
      </c>
      <c r="AA106" s="4">
        <v>4.2</v>
      </c>
      <c r="AB106" s="4">
        <v>20.61</v>
      </c>
      <c r="AC106" s="4">
        <v>25.14</v>
      </c>
      <c r="AD106" s="4">
        <v>20.18</v>
      </c>
      <c r="AF106" s="4">
        <v>0.9864077669902912</v>
      </c>
      <c r="AG106" s="4">
        <v>1.0889830508474576</v>
      </c>
      <c r="AH106" s="4">
        <v>0.55408970976253302</v>
      </c>
      <c r="AI106" s="4">
        <v>0.88227739726027399</v>
      </c>
      <c r="AJ106" s="4">
        <v>0.99801508535132988</v>
      </c>
      <c r="AK106" s="4">
        <v>0.90859972985141824</v>
      </c>
      <c r="AM106" s="556">
        <v>45831</v>
      </c>
      <c r="AN106" s="557">
        <v>3.51</v>
      </c>
      <c r="AO106" s="557">
        <v>189500</v>
      </c>
      <c r="AP106" s="557">
        <v>103.18898</v>
      </c>
      <c r="AQ106" s="557">
        <v>362.19331979999998</v>
      </c>
      <c r="AR106" s="557">
        <v>1.9458</v>
      </c>
    </row>
    <row r="107" spans="2:44">
      <c r="B107" s="558">
        <v>45219</v>
      </c>
      <c r="C107" s="554">
        <v>8.4074000000000009</v>
      </c>
      <c r="D107" s="554">
        <v>3.3706999999999998</v>
      </c>
      <c r="E107" s="554">
        <v>7.4036999999999997</v>
      </c>
      <c r="F107" s="554">
        <v>11.0944</v>
      </c>
      <c r="G107" s="554">
        <v>10.5045</v>
      </c>
      <c r="H107" s="554">
        <v>0</v>
      </c>
      <c r="I107" s="558">
        <v>45219</v>
      </c>
      <c r="J107" s="554">
        <v>8.9810999999999996</v>
      </c>
      <c r="K107" s="554">
        <v>2.4462000000000002</v>
      </c>
      <c r="L107" s="554">
        <v>7.1669</v>
      </c>
      <c r="M107" s="554">
        <v>11.6921</v>
      </c>
      <c r="N107" s="554">
        <v>12.8188</v>
      </c>
      <c r="O107" s="554">
        <v>0</v>
      </c>
      <c r="P107" s="554"/>
      <c r="Q107" s="558">
        <v>45219</v>
      </c>
      <c r="R107" s="4">
        <v>5.17</v>
      </c>
      <c r="S107" s="4">
        <v>114193.43</v>
      </c>
      <c r="T107" s="4">
        <v>0</v>
      </c>
      <c r="U107" s="4">
        <v>1.003883495145631</v>
      </c>
      <c r="V107" s="4">
        <v>1.0536748100485021</v>
      </c>
      <c r="W107" s="4" t="e">
        <v>#DIV/0!</v>
      </c>
      <c r="Y107" s="554">
        <v>5.17</v>
      </c>
      <c r="Z107" s="4">
        <v>22.02</v>
      </c>
      <c r="AA107" s="4">
        <v>4.1399999999999997</v>
      </c>
      <c r="AB107" s="4">
        <v>19.079999999999998</v>
      </c>
      <c r="AC107" s="4">
        <v>24.24</v>
      </c>
      <c r="AD107" s="4">
        <v>19.190000000000001</v>
      </c>
      <c r="AF107" s="4">
        <v>1.003883495145631</v>
      </c>
      <c r="AG107" s="4">
        <v>1.036723163841808</v>
      </c>
      <c r="AH107" s="4">
        <v>0.54617414248021101</v>
      </c>
      <c r="AI107" s="4">
        <v>0.81678082191780821</v>
      </c>
      <c r="AJ107" s="4">
        <v>0.96228662167526791</v>
      </c>
      <c r="AK107" s="4">
        <v>0.86402521386762721</v>
      </c>
      <c r="AM107" s="556">
        <v>45830</v>
      </c>
      <c r="AN107" s="557">
        <v>3.5550000000000002</v>
      </c>
      <c r="AO107" s="557">
        <v>224300</v>
      </c>
      <c r="AP107" s="557">
        <v>103.18898</v>
      </c>
      <c r="AQ107" s="557">
        <v>366.83682390000001</v>
      </c>
      <c r="AR107" s="557">
        <v>1.9681</v>
      </c>
    </row>
    <row r="108" spans="2:44">
      <c r="B108" s="558">
        <v>45212</v>
      </c>
      <c r="C108" s="554">
        <v>8.4983000000000004</v>
      </c>
      <c r="D108" s="554">
        <v>3.5047000000000001</v>
      </c>
      <c r="E108" s="554">
        <v>7.7443</v>
      </c>
      <c r="F108" s="554">
        <v>11.1259</v>
      </c>
      <c r="G108" s="554">
        <v>10.8851</v>
      </c>
      <c r="H108" s="554">
        <v>0</v>
      </c>
      <c r="I108" s="558">
        <v>45212</v>
      </c>
      <c r="J108" s="554">
        <v>9.4312000000000005</v>
      </c>
      <c r="K108" s="554">
        <v>2.5962000000000001</v>
      </c>
      <c r="L108" s="554">
        <v>7.8593999999999999</v>
      </c>
      <c r="M108" s="554">
        <v>11.747299999999999</v>
      </c>
      <c r="N108" s="554">
        <v>13.3582</v>
      </c>
      <c r="O108" s="554">
        <v>0</v>
      </c>
      <c r="P108" s="554"/>
      <c r="Q108" s="558">
        <v>45212</v>
      </c>
      <c r="R108" s="4">
        <v>5.31</v>
      </c>
      <c r="S108" s="4">
        <v>117845.78</v>
      </c>
      <c r="T108" s="4">
        <v>0</v>
      </c>
      <c r="U108" s="4">
        <v>1.0310679611650484</v>
      </c>
      <c r="V108" s="4">
        <v>1.0873754283106969</v>
      </c>
      <c r="W108" s="4" t="e">
        <v>#DIV/0!</v>
      </c>
      <c r="Y108" s="554">
        <v>5.31</v>
      </c>
      <c r="Z108" s="4">
        <v>23.37</v>
      </c>
      <c r="AA108" s="4">
        <v>4.54</v>
      </c>
      <c r="AB108" s="4">
        <v>19.170000000000002</v>
      </c>
      <c r="AC108" s="4">
        <v>25.26</v>
      </c>
      <c r="AD108" s="4">
        <v>20.94</v>
      </c>
      <c r="AF108" s="4">
        <v>1.0310679611650484</v>
      </c>
      <c r="AG108" s="4">
        <v>1.1002824858757063</v>
      </c>
      <c r="AH108" s="4">
        <v>0.59894459102902375</v>
      </c>
      <c r="AI108" s="4">
        <v>0.82063356164383572</v>
      </c>
      <c r="AJ108" s="4">
        <v>1.0027788805081381</v>
      </c>
      <c r="AK108" s="4">
        <v>0.94281855020261141</v>
      </c>
      <c r="AM108" s="556">
        <v>45829</v>
      </c>
      <c r="AN108" s="557">
        <v>3.5350000000000001</v>
      </c>
      <c r="AO108" s="557">
        <v>69000</v>
      </c>
      <c r="AP108" s="557">
        <v>103.18898</v>
      </c>
      <c r="AQ108" s="557">
        <v>364.77304430000004</v>
      </c>
      <c r="AR108" s="557">
        <v>1.9624999999999999</v>
      </c>
    </row>
    <row r="109" spans="2:44">
      <c r="B109" s="558">
        <v>45205</v>
      </c>
      <c r="C109" s="554">
        <v>8.5023</v>
      </c>
      <c r="D109" s="554">
        <v>3.3875999999999999</v>
      </c>
      <c r="E109" s="554">
        <v>7.6421000000000001</v>
      </c>
      <c r="F109" s="554">
        <v>11.104900000000001</v>
      </c>
      <c r="G109" s="554">
        <v>10.568</v>
      </c>
      <c r="H109" s="554">
        <v>0</v>
      </c>
      <c r="I109" s="558">
        <v>45205</v>
      </c>
      <c r="J109" s="554">
        <v>9.4506999999999994</v>
      </c>
      <c r="K109" s="554">
        <v>2.4651000000000001</v>
      </c>
      <c r="L109" s="554">
        <v>7.6516000000000002</v>
      </c>
      <c r="M109" s="554">
        <v>11.7105</v>
      </c>
      <c r="N109" s="554">
        <v>12.9087</v>
      </c>
      <c r="O109" s="554">
        <v>0</v>
      </c>
      <c r="P109" s="554"/>
      <c r="Q109" s="558">
        <v>45205</v>
      </c>
      <c r="R109" s="4">
        <v>5.51</v>
      </c>
      <c r="S109" s="4">
        <v>117968.12</v>
      </c>
      <c r="T109" s="4">
        <v>0</v>
      </c>
      <c r="U109" s="4">
        <v>1.0699029126213591</v>
      </c>
      <c r="V109" s="4">
        <v>1.0885042723804592</v>
      </c>
      <c r="W109" s="4" t="e">
        <v>#DIV/0!</v>
      </c>
      <c r="Y109" s="554">
        <v>5.51</v>
      </c>
      <c r="Z109" s="4">
        <v>22.19</v>
      </c>
      <c r="AA109" s="4">
        <v>4.42</v>
      </c>
      <c r="AB109" s="4">
        <v>19.11</v>
      </c>
      <c r="AC109" s="4">
        <v>24.41</v>
      </c>
      <c r="AD109" s="4">
        <v>19.95</v>
      </c>
      <c r="AF109" s="4">
        <v>1.0699029126213591</v>
      </c>
      <c r="AG109" s="4">
        <v>1.0447269303201507</v>
      </c>
      <c r="AH109" s="4">
        <v>0.58311345646437995</v>
      </c>
      <c r="AI109" s="4">
        <v>0.81806506849315064</v>
      </c>
      <c r="AJ109" s="4">
        <v>0.96903533148074628</v>
      </c>
      <c r="AK109" s="4">
        <v>0.89824403421882026</v>
      </c>
      <c r="AM109" s="556">
        <v>45828</v>
      </c>
      <c r="AN109" s="557">
        <v>3.585</v>
      </c>
      <c r="AO109" s="557">
        <v>394000</v>
      </c>
      <c r="AP109" s="557">
        <v>103.18898</v>
      </c>
      <c r="AQ109" s="557">
        <v>369.93249329999998</v>
      </c>
      <c r="AR109" s="557">
        <v>1.996</v>
      </c>
    </row>
    <row r="110" spans="2:44">
      <c r="B110" s="558">
        <v>45198</v>
      </c>
      <c r="C110" s="554">
        <v>8.5809999999999995</v>
      </c>
      <c r="D110" s="554">
        <v>3.5663999999999998</v>
      </c>
      <c r="E110" s="554">
        <v>7.8532000000000002</v>
      </c>
      <c r="F110" s="554">
        <v>10.371600000000001</v>
      </c>
      <c r="G110" s="554">
        <v>10.969200000000001</v>
      </c>
      <c r="H110" s="554">
        <v>0</v>
      </c>
      <c r="I110" s="558">
        <v>45198</v>
      </c>
      <c r="J110" s="554">
        <v>8.6838999999999995</v>
      </c>
      <c r="K110" s="554">
        <v>2.4245999999999999</v>
      </c>
      <c r="L110" s="554">
        <v>7.6528999999999998</v>
      </c>
      <c r="M110" s="554">
        <v>9.0649999999999995</v>
      </c>
      <c r="N110" s="554">
        <v>13.9857</v>
      </c>
      <c r="O110" s="554">
        <v>0</v>
      </c>
      <c r="P110" s="554"/>
      <c r="Q110" s="558">
        <v>45198</v>
      </c>
      <c r="R110" s="4">
        <v>5.4</v>
      </c>
      <c r="S110" s="4">
        <v>117331.3</v>
      </c>
      <c r="T110" s="4">
        <v>0</v>
      </c>
      <c r="U110" s="4">
        <v>1.0485436893203883</v>
      </c>
      <c r="V110" s="4">
        <v>1.0826282671449998</v>
      </c>
      <c r="W110" s="4" t="e">
        <v>#DIV/0!</v>
      </c>
      <c r="Y110" s="554">
        <v>5.4</v>
      </c>
      <c r="Z110" s="4">
        <v>22.59</v>
      </c>
      <c r="AA110" s="4">
        <v>4.76</v>
      </c>
      <c r="AB110" s="4">
        <v>20.36</v>
      </c>
      <c r="AC110" s="4">
        <v>24.57</v>
      </c>
      <c r="AD110" s="4">
        <v>20.25</v>
      </c>
      <c r="AF110" s="4">
        <v>1.0485436893203883</v>
      </c>
      <c r="AG110" s="4">
        <v>1.0635593220338984</v>
      </c>
      <c r="AH110" s="4">
        <v>0.62796833773087068</v>
      </c>
      <c r="AI110" s="4">
        <v>0.87157534246575341</v>
      </c>
      <c r="AJ110" s="4">
        <v>0.97538705835649064</v>
      </c>
      <c r="AK110" s="4">
        <v>0.9117514633048176</v>
      </c>
      <c r="AM110" s="556">
        <v>45827</v>
      </c>
      <c r="AN110" s="557">
        <v>3.4550000000000001</v>
      </c>
      <c r="AO110" s="557">
        <v>321800</v>
      </c>
      <c r="AP110" s="557">
        <v>103.18898</v>
      </c>
      <c r="AQ110" s="557">
        <v>356.51792590000002</v>
      </c>
      <c r="AR110" s="557">
        <v>1.9235</v>
      </c>
    </row>
    <row r="111" spans="2:44">
      <c r="B111" s="558">
        <v>45191</v>
      </c>
      <c r="C111" s="554">
        <v>8.5065000000000008</v>
      </c>
      <c r="D111" s="554">
        <v>3.5869</v>
      </c>
      <c r="E111" s="554">
        <v>7.8022999999999998</v>
      </c>
      <c r="F111" s="554">
        <v>10.246</v>
      </c>
      <c r="G111" s="554">
        <v>11.1066</v>
      </c>
      <c r="H111" s="554">
        <v>0</v>
      </c>
      <c r="I111" s="558">
        <v>45191</v>
      </c>
      <c r="J111" s="554">
        <v>8.3760999999999992</v>
      </c>
      <c r="K111" s="554">
        <v>2.4460000000000002</v>
      </c>
      <c r="L111" s="554">
        <v>7.5564</v>
      </c>
      <c r="M111" s="554">
        <v>8.8780000000000001</v>
      </c>
      <c r="N111" s="554">
        <v>14.184900000000001</v>
      </c>
      <c r="O111" s="554">
        <v>0</v>
      </c>
      <c r="P111" s="554"/>
      <c r="Q111" s="558">
        <v>45191</v>
      </c>
      <c r="R111" s="4">
        <v>5.57</v>
      </c>
      <c r="S111" s="4">
        <v>118403.61</v>
      </c>
      <c r="T111" s="4">
        <v>0</v>
      </c>
      <c r="U111" s="4">
        <v>1.0815533980582523</v>
      </c>
      <c r="V111" s="4">
        <v>1.0925225844937572</v>
      </c>
      <c r="W111" s="4" t="e">
        <v>#DIV/0!</v>
      </c>
      <c r="Y111" s="554">
        <v>5.57</v>
      </c>
      <c r="Z111" s="4">
        <v>22.79</v>
      </c>
      <c r="AA111" s="4">
        <v>4.7</v>
      </c>
      <c r="AB111" s="4">
        <v>19.940000000000001</v>
      </c>
      <c r="AC111" s="4">
        <v>24.92</v>
      </c>
      <c r="AD111" s="4">
        <v>20.36</v>
      </c>
      <c r="AF111" s="4">
        <v>1.0815533980582523</v>
      </c>
      <c r="AG111" s="4">
        <v>1.0729755178907721</v>
      </c>
      <c r="AH111" s="4">
        <v>0.62005277044854878</v>
      </c>
      <c r="AI111" s="4">
        <v>0.85359589041095896</v>
      </c>
      <c r="AJ111" s="4">
        <v>0.98928146089718139</v>
      </c>
      <c r="AK111" s="4">
        <v>0.91670418730301662</v>
      </c>
      <c r="AM111" s="556">
        <v>45826</v>
      </c>
      <c r="AN111" s="557">
        <v>3.44</v>
      </c>
      <c r="AO111" s="557">
        <v>582100</v>
      </c>
      <c r="AP111" s="557">
        <v>103.18898</v>
      </c>
      <c r="AQ111" s="557">
        <v>354.97009120000001</v>
      </c>
      <c r="AR111" s="557">
        <v>1.9124000000000001</v>
      </c>
    </row>
    <row r="112" spans="2:44">
      <c r="B112" s="558">
        <v>45184</v>
      </c>
      <c r="C112" s="554">
        <v>8.6084999999999994</v>
      </c>
      <c r="D112" s="554">
        <v>3.6657999999999999</v>
      </c>
      <c r="E112" s="554">
        <v>8.0568000000000008</v>
      </c>
      <c r="F112" s="554">
        <v>10.536</v>
      </c>
      <c r="G112" s="554">
        <v>11.2165</v>
      </c>
      <c r="H112" s="554">
        <v>0</v>
      </c>
      <c r="I112" s="558">
        <v>45184</v>
      </c>
      <c r="J112" s="554">
        <v>8.7972999999999999</v>
      </c>
      <c r="K112" s="554">
        <v>2.5287000000000002</v>
      </c>
      <c r="L112" s="554">
        <v>8.0387000000000004</v>
      </c>
      <c r="M112" s="554">
        <v>9.3099000000000007</v>
      </c>
      <c r="N112" s="554">
        <v>14.3443</v>
      </c>
      <c r="O112" s="554">
        <v>0</v>
      </c>
      <c r="P112" s="554"/>
      <c r="Q112" s="558">
        <v>45184</v>
      </c>
      <c r="R112" s="4">
        <v>5.93</v>
      </c>
      <c r="S112" s="4">
        <v>116156.01</v>
      </c>
      <c r="T112" s="4">
        <v>0</v>
      </c>
      <c r="U112" s="4">
        <v>1.1514563106796114</v>
      </c>
      <c r="V112" s="4">
        <v>1.0717837424862526</v>
      </c>
      <c r="W112" s="4" t="e">
        <v>#DIV/0!</v>
      </c>
      <c r="Y112" s="554">
        <v>5.93</v>
      </c>
      <c r="Z112" s="4">
        <v>23.56</v>
      </c>
      <c r="AA112" s="4">
        <v>5</v>
      </c>
      <c r="AB112" s="4">
        <v>20.91</v>
      </c>
      <c r="AC112" s="4">
        <v>25.2</v>
      </c>
      <c r="AD112" s="4">
        <v>20.94</v>
      </c>
      <c r="AF112" s="4">
        <v>1.1514563106796114</v>
      </c>
      <c r="AG112" s="4">
        <v>1.1092278719397364</v>
      </c>
      <c r="AH112" s="4">
        <v>0.65963060686015829</v>
      </c>
      <c r="AI112" s="4">
        <v>0.89511986301369861</v>
      </c>
      <c r="AJ112" s="4">
        <v>1.0003969829297339</v>
      </c>
      <c r="AK112" s="4">
        <v>0.94281855020261141</v>
      </c>
      <c r="AM112" s="556">
        <v>45825</v>
      </c>
      <c r="AN112" s="557">
        <v>3.44</v>
      </c>
      <c r="AO112" s="557">
        <v>582100</v>
      </c>
      <c r="AP112" s="557">
        <v>103.18898</v>
      </c>
      <c r="AQ112" s="557">
        <v>354.97009120000001</v>
      </c>
      <c r="AR112" s="557">
        <v>1.9124000000000001</v>
      </c>
    </row>
    <row r="113" spans="2:44">
      <c r="B113" s="558">
        <v>45177</v>
      </c>
      <c r="C113" s="554">
        <v>8.5574999999999992</v>
      </c>
      <c r="D113" s="554">
        <v>3.5674000000000001</v>
      </c>
      <c r="E113" s="554">
        <v>7.8956</v>
      </c>
      <c r="F113" s="554">
        <v>10.0008</v>
      </c>
      <c r="G113" s="554">
        <v>11.1145</v>
      </c>
      <c r="H113" s="554">
        <v>0</v>
      </c>
      <c r="I113" s="558">
        <v>45177</v>
      </c>
      <c r="J113" s="554">
        <v>8.5867000000000004</v>
      </c>
      <c r="K113" s="554">
        <v>2.4256000000000002</v>
      </c>
      <c r="L113" s="554">
        <v>7.7332999999999998</v>
      </c>
      <c r="M113" s="554">
        <v>8.5129000000000001</v>
      </c>
      <c r="N113" s="554">
        <v>14.196300000000001</v>
      </c>
      <c r="O113" s="554">
        <v>0</v>
      </c>
      <c r="P113" s="554"/>
      <c r="Q113" s="558">
        <v>45177</v>
      </c>
      <c r="R113" s="4">
        <v>5.5</v>
      </c>
      <c r="S113" s="4">
        <v>116171.42</v>
      </c>
      <c r="T113" s="4">
        <v>0</v>
      </c>
      <c r="U113" s="4">
        <v>1.0679611650485437</v>
      </c>
      <c r="V113" s="4">
        <v>1.0719259321798529</v>
      </c>
      <c r="W113" s="4" t="e">
        <v>#DIV/0!</v>
      </c>
      <c r="Y113" s="554">
        <v>5.5</v>
      </c>
      <c r="Z113" s="4">
        <v>22.6</v>
      </c>
      <c r="AA113" s="4">
        <v>4.8099999999999996</v>
      </c>
      <c r="AB113" s="4">
        <v>19.12</v>
      </c>
      <c r="AC113" s="4">
        <v>24.94</v>
      </c>
      <c r="AD113" s="4">
        <v>20.260000000000002</v>
      </c>
      <c r="AF113" s="4">
        <v>1.0679611650485437</v>
      </c>
      <c r="AG113" s="4">
        <v>1.0640301318267422</v>
      </c>
      <c r="AH113" s="4">
        <v>0.63456464379947219</v>
      </c>
      <c r="AI113" s="4">
        <v>0.81849315068493156</v>
      </c>
      <c r="AJ113" s="4">
        <v>0.9900754267566495</v>
      </c>
      <c r="AK113" s="4">
        <v>0.91220171094101754</v>
      </c>
      <c r="AM113" s="556">
        <v>45824</v>
      </c>
      <c r="AN113" s="557">
        <v>3.44</v>
      </c>
      <c r="AO113" s="557">
        <v>582100</v>
      </c>
      <c r="AP113" s="557">
        <v>103.18898</v>
      </c>
      <c r="AQ113" s="557">
        <v>354.97009120000001</v>
      </c>
      <c r="AR113" s="557">
        <v>1.9124000000000001</v>
      </c>
    </row>
    <row r="114" spans="2:44">
      <c r="B114" s="558">
        <v>45170</v>
      </c>
      <c r="C114" s="554">
        <v>8.6946999999999992</v>
      </c>
      <c r="D114" s="554">
        <v>3.6074000000000002</v>
      </c>
      <c r="E114" s="554">
        <v>7.9126000000000003</v>
      </c>
      <c r="F114" s="554">
        <v>10.066599999999999</v>
      </c>
      <c r="G114" s="554">
        <v>11.220499999999999</v>
      </c>
      <c r="H114" s="554">
        <v>0</v>
      </c>
      <c r="I114" s="558">
        <v>45170</v>
      </c>
      <c r="J114" s="554">
        <v>9.1537000000000006</v>
      </c>
      <c r="K114" s="554">
        <v>2.4674999999999998</v>
      </c>
      <c r="L114" s="554">
        <v>7.7653999999999996</v>
      </c>
      <c r="M114" s="554">
        <v>8.6107999999999993</v>
      </c>
      <c r="N114" s="554">
        <v>14.35</v>
      </c>
      <c r="O114" s="554">
        <v>0</v>
      </c>
      <c r="P114" s="554"/>
      <c r="Q114" s="558">
        <v>45170</v>
      </c>
      <c r="R114" s="4">
        <v>5.9</v>
      </c>
      <c r="S114" s="4">
        <v>119090.24000000001</v>
      </c>
      <c r="T114" s="4">
        <v>0</v>
      </c>
      <c r="U114" s="4">
        <v>1.145631067961165</v>
      </c>
      <c r="V114" s="4">
        <v>1.0988581918472065</v>
      </c>
      <c r="W114" s="4" t="e">
        <v>#DIV/0!</v>
      </c>
      <c r="Y114" s="554">
        <v>5.9</v>
      </c>
      <c r="Z114" s="4">
        <v>22.99</v>
      </c>
      <c r="AA114" s="4">
        <v>4.83</v>
      </c>
      <c r="AB114" s="4">
        <v>19.34</v>
      </c>
      <c r="AC114" s="4">
        <v>25.21</v>
      </c>
      <c r="AD114" s="4">
        <v>21.3</v>
      </c>
      <c r="AF114" s="4">
        <v>1.145631067961165</v>
      </c>
      <c r="AG114" s="4">
        <v>1.082391713747646</v>
      </c>
      <c r="AH114" s="4">
        <v>0.63720316622691298</v>
      </c>
      <c r="AI114" s="4">
        <v>0.8279109589041096</v>
      </c>
      <c r="AJ114" s="4">
        <v>1.000793965859468</v>
      </c>
      <c r="AK114" s="4">
        <v>0.95902746510580816</v>
      </c>
      <c r="AM114" s="556">
        <v>45823</v>
      </c>
      <c r="AN114" s="557">
        <v>3.5649999999999999</v>
      </c>
      <c r="AO114" s="557">
        <v>263000</v>
      </c>
      <c r="AP114" s="557">
        <v>103.18898</v>
      </c>
      <c r="AQ114" s="557">
        <v>367.8687137</v>
      </c>
      <c r="AR114" s="557">
        <v>1.9793000000000001</v>
      </c>
    </row>
    <row r="115" spans="2:44">
      <c r="B115" s="558">
        <v>45163</v>
      </c>
      <c r="C115" s="554">
        <v>8.6358999999999995</v>
      </c>
      <c r="D115" s="554">
        <v>3.6873999999999998</v>
      </c>
      <c r="E115" s="554">
        <v>7.9550000000000001</v>
      </c>
      <c r="F115" s="554">
        <v>9.9499999999999993</v>
      </c>
      <c r="G115" s="554">
        <v>11.3893</v>
      </c>
      <c r="H115" s="554">
        <v>0</v>
      </c>
      <c r="I115" s="558">
        <v>45163</v>
      </c>
      <c r="J115" s="554">
        <v>8.9107000000000003</v>
      </c>
      <c r="K115" s="554">
        <v>2.5512000000000001</v>
      </c>
      <c r="L115" s="554">
        <v>7.8457999999999997</v>
      </c>
      <c r="M115" s="554">
        <v>8.4372000000000007</v>
      </c>
      <c r="N115" s="554">
        <v>14.594799999999999</v>
      </c>
      <c r="O115" s="554">
        <v>0</v>
      </c>
      <c r="P115" s="554"/>
      <c r="Q115" s="558">
        <v>45163</v>
      </c>
      <c r="R115" s="4">
        <v>5.4</v>
      </c>
      <c r="S115" s="4">
        <v>121248.39</v>
      </c>
      <c r="T115" s="4">
        <v>0</v>
      </c>
      <c r="U115" s="4">
        <v>1.0485436893203883</v>
      </c>
      <c r="V115" s="4">
        <v>1.1187716692802443</v>
      </c>
      <c r="W115" s="4" t="e">
        <v>#DIV/0!</v>
      </c>
      <c r="Y115" s="554">
        <v>5.4</v>
      </c>
      <c r="Z115" s="4">
        <v>23.77</v>
      </c>
      <c r="AA115" s="4">
        <v>4.88</v>
      </c>
      <c r="AB115" s="4">
        <v>18.95</v>
      </c>
      <c r="AC115" s="4">
        <v>25.64</v>
      </c>
      <c r="AD115" s="4">
        <v>20.97</v>
      </c>
      <c r="AF115" s="4">
        <v>1.0485436893203883</v>
      </c>
      <c r="AG115" s="4">
        <v>1.1191148775894539</v>
      </c>
      <c r="AH115" s="4">
        <v>0.64379947229551449</v>
      </c>
      <c r="AI115" s="4">
        <v>0.81121575342465757</v>
      </c>
      <c r="AJ115" s="4">
        <v>1.0178642318380309</v>
      </c>
      <c r="AK115" s="4">
        <v>0.94416929311121112</v>
      </c>
      <c r="AM115" s="556">
        <v>45822</v>
      </c>
      <c r="AN115" s="557">
        <v>3.6</v>
      </c>
      <c r="AO115" s="557">
        <v>263000</v>
      </c>
      <c r="AP115" s="557">
        <v>103.18898</v>
      </c>
      <c r="AQ115" s="557">
        <v>371.48032799999999</v>
      </c>
      <c r="AR115" s="557">
        <v>1.996</v>
      </c>
    </row>
    <row r="116" spans="2:44">
      <c r="B116" s="558">
        <v>45156</v>
      </c>
      <c r="C116" s="554">
        <v>8.8005999999999993</v>
      </c>
      <c r="D116" s="554">
        <v>3.6412</v>
      </c>
      <c r="E116" s="554">
        <v>7.8701999999999996</v>
      </c>
      <c r="F116" s="554">
        <v>9.9050999999999991</v>
      </c>
      <c r="G116" s="554">
        <v>11.7387</v>
      </c>
      <c r="H116" s="554">
        <v>0</v>
      </c>
      <c r="I116" s="558">
        <v>45156</v>
      </c>
      <c r="J116" s="554">
        <v>9.5911000000000008</v>
      </c>
      <c r="K116" s="554">
        <v>2.5028999999999999</v>
      </c>
      <c r="L116" s="554">
        <v>7.6849999999999996</v>
      </c>
      <c r="M116" s="554">
        <v>8.3704000000000001</v>
      </c>
      <c r="N116" s="554">
        <v>15.1014</v>
      </c>
      <c r="O116" s="554">
        <v>0</v>
      </c>
      <c r="P116" s="554"/>
      <c r="Q116" s="558">
        <v>45156</v>
      </c>
      <c r="R116" s="4">
        <v>5.59</v>
      </c>
      <c r="S116" s="4">
        <v>122007.77</v>
      </c>
      <c r="T116" s="4">
        <v>0</v>
      </c>
      <c r="U116" s="4">
        <v>1.0854368932038834</v>
      </c>
      <c r="V116" s="4">
        <v>1.1257785485486456</v>
      </c>
      <c r="W116" s="4" t="e">
        <v>#DIV/0!</v>
      </c>
      <c r="Y116" s="554">
        <v>5.59</v>
      </c>
      <c r="Z116" s="4">
        <v>23.32</v>
      </c>
      <c r="AA116" s="4">
        <v>4.78</v>
      </c>
      <c r="AB116" s="4">
        <v>18.8</v>
      </c>
      <c r="AC116" s="4">
        <v>26.53</v>
      </c>
      <c r="AD116" s="4">
        <v>21.03</v>
      </c>
      <c r="AF116" s="4">
        <v>1.0854368932038834</v>
      </c>
      <c r="AG116" s="4">
        <v>1.0979284369114879</v>
      </c>
      <c r="AH116" s="4">
        <v>0.63060686015831136</v>
      </c>
      <c r="AI116" s="4">
        <v>0.8047945205479452</v>
      </c>
      <c r="AJ116" s="4">
        <v>1.053195712584359</v>
      </c>
      <c r="AK116" s="4">
        <v>0.94687077892841065</v>
      </c>
      <c r="AM116" s="556">
        <v>45821</v>
      </c>
      <c r="AN116" s="557">
        <v>3.7650000000000001</v>
      </c>
      <c r="AO116" s="557">
        <v>518700</v>
      </c>
      <c r="AP116" s="557">
        <v>103.18898</v>
      </c>
      <c r="AQ116" s="557">
        <v>388.50650970000004</v>
      </c>
      <c r="AR116" s="557">
        <v>2.0908000000000002</v>
      </c>
    </row>
    <row r="117" spans="2:44">
      <c r="B117" s="558">
        <v>45149</v>
      </c>
      <c r="C117" s="554">
        <v>9.0947999999999993</v>
      </c>
      <c r="D117" s="554">
        <v>3.7734999999999999</v>
      </c>
      <c r="E117" s="554">
        <v>8.4215999999999998</v>
      </c>
      <c r="F117" s="554">
        <v>10.231</v>
      </c>
      <c r="G117" s="554">
        <v>11.793699999999999</v>
      </c>
      <c r="H117" s="554">
        <v>0</v>
      </c>
      <c r="I117" s="558">
        <v>45149</v>
      </c>
      <c r="J117" s="554">
        <v>10.8062</v>
      </c>
      <c r="K117" s="554">
        <v>2.6414</v>
      </c>
      <c r="L117" s="554">
        <v>8.7301000000000002</v>
      </c>
      <c r="M117" s="554">
        <v>8.8557000000000006</v>
      </c>
      <c r="N117" s="554">
        <v>15.181100000000001</v>
      </c>
      <c r="O117" s="554">
        <v>0</v>
      </c>
      <c r="P117" s="554"/>
      <c r="Q117" s="558">
        <v>45149</v>
      </c>
      <c r="R117" s="4">
        <v>5.26</v>
      </c>
      <c r="S117" s="4">
        <v>117841.19</v>
      </c>
      <c r="T117" s="4">
        <v>0</v>
      </c>
      <c r="U117" s="4">
        <v>1.0213592233009707</v>
      </c>
      <c r="V117" s="4">
        <v>1.0873330758970938</v>
      </c>
      <c r="W117" s="4" t="e">
        <v>#DIV/0!</v>
      </c>
      <c r="Y117" s="554">
        <v>5.26</v>
      </c>
      <c r="Z117" s="4">
        <v>24.61</v>
      </c>
      <c r="AA117" s="4">
        <v>5.43</v>
      </c>
      <c r="AB117" s="4">
        <v>19.89</v>
      </c>
      <c r="AC117" s="4">
        <v>26.67</v>
      </c>
      <c r="AD117" s="4">
        <v>22.23</v>
      </c>
      <c r="AF117" s="4">
        <v>1.0213592233009707</v>
      </c>
      <c r="AG117" s="4">
        <v>1.158662900188324</v>
      </c>
      <c r="AH117" s="4">
        <v>0.71635883905013187</v>
      </c>
      <c r="AI117" s="4">
        <v>0.8514554794520548</v>
      </c>
      <c r="AJ117" s="4">
        <v>1.0587534736006352</v>
      </c>
      <c r="AK117" s="4">
        <v>1.0009004952723999</v>
      </c>
      <c r="AM117" s="556">
        <v>45820</v>
      </c>
      <c r="AN117" s="557">
        <v>3.76</v>
      </c>
      <c r="AO117" s="557">
        <v>138600</v>
      </c>
      <c r="AP117" s="557">
        <v>103.18898</v>
      </c>
      <c r="AQ117" s="557">
        <v>387.99056479999996</v>
      </c>
      <c r="AR117" s="557">
        <v>2.0796000000000001</v>
      </c>
    </row>
    <row r="118" spans="2:44">
      <c r="B118" s="558">
        <v>45142</v>
      </c>
      <c r="C118" s="554">
        <v>8.8124000000000002</v>
      </c>
      <c r="D118" s="554">
        <v>3.7294</v>
      </c>
      <c r="E118" s="554">
        <v>8.7270000000000003</v>
      </c>
      <c r="F118" s="554">
        <v>10.413399999999999</v>
      </c>
      <c r="G118" s="554">
        <v>12.1509</v>
      </c>
      <c r="H118" s="554">
        <v>0</v>
      </c>
      <c r="I118" s="558">
        <v>45142</v>
      </c>
      <c r="J118" s="554">
        <v>9.6396999999999995</v>
      </c>
      <c r="K118" s="554">
        <v>2.5952000000000002</v>
      </c>
      <c r="L118" s="554">
        <v>9.3088999999999995</v>
      </c>
      <c r="M118" s="554">
        <v>9.1273</v>
      </c>
      <c r="N118" s="554">
        <v>15.6991</v>
      </c>
      <c r="O118" s="554">
        <v>0</v>
      </c>
      <c r="P118" s="554"/>
      <c r="Q118" s="558">
        <v>45142</v>
      </c>
      <c r="R118" s="4">
        <v>5.48</v>
      </c>
      <c r="S118" s="4">
        <v>117555.5</v>
      </c>
      <c r="T118" s="4">
        <v>0</v>
      </c>
      <c r="U118" s="4">
        <v>1.0640776699029126</v>
      </c>
      <c r="V118" s="4">
        <v>1.0846969841667484</v>
      </c>
      <c r="W118" s="4" t="e">
        <v>#DIV/0!</v>
      </c>
      <c r="Y118" s="554">
        <v>5.48</v>
      </c>
      <c r="Z118" s="4">
        <v>24.18</v>
      </c>
      <c r="AA118" s="4">
        <v>5.79</v>
      </c>
      <c r="AB118" s="4">
        <v>20.5</v>
      </c>
      <c r="AC118" s="4">
        <v>27.58</v>
      </c>
      <c r="AD118" s="4">
        <v>22.41</v>
      </c>
      <c r="AF118" s="4">
        <v>1.0640776699029126</v>
      </c>
      <c r="AG118" s="4">
        <v>1.1384180790960452</v>
      </c>
      <c r="AH118" s="4">
        <v>0.76385224274406327</v>
      </c>
      <c r="AI118" s="4">
        <v>0.87756849315068497</v>
      </c>
      <c r="AJ118" s="4">
        <v>1.0948789202064311</v>
      </c>
      <c r="AK118" s="4">
        <v>1.0090049527239981</v>
      </c>
      <c r="AM118" s="556">
        <v>45819</v>
      </c>
      <c r="AN118" s="557">
        <v>3.82</v>
      </c>
      <c r="AO118" s="557">
        <v>373300</v>
      </c>
      <c r="AP118" s="557">
        <v>103.18898</v>
      </c>
      <c r="AQ118" s="557">
        <v>394.1819036</v>
      </c>
      <c r="AR118" s="557">
        <v>2.1185999999999998</v>
      </c>
    </row>
    <row r="119" spans="2:44">
      <c r="B119" s="558">
        <v>45135</v>
      </c>
      <c r="C119" s="554">
        <v>8.5299999999999994</v>
      </c>
      <c r="D119" s="554">
        <v>3.7591000000000001</v>
      </c>
      <c r="E119" s="554">
        <v>8.4131</v>
      </c>
      <c r="F119" s="554">
        <v>10.607799999999999</v>
      </c>
      <c r="G119" s="554">
        <v>11.805400000000001</v>
      </c>
      <c r="H119" s="554">
        <v>0</v>
      </c>
      <c r="I119" s="558">
        <v>45135</v>
      </c>
      <c r="J119" s="554">
        <v>8.4733000000000001</v>
      </c>
      <c r="K119" s="554">
        <v>2.6263000000000001</v>
      </c>
      <c r="L119" s="554">
        <v>8.7140000000000004</v>
      </c>
      <c r="M119" s="554">
        <v>9.4167000000000005</v>
      </c>
      <c r="N119" s="554">
        <v>15.1982</v>
      </c>
      <c r="O119" s="554">
        <v>0</v>
      </c>
      <c r="P119" s="554"/>
      <c r="Q119" s="558">
        <v>45135</v>
      </c>
      <c r="R119" s="4">
        <v>5.81</v>
      </c>
      <c r="S119" s="4">
        <v>119076.37</v>
      </c>
      <c r="T119" s="4">
        <v>0</v>
      </c>
      <c r="U119" s="4">
        <v>1.1281553398058251</v>
      </c>
      <c r="V119" s="4">
        <v>1.0987302118958608</v>
      </c>
      <c r="W119" s="4" t="e">
        <v>#DIV/0!</v>
      </c>
      <c r="Y119" s="554">
        <v>5.81</v>
      </c>
      <c r="Z119" s="4">
        <v>24.47</v>
      </c>
      <c r="AA119" s="4">
        <v>5.42</v>
      </c>
      <c r="AB119" s="4">
        <v>21.15</v>
      </c>
      <c r="AC119" s="4">
        <v>26.7</v>
      </c>
      <c r="AD119" s="4">
        <v>22</v>
      </c>
      <c r="AF119" s="4">
        <v>1.1281553398058251</v>
      </c>
      <c r="AG119" s="4">
        <v>1.1520715630885123</v>
      </c>
      <c r="AH119" s="4">
        <v>0.71503957783641159</v>
      </c>
      <c r="AI119" s="4">
        <v>0.90539383561643827</v>
      </c>
      <c r="AJ119" s="4">
        <v>1.0599444223898371</v>
      </c>
      <c r="AK119" s="4">
        <v>0.9905447996398018</v>
      </c>
      <c r="AM119" s="556">
        <v>45818</v>
      </c>
      <c r="AN119" s="557">
        <v>3.82</v>
      </c>
      <c r="AO119" s="557">
        <v>373300</v>
      </c>
      <c r="AP119" s="557">
        <v>103.18898</v>
      </c>
      <c r="AQ119" s="557">
        <v>394.1819036</v>
      </c>
      <c r="AR119" s="557">
        <v>2.1185999999999998</v>
      </c>
    </row>
    <row r="120" spans="2:44">
      <c r="B120" s="558">
        <v>45128</v>
      </c>
      <c r="C120" s="554">
        <v>8.6633999999999993</v>
      </c>
      <c r="D120" s="554">
        <v>3.7694000000000001</v>
      </c>
      <c r="E120" s="554">
        <v>8.3027999999999995</v>
      </c>
      <c r="F120" s="554">
        <v>10.9217</v>
      </c>
      <c r="G120" s="554">
        <v>11.7112</v>
      </c>
      <c r="H120" s="554">
        <v>0</v>
      </c>
      <c r="I120" s="558">
        <v>45128</v>
      </c>
      <c r="J120" s="554">
        <v>9.0241000000000007</v>
      </c>
      <c r="K120" s="554">
        <v>2.6371000000000002</v>
      </c>
      <c r="L120" s="554">
        <v>8.5050000000000008</v>
      </c>
      <c r="M120" s="554">
        <v>9.8841999999999999</v>
      </c>
      <c r="N120" s="554">
        <v>15.061500000000001</v>
      </c>
      <c r="O120" s="554">
        <v>0</v>
      </c>
      <c r="P120" s="554"/>
      <c r="Q120" s="558">
        <v>45128</v>
      </c>
      <c r="R120" s="4">
        <v>5.38</v>
      </c>
      <c r="S120" s="4">
        <v>117522.87</v>
      </c>
      <c r="T120" s="4">
        <v>0</v>
      </c>
      <c r="U120" s="4">
        <v>1.0446601941747571</v>
      </c>
      <c r="V120" s="4">
        <v>1.0843959037188462</v>
      </c>
      <c r="W120" s="4" t="e">
        <v>#DIV/0!</v>
      </c>
      <c r="Y120" s="554">
        <v>5.38</v>
      </c>
      <c r="Z120" s="4">
        <v>24.57</v>
      </c>
      <c r="AA120" s="4">
        <v>5.29</v>
      </c>
      <c r="AB120" s="4">
        <v>22.2</v>
      </c>
      <c r="AC120" s="4">
        <v>26.46</v>
      </c>
      <c r="AD120" s="4">
        <v>21.71</v>
      </c>
      <c r="AF120" s="4">
        <v>1.0446601941747571</v>
      </c>
      <c r="AG120" s="4">
        <v>1.1567796610169492</v>
      </c>
      <c r="AH120" s="4">
        <v>0.69788918205804751</v>
      </c>
      <c r="AI120" s="4">
        <v>0.95034246575342463</v>
      </c>
      <c r="AJ120" s="4">
        <v>1.0504168320762206</v>
      </c>
      <c r="AK120" s="4">
        <v>0.97748761819000451</v>
      </c>
      <c r="AM120" s="556">
        <v>45817</v>
      </c>
      <c r="AN120" s="557">
        <v>3.82</v>
      </c>
      <c r="AO120" s="557">
        <v>373300</v>
      </c>
      <c r="AP120" s="557">
        <v>103.18898</v>
      </c>
      <c r="AQ120" s="557">
        <v>394.1819036</v>
      </c>
      <c r="AR120" s="557">
        <v>2.1185999999999998</v>
      </c>
    </row>
    <row r="121" spans="2:44">
      <c r="B121" s="558">
        <v>45121</v>
      </c>
      <c r="C121" s="554">
        <v>8.5104000000000006</v>
      </c>
      <c r="D121" s="554">
        <v>3.7591000000000001</v>
      </c>
      <c r="E121" s="554">
        <v>8.2689000000000004</v>
      </c>
      <c r="F121" s="554">
        <v>10.8499</v>
      </c>
      <c r="G121" s="554">
        <v>11.801500000000001</v>
      </c>
      <c r="H121" s="554">
        <v>0</v>
      </c>
      <c r="I121" s="558">
        <v>45121</v>
      </c>
      <c r="J121" s="554">
        <v>8.3923000000000005</v>
      </c>
      <c r="K121" s="554">
        <v>2.6263000000000001</v>
      </c>
      <c r="L121" s="554">
        <v>8.4406999999999996</v>
      </c>
      <c r="M121" s="554">
        <v>9.7774000000000001</v>
      </c>
      <c r="N121" s="554">
        <v>15.192500000000001</v>
      </c>
      <c r="O121" s="554">
        <v>0</v>
      </c>
      <c r="P121" s="554"/>
      <c r="Q121" s="558">
        <v>45121</v>
      </c>
      <c r="R121" s="4">
        <v>5.29</v>
      </c>
      <c r="S121" s="4">
        <v>119622.39999999999</v>
      </c>
      <c r="T121" s="4">
        <v>0</v>
      </c>
      <c r="U121" s="4">
        <v>1.0271844660194174</v>
      </c>
      <c r="V121" s="4">
        <v>1.1037684882356713</v>
      </c>
      <c r="W121" s="4" t="e">
        <v>#DIV/0!</v>
      </c>
      <c r="Y121" s="554">
        <v>5.29</v>
      </c>
      <c r="Z121" s="4">
        <v>24.47</v>
      </c>
      <c r="AA121" s="4">
        <v>5.25</v>
      </c>
      <c r="AB121" s="4">
        <v>21.96</v>
      </c>
      <c r="AC121" s="4">
        <v>26.69</v>
      </c>
      <c r="AD121" s="4">
        <v>21.42</v>
      </c>
      <c r="AF121" s="4">
        <v>1.0271844660194174</v>
      </c>
      <c r="AG121" s="4">
        <v>1.1520715630885123</v>
      </c>
      <c r="AH121" s="4">
        <v>0.69261213720316617</v>
      </c>
      <c r="AI121" s="4">
        <v>0.94006849315068497</v>
      </c>
      <c r="AJ121" s="4">
        <v>1.0595474394601032</v>
      </c>
      <c r="AK121" s="4">
        <v>0.96443043674020712</v>
      </c>
      <c r="AM121" s="556">
        <v>45816</v>
      </c>
      <c r="AN121" s="557">
        <v>3.8149999999999999</v>
      </c>
      <c r="AO121" s="557">
        <v>370500</v>
      </c>
      <c r="AP121" s="557">
        <v>103.18898</v>
      </c>
      <c r="AQ121" s="557">
        <v>393.66595869999998</v>
      </c>
      <c r="AR121" s="557">
        <v>2.1354000000000002</v>
      </c>
    </row>
    <row r="122" spans="2:44">
      <c r="B122" s="558">
        <v>45114</v>
      </c>
      <c r="C122" s="554">
        <v>8.6672999999999991</v>
      </c>
      <c r="D122" s="554">
        <v>3.8616000000000001</v>
      </c>
      <c r="E122" s="554">
        <v>8.4471000000000007</v>
      </c>
      <c r="F122" s="554">
        <v>11.5167</v>
      </c>
      <c r="G122" s="554">
        <v>12.1234</v>
      </c>
      <c r="H122" s="554">
        <v>0</v>
      </c>
      <c r="I122" s="558">
        <v>45114</v>
      </c>
      <c r="J122" s="554">
        <v>9.0403000000000002</v>
      </c>
      <c r="K122" s="554">
        <v>2.7336999999999998</v>
      </c>
      <c r="L122" s="554">
        <v>8.7782999999999998</v>
      </c>
      <c r="M122" s="554">
        <v>10.770200000000001</v>
      </c>
      <c r="N122" s="554">
        <v>15.6592</v>
      </c>
      <c r="O122" s="554">
        <v>0</v>
      </c>
      <c r="P122" s="554"/>
      <c r="Q122" s="558">
        <v>45114</v>
      </c>
      <c r="R122" s="4">
        <v>5.0999999999999996</v>
      </c>
      <c r="S122" s="4">
        <v>116742.71</v>
      </c>
      <c r="T122" s="4">
        <v>0</v>
      </c>
      <c r="U122" s="4">
        <v>0.99029126213592222</v>
      </c>
      <c r="V122" s="4">
        <v>1.077197285201061</v>
      </c>
      <c r="W122" s="4" t="e">
        <v>#DIV/0!</v>
      </c>
      <c r="Y122" s="554">
        <v>5.0999999999999996</v>
      </c>
      <c r="Z122" s="4">
        <v>25.47</v>
      </c>
      <c r="AA122" s="4">
        <v>5.46</v>
      </c>
      <c r="AB122" s="4">
        <v>24.19</v>
      </c>
      <c r="AC122" s="4">
        <v>27.51</v>
      </c>
      <c r="AD122" s="4">
        <v>22.52</v>
      </c>
      <c r="AF122" s="4">
        <v>0.99029126213592222</v>
      </c>
      <c r="AG122" s="4">
        <v>1.1991525423728815</v>
      </c>
      <c r="AH122" s="4">
        <v>0.72031662269129282</v>
      </c>
      <c r="AI122" s="4">
        <v>1.0355308219178083</v>
      </c>
      <c r="AJ122" s="4">
        <v>1.0921000396982929</v>
      </c>
      <c r="AK122" s="4">
        <v>1.0139576767221972</v>
      </c>
      <c r="AM122" s="556">
        <v>45815</v>
      </c>
      <c r="AN122" s="557">
        <v>3.7749999999999999</v>
      </c>
      <c r="AO122" s="557">
        <v>437800</v>
      </c>
      <c r="AP122" s="557">
        <v>103.18898</v>
      </c>
      <c r="AQ122" s="557">
        <v>389.53839949999997</v>
      </c>
      <c r="AR122" s="557">
        <v>2.1074999999999999</v>
      </c>
    </row>
    <row r="123" spans="2:44">
      <c r="B123" s="558">
        <v>45107</v>
      </c>
      <c r="C123" s="554">
        <v>8.6829999999999998</v>
      </c>
      <c r="D123" s="554">
        <v>3.7776000000000001</v>
      </c>
      <c r="E123" s="554">
        <v>8.1332000000000004</v>
      </c>
      <c r="F123" s="554">
        <v>11.2775</v>
      </c>
      <c r="G123" s="554">
        <v>12.186299999999999</v>
      </c>
      <c r="H123" s="554">
        <v>0</v>
      </c>
      <c r="I123" s="558">
        <v>45107</v>
      </c>
      <c r="J123" s="554">
        <v>9.1051000000000002</v>
      </c>
      <c r="K123" s="554">
        <v>2.6457000000000002</v>
      </c>
      <c r="L123" s="554">
        <v>8.1834000000000007</v>
      </c>
      <c r="M123" s="554">
        <v>10.414</v>
      </c>
      <c r="N123" s="554">
        <v>15.750299999999999</v>
      </c>
      <c r="O123" s="554">
        <v>0</v>
      </c>
      <c r="P123" s="554"/>
      <c r="Q123" s="558">
        <v>45107</v>
      </c>
      <c r="R123" s="4">
        <v>4.67</v>
      </c>
      <c r="S123" s="4">
        <v>114610.1</v>
      </c>
      <c r="T123" s="4">
        <v>0</v>
      </c>
      <c r="U123" s="4">
        <v>0.90679611650485425</v>
      </c>
      <c r="V123" s="4">
        <v>1.0575194680389217</v>
      </c>
      <c r="W123" s="4" t="e">
        <v>#DIV/0!</v>
      </c>
      <c r="Y123" s="554">
        <v>4.67</v>
      </c>
      <c r="Z123" s="4">
        <v>24.65</v>
      </c>
      <c r="AA123" s="4">
        <v>5.09</v>
      </c>
      <c r="AB123" s="4">
        <v>23.39</v>
      </c>
      <c r="AC123" s="4">
        <v>27.67</v>
      </c>
      <c r="AD123" s="4">
        <v>22.42</v>
      </c>
      <c r="AF123" s="4">
        <v>0.90679611650485425</v>
      </c>
      <c r="AG123" s="4">
        <v>1.1605461393596987</v>
      </c>
      <c r="AH123" s="4">
        <v>0.67150395778364114</v>
      </c>
      <c r="AI123" s="4">
        <v>1.0012842465753424</v>
      </c>
      <c r="AJ123" s="4">
        <v>1.0984517665740374</v>
      </c>
      <c r="AK123" s="4">
        <v>1.0094552003601982</v>
      </c>
      <c r="AM123" s="556">
        <v>45814</v>
      </c>
      <c r="AN123" s="557">
        <v>3.7</v>
      </c>
      <c r="AO123" s="557">
        <v>455400</v>
      </c>
      <c r="AP123" s="557">
        <v>103.18898</v>
      </c>
      <c r="AQ123" s="557">
        <v>381.79922600000003</v>
      </c>
      <c r="AR123" s="557">
        <v>2.0684999999999998</v>
      </c>
    </row>
    <row r="124" spans="2:44">
      <c r="B124" s="558">
        <v>45100</v>
      </c>
      <c r="C124" s="554">
        <v>8.6181999999999999</v>
      </c>
      <c r="D124" s="554">
        <v>4.1436999999999999</v>
      </c>
      <c r="E124" s="554">
        <v>7.0004</v>
      </c>
      <c r="F124" s="554">
        <v>9.5924999999999994</v>
      </c>
      <c r="G124" s="554">
        <v>13.0158</v>
      </c>
      <c r="H124" s="554">
        <v>0</v>
      </c>
      <c r="I124" s="558">
        <v>45100</v>
      </c>
      <c r="J124" s="554">
        <v>8.5413999999999994</v>
      </c>
      <c r="K124" s="554">
        <v>2.7751999999999999</v>
      </c>
      <c r="L124" s="554">
        <v>6.2647000000000004</v>
      </c>
      <c r="M124" s="554">
        <v>8.6079000000000008</v>
      </c>
      <c r="N124" s="554">
        <v>17.351099999999999</v>
      </c>
      <c r="O124" s="554">
        <v>0</v>
      </c>
      <c r="P124" s="554"/>
      <c r="Q124" s="558">
        <v>45100</v>
      </c>
      <c r="R124" s="4">
        <v>4.38</v>
      </c>
      <c r="S124" s="4">
        <v>108967.03</v>
      </c>
      <c r="T124" s="4">
        <v>0</v>
      </c>
      <c r="U124" s="4">
        <v>0.85048543689320377</v>
      </c>
      <c r="V124" s="4">
        <v>1.0054502665941416</v>
      </c>
      <c r="W124" s="4" t="e">
        <v>#DIV/0!</v>
      </c>
      <c r="Y124" s="554">
        <v>4.38</v>
      </c>
      <c r="Z124" s="4">
        <v>25.24</v>
      </c>
      <c r="AA124" s="4">
        <v>4.97</v>
      </c>
      <c r="AB124" s="4">
        <v>24.16</v>
      </c>
      <c r="AC124" s="4">
        <v>28.24</v>
      </c>
      <c r="AD124" s="4">
        <v>23.08</v>
      </c>
      <c r="AF124" s="4">
        <v>0.85048543689320377</v>
      </c>
      <c r="AG124" s="4">
        <v>1.1883239171374764</v>
      </c>
      <c r="AH124" s="4">
        <v>0.65567282321899734</v>
      </c>
      <c r="AI124" s="4">
        <v>1.0342465753424659</v>
      </c>
      <c r="AJ124" s="4">
        <v>1.1210797935688763</v>
      </c>
      <c r="AK124" s="4">
        <v>1.0391715443493921</v>
      </c>
      <c r="AM124" s="556">
        <v>45813</v>
      </c>
      <c r="AN124" s="557">
        <v>3.5350000000000001</v>
      </c>
      <c r="AO124" s="557">
        <v>163500</v>
      </c>
      <c r="AP124" s="557">
        <v>103.18898</v>
      </c>
      <c r="AQ124" s="557">
        <v>364.77304430000004</v>
      </c>
      <c r="AR124" s="557">
        <v>1.9681</v>
      </c>
    </row>
    <row r="125" spans="2:44">
      <c r="B125" s="558">
        <v>45093</v>
      </c>
      <c r="C125" s="554">
        <v>8.5126000000000008</v>
      </c>
      <c r="D125" s="554">
        <v>3.9438</v>
      </c>
      <c r="E125" s="554">
        <v>6.9855</v>
      </c>
      <c r="F125" s="554">
        <v>9.1422000000000008</v>
      </c>
      <c r="G125" s="554">
        <v>12.2921</v>
      </c>
      <c r="H125" s="554">
        <v>0</v>
      </c>
      <c r="I125" s="558">
        <v>45093</v>
      </c>
      <c r="J125" s="554">
        <v>8.1257999999999999</v>
      </c>
      <c r="K125" s="554">
        <v>2.5729000000000002</v>
      </c>
      <c r="L125" s="554">
        <v>6.2394999999999996</v>
      </c>
      <c r="M125" s="554">
        <v>7.9523000000000001</v>
      </c>
      <c r="N125" s="554">
        <v>16.263500000000001</v>
      </c>
      <c r="O125" s="554">
        <v>0</v>
      </c>
      <c r="P125" s="554"/>
      <c r="Q125" s="558">
        <v>45093</v>
      </c>
      <c r="R125" s="4">
        <v>4.03</v>
      </c>
      <c r="S125" s="4">
        <v>109928.53</v>
      </c>
      <c r="T125" s="4">
        <v>0</v>
      </c>
      <c r="U125" s="4">
        <v>0.78252427184466022</v>
      </c>
      <c r="V125" s="4">
        <v>1.0143221283979391</v>
      </c>
      <c r="W125" s="4" t="e">
        <v>#DIV/0!</v>
      </c>
      <c r="Y125" s="554">
        <v>4.03</v>
      </c>
      <c r="Z125" s="4">
        <v>23.4</v>
      </c>
      <c r="AA125" s="4">
        <v>4.95</v>
      </c>
      <c r="AB125" s="4">
        <v>22.32</v>
      </c>
      <c r="AC125" s="4">
        <v>26.47</v>
      </c>
      <c r="AD125" s="4">
        <v>21.9</v>
      </c>
      <c r="AF125" s="4">
        <v>0.78252427184466022</v>
      </c>
      <c r="AG125" s="4">
        <v>1.1016949152542372</v>
      </c>
      <c r="AH125" s="4">
        <v>0.65303430079155678</v>
      </c>
      <c r="AI125" s="4">
        <v>0.95547945205479456</v>
      </c>
      <c r="AJ125" s="4">
        <v>1.0508138150059547</v>
      </c>
      <c r="AK125" s="4">
        <v>0.98604232327780272</v>
      </c>
      <c r="AM125" s="556">
        <v>45812</v>
      </c>
      <c r="AN125" s="557">
        <v>3.52</v>
      </c>
      <c r="AO125" s="557">
        <v>900300</v>
      </c>
      <c r="AP125" s="557">
        <v>103.18898</v>
      </c>
      <c r="AQ125" s="557">
        <v>363.22520960000003</v>
      </c>
      <c r="AR125" s="557">
        <v>1.9570000000000001</v>
      </c>
    </row>
    <row r="126" spans="2:44">
      <c r="B126" s="558">
        <v>45086</v>
      </c>
      <c r="C126" s="554">
        <v>8.5713000000000008</v>
      </c>
      <c r="D126" s="554">
        <v>3.87</v>
      </c>
      <c r="E126" s="554">
        <v>6.9855</v>
      </c>
      <c r="F126" s="554">
        <v>9.7687000000000008</v>
      </c>
      <c r="G126" s="554">
        <v>12.521100000000001</v>
      </c>
      <c r="H126" s="554">
        <v>0</v>
      </c>
      <c r="I126" s="558">
        <v>45086</v>
      </c>
      <c r="J126" s="554">
        <v>8.3567</v>
      </c>
      <c r="K126" s="554">
        <v>2.4982000000000002</v>
      </c>
      <c r="L126" s="554">
        <v>6.2394999999999996</v>
      </c>
      <c r="M126" s="554">
        <v>8.8643999999999998</v>
      </c>
      <c r="N126" s="554">
        <v>16.607600000000001</v>
      </c>
      <c r="O126" s="554">
        <v>0</v>
      </c>
      <c r="P126" s="554"/>
      <c r="Q126" s="558">
        <v>45086</v>
      </c>
      <c r="R126" s="4">
        <v>3.87</v>
      </c>
      <c r="S126" s="4">
        <v>108193.68</v>
      </c>
      <c r="T126" s="4">
        <v>0</v>
      </c>
      <c r="U126" s="4">
        <v>0.75145631067961161</v>
      </c>
      <c r="V126" s="4">
        <v>0.99831448466385875</v>
      </c>
      <c r="W126" s="4" t="e">
        <v>#DIV/0!</v>
      </c>
      <c r="Y126" s="554">
        <v>3.87</v>
      </c>
      <c r="Z126" s="4">
        <v>22.72</v>
      </c>
      <c r="AA126" s="4">
        <v>4.95</v>
      </c>
      <c r="AB126" s="4">
        <v>24.88</v>
      </c>
      <c r="AC126" s="4">
        <v>27.03</v>
      </c>
      <c r="AD126" s="4">
        <v>22.09</v>
      </c>
      <c r="AF126" s="4">
        <v>0.75145631067961161</v>
      </c>
      <c r="AG126" s="4">
        <v>1.0696798493408664</v>
      </c>
      <c r="AH126" s="4">
        <v>0.65303430079155678</v>
      </c>
      <c r="AI126" s="4">
        <v>1.0650684931506849</v>
      </c>
      <c r="AJ126" s="4">
        <v>1.07304485907106</v>
      </c>
      <c r="AK126" s="4">
        <v>0.99459702836560104</v>
      </c>
      <c r="AM126" s="556">
        <v>45811</v>
      </c>
      <c r="AN126" s="557">
        <v>3.52</v>
      </c>
      <c r="AO126" s="557">
        <v>900300</v>
      </c>
      <c r="AP126" s="557">
        <v>103.18898</v>
      </c>
      <c r="AQ126" s="557">
        <v>363.22520960000003</v>
      </c>
      <c r="AR126" s="557">
        <v>1.9570000000000001</v>
      </c>
    </row>
    <row r="127" spans="2:44">
      <c r="B127" s="558">
        <v>45079</v>
      </c>
      <c r="C127" s="554">
        <v>8.2819000000000003</v>
      </c>
      <c r="D127" s="554">
        <v>3.8243</v>
      </c>
      <c r="E127" s="554">
        <v>6.6878000000000002</v>
      </c>
      <c r="F127" s="554">
        <v>9.2254000000000005</v>
      </c>
      <c r="G127" s="554">
        <v>12.1531</v>
      </c>
      <c r="H127" s="554">
        <v>0</v>
      </c>
      <c r="I127" s="558">
        <v>45079</v>
      </c>
      <c r="J127" s="554">
        <v>7.2178000000000004</v>
      </c>
      <c r="K127" s="554">
        <v>2.452</v>
      </c>
      <c r="L127" s="554">
        <v>5.7352999999999996</v>
      </c>
      <c r="M127" s="554">
        <v>8.0733999999999995</v>
      </c>
      <c r="N127" s="554">
        <v>16.054600000000001</v>
      </c>
      <c r="O127" s="554">
        <v>0</v>
      </c>
      <c r="P127" s="554"/>
      <c r="Q127" s="558">
        <v>45079</v>
      </c>
      <c r="R127" s="4">
        <v>3.86</v>
      </c>
      <c r="S127" s="4">
        <v>107113.66</v>
      </c>
      <c r="T127" s="4">
        <v>0</v>
      </c>
      <c r="U127" s="4">
        <v>0.74951456310679609</v>
      </c>
      <c r="V127" s="4">
        <v>0.98834902633277466</v>
      </c>
      <c r="W127" s="4" t="e">
        <v>#DIV/0!</v>
      </c>
      <c r="Y127" s="554">
        <v>3.86</v>
      </c>
      <c r="Z127" s="4">
        <v>22.3</v>
      </c>
      <c r="AA127" s="4">
        <v>4.55</v>
      </c>
      <c r="AB127" s="4">
        <v>22.66</v>
      </c>
      <c r="AC127" s="4">
        <v>26.13</v>
      </c>
      <c r="AD127" s="4">
        <v>21.61</v>
      </c>
      <c r="AF127" s="4">
        <v>0.74951456310679609</v>
      </c>
      <c r="AG127" s="4">
        <v>1.0499058380414314</v>
      </c>
      <c r="AH127" s="4">
        <v>0.60026385224274403</v>
      </c>
      <c r="AI127" s="4">
        <v>0.97003424657534254</v>
      </c>
      <c r="AJ127" s="4">
        <v>1.037316395394998</v>
      </c>
      <c r="AK127" s="4">
        <v>0.97298514182800533</v>
      </c>
      <c r="AM127" s="556">
        <v>45810</v>
      </c>
      <c r="AN127" s="557">
        <v>3.52</v>
      </c>
      <c r="AO127" s="557">
        <v>900300</v>
      </c>
      <c r="AP127" s="557">
        <v>103.18898</v>
      </c>
      <c r="AQ127" s="557">
        <v>363.22520960000003</v>
      </c>
      <c r="AR127" s="557">
        <v>1.9570000000000001</v>
      </c>
    </row>
    <row r="128" spans="2:44">
      <c r="B128" s="558">
        <v>45072</v>
      </c>
      <c r="C128" s="554">
        <v>8.1488999999999994</v>
      </c>
      <c r="D128" s="554">
        <v>3.7179000000000002</v>
      </c>
      <c r="E128" s="554">
        <v>6.7622</v>
      </c>
      <c r="F128" s="554">
        <v>8.8192000000000004</v>
      </c>
      <c r="G128" s="554">
        <v>12.476100000000001</v>
      </c>
      <c r="H128" s="554">
        <v>0</v>
      </c>
      <c r="I128" s="558">
        <v>45072</v>
      </c>
      <c r="J128" s="554">
        <v>6.6946000000000003</v>
      </c>
      <c r="K128" s="554">
        <v>2.3441999999999998</v>
      </c>
      <c r="L128" s="554">
        <v>5.8613</v>
      </c>
      <c r="M128" s="554">
        <v>7.4820000000000002</v>
      </c>
      <c r="N128" s="554">
        <v>16.54</v>
      </c>
      <c r="O128" s="554">
        <v>0</v>
      </c>
      <c r="P128" s="554"/>
      <c r="Q128" s="558">
        <v>45072</v>
      </c>
      <c r="R128" s="4">
        <v>3.77</v>
      </c>
      <c r="S128" s="4">
        <v>101926.95</v>
      </c>
      <c r="T128" s="4">
        <v>0</v>
      </c>
      <c r="U128" s="4">
        <v>0.73203883495145627</v>
      </c>
      <c r="V128" s="4">
        <v>0.94049070669015877</v>
      </c>
      <c r="W128" s="4" t="e">
        <v>#DIV/0!</v>
      </c>
      <c r="Y128" s="554">
        <v>3.77</v>
      </c>
      <c r="Z128" s="4">
        <v>21.32</v>
      </c>
      <c r="AA128" s="4">
        <v>4.6500000000000004</v>
      </c>
      <c r="AB128" s="4">
        <v>21</v>
      </c>
      <c r="AC128" s="4">
        <v>26.92</v>
      </c>
      <c r="AD128" s="4">
        <v>22.09</v>
      </c>
      <c r="AF128" s="4">
        <v>0.73203883495145627</v>
      </c>
      <c r="AG128" s="4">
        <v>1.0037664783427496</v>
      </c>
      <c r="AH128" s="4">
        <v>0.61345646437994727</v>
      </c>
      <c r="AI128" s="4">
        <v>0.89897260273972601</v>
      </c>
      <c r="AJ128" s="4">
        <v>1.0686780468439858</v>
      </c>
      <c r="AK128" s="4">
        <v>0.99459702836560104</v>
      </c>
      <c r="AM128" s="556">
        <v>45809</v>
      </c>
      <c r="AN128" s="557">
        <v>3.7749999999999999</v>
      </c>
      <c r="AO128" s="557">
        <v>344200</v>
      </c>
      <c r="AP128" s="557">
        <v>103.18898</v>
      </c>
      <c r="AQ128" s="557">
        <v>389.53839949999997</v>
      </c>
      <c r="AR128" s="557">
        <v>2.1019000000000001</v>
      </c>
    </row>
    <row r="129" spans="2:44">
      <c r="B129" s="558">
        <v>45065</v>
      </c>
      <c r="C129" s="554">
        <v>7.9534000000000002</v>
      </c>
      <c r="D129" s="554">
        <v>3.6526999999999998</v>
      </c>
      <c r="E129" s="554">
        <v>6.5315000000000003</v>
      </c>
      <c r="F129" s="554">
        <v>8.6625999999999994</v>
      </c>
      <c r="G129" s="554">
        <v>12.529299999999999</v>
      </c>
      <c r="H129" s="554">
        <v>0</v>
      </c>
      <c r="I129" s="558">
        <v>45065</v>
      </c>
      <c r="J129" s="554">
        <v>5.9250999999999996</v>
      </c>
      <c r="K129" s="554">
        <v>2.2782</v>
      </c>
      <c r="L129" s="554">
        <v>5.4706000000000001</v>
      </c>
      <c r="M129" s="554">
        <v>7.2539999999999996</v>
      </c>
      <c r="N129" s="554">
        <v>16.619900000000001</v>
      </c>
      <c r="O129" s="554">
        <v>0</v>
      </c>
      <c r="P129" s="554"/>
      <c r="Q129" s="558">
        <v>45065</v>
      </c>
      <c r="R129" s="4">
        <v>3.76</v>
      </c>
      <c r="S129" s="4">
        <v>103220.09</v>
      </c>
      <c r="T129" s="4">
        <v>0</v>
      </c>
      <c r="U129" s="4">
        <v>0.73009708737864065</v>
      </c>
      <c r="V129" s="4">
        <v>0.9524226457156012</v>
      </c>
      <c r="W129" s="4" t="e">
        <v>#DIV/0!</v>
      </c>
      <c r="Y129" s="554">
        <v>3.76</v>
      </c>
      <c r="Z129" s="4">
        <v>20.72</v>
      </c>
      <c r="AA129" s="4">
        <v>4.34</v>
      </c>
      <c r="AB129" s="4">
        <v>20.36</v>
      </c>
      <c r="AC129" s="4">
        <v>27.05</v>
      </c>
      <c r="AD129" s="4">
        <v>21.88</v>
      </c>
      <c r="AF129" s="4">
        <v>0.73009708737864065</v>
      </c>
      <c r="AG129" s="4">
        <v>0.97551789077212803</v>
      </c>
      <c r="AH129" s="4">
        <v>0.57255936675461738</v>
      </c>
      <c r="AI129" s="4">
        <v>0.87157534246575341</v>
      </c>
      <c r="AJ129" s="4">
        <v>1.073838824930528</v>
      </c>
      <c r="AK129" s="4">
        <v>0.98514182800540284</v>
      </c>
      <c r="AM129" s="556">
        <v>45808</v>
      </c>
      <c r="AN129" s="557">
        <v>3.65</v>
      </c>
      <c r="AO129" s="557">
        <v>174200</v>
      </c>
      <c r="AP129" s="557">
        <v>103.18898</v>
      </c>
      <c r="AQ129" s="557">
        <v>376.63977699999998</v>
      </c>
      <c r="AR129" s="557">
        <v>2.0293999999999999</v>
      </c>
    </row>
    <row r="130" spans="2:44">
      <c r="B130" s="558">
        <v>45058</v>
      </c>
      <c r="C130" s="554">
        <v>7.9494999999999996</v>
      </c>
      <c r="D130" s="554">
        <v>3.5093000000000001</v>
      </c>
      <c r="E130" s="554">
        <v>6.3083</v>
      </c>
      <c r="F130" s="554">
        <v>8.3712999999999997</v>
      </c>
      <c r="G130" s="554">
        <v>12.4475</v>
      </c>
      <c r="H130" s="554">
        <v>0</v>
      </c>
      <c r="I130" s="558">
        <v>45058</v>
      </c>
      <c r="J130" s="554">
        <v>5.9097</v>
      </c>
      <c r="K130" s="554">
        <v>2.1331000000000002</v>
      </c>
      <c r="L130" s="554">
        <v>5.0923999999999996</v>
      </c>
      <c r="M130" s="554">
        <v>6.83</v>
      </c>
      <c r="N130" s="554">
        <v>16.497</v>
      </c>
      <c r="O130" s="554">
        <v>0</v>
      </c>
      <c r="P130" s="554"/>
      <c r="Q130" s="558">
        <v>45058</v>
      </c>
      <c r="R130" s="4">
        <v>3.69</v>
      </c>
      <c r="S130" s="4">
        <v>106163.23</v>
      </c>
      <c r="T130" s="4">
        <v>0</v>
      </c>
      <c r="U130" s="4">
        <v>0.71650485436893196</v>
      </c>
      <c r="V130" s="4">
        <v>0.97957930858531395</v>
      </c>
      <c r="W130" s="4" t="e">
        <v>#DIV/0!</v>
      </c>
      <c r="Y130" s="554">
        <v>3.69</v>
      </c>
      <c r="Z130" s="4">
        <v>19.399999999999999</v>
      </c>
      <c r="AA130" s="4">
        <v>4.04</v>
      </c>
      <c r="AB130" s="4">
        <v>19.170000000000002</v>
      </c>
      <c r="AC130" s="4">
        <v>26.85</v>
      </c>
      <c r="AD130" s="4">
        <v>21.08</v>
      </c>
      <c r="AF130" s="4">
        <v>0.71650485436893196</v>
      </c>
      <c r="AG130" s="4">
        <v>0.91337099811676081</v>
      </c>
      <c r="AH130" s="4">
        <v>0.53298153034300788</v>
      </c>
      <c r="AI130" s="4">
        <v>0.82063356164383572</v>
      </c>
      <c r="AJ130" s="4">
        <v>1.0658991663358475</v>
      </c>
      <c r="AK130" s="4">
        <v>0.94912201710941002</v>
      </c>
      <c r="AM130" s="556">
        <v>45807</v>
      </c>
      <c r="AN130" s="557">
        <v>3.7250000000000001</v>
      </c>
      <c r="AO130" s="557">
        <v>143900</v>
      </c>
      <c r="AP130" s="557">
        <v>103.18898</v>
      </c>
      <c r="AQ130" s="557">
        <v>384.37895050000003</v>
      </c>
      <c r="AR130" s="557">
        <v>2.0629</v>
      </c>
    </row>
    <row r="131" spans="2:44">
      <c r="B131" s="558">
        <v>45051</v>
      </c>
      <c r="C131" s="554">
        <v>7.9847000000000001</v>
      </c>
      <c r="D131" s="554">
        <v>3.4929999999999999</v>
      </c>
      <c r="E131" s="554">
        <v>6.2785000000000002</v>
      </c>
      <c r="F131" s="554">
        <v>8.2905999999999995</v>
      </c>
      <c r="G131" s="554">
        <v>12.6028</v>
      </c>
      <c r="H131" s="554">
        <v>0</v>
      </c>
      <c r="I131" s="558">
        <v>45051</v>
      </c>
      <c r="J131" s="554">
        <v>6.0481999999999996</v>
      </c>
      <c r="K131" s="554">
        <v>2.1166</v>
      </c>
      <c r="L131" s="554">
        <v>5.0419999999999998</v>
      </c>
      <c r="M131" s="554">
        <v>6.7123999999999997</v>
      </c>
      <c r="N131" s="554">
        <v>16.730499999999999</v>
      </c>
      <c r="O131" s="554">
        <v>0</v>
      </c>
      <c r="P131" s="554"/>
      <c r="Q131" s="558">
        <v>45051</v>
      </c>
      <c r="R131" s="4">
        <v>3.75</v>
      </c>
      <c r="S131" s="4">
        <v>106213.75999999999</v>
      </c>
      <c r="T131" s="4">
        <v>0</v>
      </c>
      <c r="U131" s="4">
        <v>0.72815533980582514</v>
      </c>
      <c r="V131" s="4">
        <v>0.98004555421916306</v>
      </c>
      <c r="W131" s="4" t="e">
        <v>#DIV/0!</v>
      </c>
      <c r="Y131" s="554">
        <v>3.75</v>
      </c>
      <c r="Z131" s="4">
        <v>19.25</v>
      </c>
      <c r="AA131" s="4">
        <v>4</v>
      </c>
      <c r="AB131" s="4">
        <v>18.84</v>
      </c>
      <c r="AC131" s="4">
        <v>27.23</v>
      </c>
      <c r="AD131" s="4">
        <v>21.22</v>
      </c>
      <c r="AF131" s="4">
        <v>0.72815533980582514</v>
      </c>
      <c r="AG131" s="4">
        <v>0.90630885122410554</v>
      </c>
      <c r="AH131" s="4">
        <v>0.52770448548812665</v>
      </c>
      <c r="AI131" s="4">
        <v>0.80650684931506855</v>
      </c>
      <c r="AJ131" s="4">
        <v>1.0809845176657404</v>
      </c>
      <c r="AK131" s="4">
        <v>0.95542548401620886</v>
      </c>
      <c r="AM131" s="556">
        <v>45806</v>
      </c>
      <c r="AN131" s="557">
        <v>3.72</v>
      </c>
      <c r="AO131" s="557">
        <v>84700</v>
      </c>
      <c r="AP131" s="557">
        <v>103.18898</v>
      </c>
      <c r="AQ131" s="557">
        <v>383.86300560000001</v>
      </c>
      <c r="AR131" s="557">
        <v>2.0573000000000001</v>
      </c>
    </row>
    <row r="132" spans="2:44">
      <c r="B132" s="558">
        <v>45044</v>
      </c>
      <c r="C132" s="554">
        <v>7.9298999999999999</v>
      </c>
      <c r="D132" s="554">
        <v>3.4266999999999999</v>
      </c>
      <c r="E132" s="554">
        <v>6.1891999999999996</v>
      </c>
      <c r="F132" s="554">
        <v>7.6909999999999998</v>
      </c>
      <c r="G132" s="554">
        <v>12.059100000000001</v>
      </c>
      <c r="H132" s="554">
        <v>0</v>
      </c>
      <c r="I132" s="558">
        <v>45044</v>
      </c>
      <c r="J132" s="554">
        <v>5.8327999999999998</v>
      </c>
      <c r="K132" s="554">
        <v>2.0495000000000001</v>
      </c>
      <c r="L132" s="554">
        <v>4.8906999999999998</v>
      </c>
      <c r="M132" s="554">
        <v>5.8395000000000001</v>
      </c>
      <c r="N132" s="554">
        <v>15.9133</v>
      </c>
      <c r="O132" s="554">
        <v>0</v>
      </c>
      <c r="P132" s="554"/>
      <c r="Q132" s="558">
        <v>45044</v>
      </c>
      <c r="R132" s="4">
        <v>3.92</v>
      </c>
      <c r="S132" s="4">
        <v>101869.45</v>
      </c>
      <c r="T132" s="4">
        <v>0</v>
      </c>
      <c r="U132" s="4">
        <v>0.76116504854368927</v>
      </c>
      <c r="V132" s="4">
        <v>0.93996014813194939</v>
      </c>
      <c r="W132" s="4" t="e">
        <v>#DIV/0!</v>
      </c>
      <c r="Y132" s="554">
        <v>3.92</v>
      </c>
      <c r="Z132" s="4">
        <v>18.64</v>
      </c>
      <c r="AA132" s="4">
        <v>3.88</v>
      </c>
      <c r="AB132" s="4">
        <v>16.39</v>
      </c>
      <c r="AC132" s="4">
        <v>25.9</v>
      </c>
      <c r="AD132" s="4">
        <v>20.36</v>
      </c>
      <c r="AF132" s="4">
        <v>0.76116504854368927</v>
      </c>
      <c r="AG132" s="4">
        <v>0.87758945386064036</v>
      </c>
      <c r="AH132" s="4">
        <v>0.51187335092348285</v>
      </c>
      <c r="AI132" s="4">
        <v>0.70162671232876717</v>
      </c>
      <c r="AJ132" s="4">
        <v>1.0281857880111154</v>
      </c>
      <c r="AK132" s="4">
        <v>0.91670418730301662</v>
      </c>
      <c r="AM132" s="556">
        <v>45805</v>
      </c>
      <c r="AN132" s="557">
        <v>3.77</v>
      </c>
      <c r="AO132" s="557">
        <v>277200</v>
      </c>
      <c r="AP132" s="557">
        <v>103.18898</v>
      </c>
      <c r="AQ132" s="557">
        <v>389.0224546</v>
      </c>
      <c r="AR132" s="557">
        <v>2.0962999999999998</v>
      </c>
    </row>
    <row r="133" spans="2:44">
      <c r="B133" s="558">
        <v>45037</v>
      </c>
      <c r="C133" s="554">
        <v>7.9337999999999997</v>
      </c>
      <c r="D133" s="554">
        <v>3.4245999999999999</v>
      </c>
      <c r="E133" s="554">
        <v>6.2934000000000001</v>
      </c>
      <c r="F133" s="554">
        <v>7.8403</v>
      </c>
      <c r="G133" s="554">
        <v>12.067299999999999</v>
      </c>
      <c r="H133" s="554">
        <v>0</v>
      </c>
      <c r="I133" s="558">
        <v>45037</v>
      </c>
      <c r="J133" s="554">
        <v>5.8480999999999996</v>
      </c>
      <c r="K133" s="554">
        <v>2.0472999999999999</v>
      </c>
      <c r="L133" s="554">
        <v>5.0671999999999997</v>
      </c>
      <c r="M133" s="554">
        <v>6.0568999999999997</v>
      </c>
      <c r="N133" s="554">
        <v>15.925599999999999</v>
      </c>
      <c r="O133" s="554">
        <v>0</v>
      </c>
      <c r="P133" s="554"/>
      <c r="Q133" s="558">
        <v>45037</v>
      </c>
      <c r="R133" s="4">
        <v>3.98</v>
      </c>
      <c r="S133" s="4">
        <v>101185.09</v>
      </c>
      <c r="T133" s="4">
        <v>0</v>
      </c>
      <c r="U133" s="4">
        <v>0.77281553398058245</v>
      </c>
      <c r="V133" s="4">
        <v>0.93364548630766764</v>
      </c>
      <c r="W133" s="4" t="e">
        <v>#DIV/0!</v>
      </c>
      <c r="Y133" s="554">
        <v>3.98</v>
      </c>
      <c r="Z133" s="4">
        <v>18.62</v>
      </c>
      <c r="AA133" s="4">
        <v>4.0199999999999996</v>
      </c>
      <c r="AB133" s="4">
        <v>17</v>
      </c>
      <c r="AC133" s="4">
        <v>25.92</v>
      </c>
      <c r="AD133" s="4">
        <v>20.51</v>
      </c>
      <c r="AF133" s="4">
        <v>0.77281553398058245</v>
      </c>
      <c r="AG133" s="4">
        <v>0.87664783427495307</v>
      </c>
      <c r="AH133" s="4">
        <v>0.53034300791556721</v>
      </c>
      <c r="AI133" s="4">
        <v>0.72773972602739723</v>
      </c>
      <c r="AJ133" s="4">
        <v>1.0289797538705836</v>
      </c>
      <c r="AK133" s="4">
        <v>0.92345790184601539</v>
      </c>
      <c r="AM133" s="556">
        <v>45804</v>
      </c>
      <c r="AN133" s="557">
        <v>3.77</v>
      </c>
      <c r="AO133" s="557">
        <v>277200</v>
      </c>
      <c r="AP133" s="557">
        <v>103.18898</v>
      </c>
      <c r="AQ133" s="557">
        <v>389.0224546</v>
      </c>
      <c r="AR133" s="557">
        <v>2.0962999999999998</v>
      </c>
    </row>
    <row r="134" spans="2:44">
      <c r="B134" s="558">
        <v>45030</v>
      </c>
      <c r="C134" s="554">
        <v>7.9337999999999997</v>
      </c>
      <c r="D134" s="554">
        <v>3.4245999999999999</v>
      </c>
      <c r="E134" s="554">
        <v>6.2934000000000001</v>
      </c>
      <c r="F134" s="554">
        <v>7.8403</v>
      </c>
      <c r="G134" s="554">
        <v>12.067299999999999</v>
      </c>
      <c r="H134" s="554">
        <v>0</v>
      </c>
      <c r="I134" s="558">
        <v>45030</v>
      </c>
      <c r="J134" s="554">
        <v>5.8480999999999996</v>
      </c>
      <c r="K134" s="554">
        <v>2.0472999999999999</v>
      </c>
      <c r="L134" s="554">
        <v>5.0671999999999997</v>
      </c>
      <c r="M134" s="554">
        <v>6.0568999999999997</v>
      </c>
      <c r="N134" s="554">
        <v>15.925599999999999</v>
      </c>
      <c r="O134" s="554">
        <v>0</v>
      </c>
      <c r="P134" s="554"/>
      <c r="Q134" s="558">
        <v>45030</v>
      </c>
      <c r="R134" s="4">
        <v>4.13</v>
      </c>
      <c r="S134" s="4">
        <v>100998.13</v>
      </c>
      <c r="T134" s="4">
        <v>0</v>
      </c>
      <c r="U134" s="4">
        <v>0.80194174757281544</v>
      </c>
      <c r="V134" s="4">
        <v>0.93192038668953148</v>
      </c>
      <c r="W134" s="4" t="e">
        <v>#DIV/0!</v>
      </c>
      <c r="Y134" s="554">
        <v>4.13</v>
      </c>
      <c r="Z134" s="4">
        <v>18.62</v>
      </c>
      <c r="AA134" s="4">
        <v>4.0199999999999996</v>
      </c>
      <c r="AB134" s="4">
        <v>17</v>
      </c>
      <c r="AC134" s="4">
        <v>25.92</v>
      </c>
      <c r="AD134" s="4">
        <v>20.51</v>
      </c>
      <c r="AF134" s="4">
        <v>0.80194174757281544</v>
      </c>
      <c r="AG134" s="4">
        <v>0.87664783427495307</v>
      </c>
      <c r="AH134" s="4">
        <v>0.53034300791556721</v>
      </c>
      <c r="AI134" s="4">
        <v>0.72773972602739723</v>
      </c>
      <c r="AJ134" s="4">
        <v>1.0289797538705836</v>
      </c>
      <c r="AK134" s="4">
        <v>0.92345790184601539</v>
      </c>
      <c r="AM134" s="556">
        <v>45803</v>
      </c>
      <c r="AN134" s="557">
        <v>3.77</v>
      </c>
      <c r="AO134" s="557">
        <v>277200</v>
      </c>
      <c r="AP134" s="557">
        <v>103.18898</v>
      </c>
      <c r="AQ134" s="557">
        <v>389.0224546</v>
      </c>
      <c r="AR134" s="557">
        <v>2.0962999999999998</v>
      </c>
    </row>
    <row r="135" spans="2:44">
      <c r="B135" s="558">
        <v>45023</v>
      </c>
      <c r="C135" s="554">
        <v>7.9611999999999998</v>
      </c>
      <c r="D135" s="554">
        <v>3.3138000000000001</v>
      </c>
      <c r="E135" s="554">
        <v>6.0552000000000001</v>
      </c>
      <c r="F135" s="554">
        <v>7.5491000000000001</v>
      </c>
      <c r="G135" s="554">
        <v>11.544</v>
      </c>
      <c r="H135" s="554">
        <v>0</v>
      </c>
      <c r="I135" s="558">
        <v>45023</v>
      </c>
      <c r="J135" s="554">
        <v>5.9558999999999997</v>
      </c>
      <c r="K135" s="554">
        <v>1.9352</v>
      </c>
      <c r="L135" s="554">
        <v>4.6638999999999999</v>
      </c>
      <c r="M135" s="554">
        <v>5.6329000000000002</v>
      </c>
      <c r="N135" s="554">
        <v>15.139200000000001</v>
      </c>
      <c r="O135" s="554">
        <v>0</v>
      </c>
      <c r="P135" s="554"/>
      <c r="Q135" s="558">
        <v>45023</v>
      </c>
      <c r="R135" s="4">
        <v>4.1900000000000004</v>
      </c>
      <c r="S135" s="4">
        <v>102932.38</v>
      </c>
      <c r="T135" s="4">
        <v>0</v>
      </c>
      <c r="U135" s="4">
        <v>0.81359223300970873</v>
      </c>
      <c r="V135" s="4">
        <v>0.94976791523242843</v>
      </c>
      <c r="W135" s="4" t="e">
        <v>#DIV/0!</v>
      </c>
      <c r="Y135" s="554">
        <v>4.1900000000000004</v>
      </c>
      <c r="Z135" s="4">
        <v>17.600000000000001</v>
      </c>
      <c r="AA135" s="4">
        <v>3.7</v>
      </c>
      <c r="AB135" s="4">
        <v>15.81</v>
      </c>
      <c r="AC135" s="4">
        <v>24.64</v>
      </c>
      <c r="AD135" s="4">
        <v>19.29</v>
      </c>
      <c r="AF135" s="4">
        <v>0.81359223300970873</v>
      </c>
      <c r="AG135" s="4">
        <v>0.82862523540489652</v>
      </c>
      <c r="AH135" s="4">
        <v>0.48812664907651715</v>
      </c>
      <c r="AI135" s="4">
        <v>0.67679794520547953</v>
      </c>
      <c r="AJ135" s="4">
        <v>0.97816593886462877</v>
      </c>
      <c r="AK135" s="4">
        <v>0.86852769022962617</v>
      </c>
      <c r="AM135" s="556">
        <v>45802</v>
      </c>
      <c r="AN135" s="557">
        <v>3.6850000000000001</v>
      </c>
      <c r="AO135" s="557">
        <v>186200</v>
      </c>
      <c r="AP135" s="557">
        <v>103.18898</v>
      </c>
      <c r="AQ135" s="557">
        <v>380.25139130000002</v>
      </c>
      <c r="AR135" s="557">
        <v>2.0516999999999999</v>
      </c>
    </row>
    <row r="136" spans="2:44">
      <c r="B136" s="558">
        <v>45016</v>
      </c>
      <c r="C136" s="554">
        <v>7.9611999999999998</v>
      </c>
      <c r="D136" s="554">
        <v>3.3138000000000001</v>
      </c>
      <c r="E136" s="554">
        <v>6.0552000000000001</v>
      </c>
      <c r="F136" s="554">
        <v>7.5491000000000001</v>
      </c>
      <c r="G136" s="554">
        <v>11.544</v>
      </c>
      <c r="H136" s="554">
        <v>0</v>
      </c>
      <c r="I136" s="558">
        <v>45016</v>
      </c>
      <c r="J136" s="554">
        <v>5.9558999999999997</v>
      </c>
      <c r="K136" s="554">
        <v>1.9352</v>
      </c>
      <c r="L136" s="554">
        <v>4.6638999999999999</v>
      </c>
      <c r="M136" s="554">
        <v>5.6329000000000002</v>
      </c>
      <c r="N136" s="554">
        <v>15.139200000000001</v>
      </c>
      <c r="O136" s="554">
        <v>0</v>
      </c>
      <c r="P136" s="554"/>
      <c r="Q136" s="558">
        <v>45016</v>
      </c>
      <c r="R136" s="4">
        <v>4.16</v>
      </c>
      <c r="S136" s="4">
        <v>104227.93</v>
      </c>
      <c r="T136" s="4">
        <v>0</v>
      </c>
      <c r="U136" s="4">
        <v>0.80776699029126209</v>
      </c>
      <c r="V136" s="4">
        <v>0.96172209158178867</v>
      </c>
      <c r="W136" s="4" t="e">
        <v>#DIV/0!</v>
      </c>
      <c r="Y136" s="554">
        <v>4.16</v>
      </c>
      <c r="Z136" s="4">
        <v>17.600000000000001</v>
      </c>
      <c r="AA136" s="4">
        <v>3.7</v>
      </c>
      <c r="AB136" s="4">
        <v>15.81</v>
      </c>
      <c r="AC136" s="4">
        <v>24.64</v>
      </c>
      <c r="AD136" s="4">
        <v>19.29</v>
      </c>
      <c r="AF136" s="4">
        <v>0.80776699029126209</v>
      </c>
      <c r="AG136" s="4">
        <v>0.82862523540489652</v>
      </c>
      <c r="AH136" s="4">
        <v>0.48812664907651715</v>
      </c>
      <c r="AI136" s="4">
        <v>0.67679794520547953</v>
      </c>
      <c r="AJ136" s="4">
        <v>0.97816593886462877</v>
      </c>
      <c r="AK136" s="4">
        <v>0.86852769022962617</v>
      </c>
      <c r="AM136" s="556">
        <v>45801</v>
      </c>
      <c r="AN136" s="557">
        <v>3.6850000000000001</v>
      </c>
      <c r="AO136" s="557">
        <v>186200</v>
      </c>
      <c r="AP136" s="557">
        <v>103.18898</v>
      </c>
      <c r="AQ136" s="557">
        <v>380.25139130000002</v>
      </c>
      <c r="AR136" s="557">
        <v>2.0516999999999999</v>
      </c>
    </row>
    <row r="137" spans="2:44">
      <c r="B137" s="558">
        <v>45009</v>
      </c>
      <c r="C137" s="554">
        <v>8.5104000000000006</v>
      </c>
      <c r="D137" s="554">
        <v>22.5046</v>
      </c>
      <c r="E137" s="554">
        <v>5.6429</v>
      </c>
      <c r="F137" s="554">
        <v>6.1581999999999999</v>
      </c>
      <c r="G137" s="554">
        <v>13.9308</v>
      </c>
      <c r="H137" s="554">
        <v>0</v>
      </c>
      <c r="I137" s="558">
        <v>45009</v>
      </c>
      <c r="J137" s="554">
        <v>6.5313999999999997</v>
      </c>
      <c r="K137" s="554">
        <v>29.116199999999999</v>
      </c>
      <c r="L137" s="554">
        <v>3.8090999999999999</v>
      </c>
      <c r="M137" s="554">
        <v>4.0636000000000001</v>
      </c>
      <c r="N137" s="554">
        <v>18.346699999999998</v>
      </c>
      <c r="O137" s="554">
        <v>0</v>
      </c>
      <c r="P137" s="554"/>
      <c r="Q137" s="558">
        <v>45009</v>
      </c>
      <c r="R137" s="4">
        <v>4.2699999999999996</v>
      </c>
      <c r="S137" s="4">
        <v>104931.93</v>
      </c>
      <c r="T137" s="4">
        <v>0</v>
      </c>
      <c r="U137" s="4">
        <v>0.82912621359223282</v>
      </c>
      <c r="V137" s="4">
        <v>0.96821797375534413</v>
      </c>
      <c r="W137" s="4" t="e">
        <v>#DIV/0!</v>
      </c>
      <c r="Y137" s="554">
        <v>4.2699999999999996</v>
      </c>
      <c r="Z137" s="4">
        <v>17.13</v>
      </c>
      <c r="AA137" s="4">
        <v>3.57</v>
      </c>
      <c r="AB137" s="4">
        <v>15.57</v>
      </c>
      <c r="AC137" s="4">
        <v>24.05</v>
      </c>
      <c r="AD137" s="4">
        <v>18.97</v>
      </c>
      <c r="AF137" s="4">
        <v>0.82912621359223282</v>
      </c>
      <c r="AG137" s="4">
        <v>0.80649717514124297</v>
      </c>
      <c r="AH137" s="4">
        <v>0.47097625329815301</v>
      </c>
      <c r="AI137" s="4">
        <v>0.66652397260273977</v>
      </c>
      <c r="AJ137" s="4">
        <v>0.95474394601032153</v>
      </c>
      <c r="AK137" s="4">
        <v>0.85411976587122906</v>
      </c>
      <c r="AM137" s="556">
        <v>45800</v>
      </c>
      <c r="AN137" s="557">
        <v>3.7549999999999999</v>
      </c>
      <c r="AO137" s="557">
        <v>177000</v>
      </c>
      <c r="AP137" s="557">
        <v>103.18898</v>
      </c>
      <c r="AQ137" s="557">
        <v>387.47461989999999</v>
      </c>
      <c r="AR137" s="557">
        <v>2.0851999999999999</v>
      </c>
    </row>
    <row r="138" spans="2:44">
      <c r="B138" s="558">
        <v>45002</v>
      </c>
      <c r="C138" s="554">
        <v>8.6326000000000001</v>
      </c>
      <c r="D138" s="554">
        <v>23.481200000000001</v>
      </c>
      <c r="E138" s="554">
        <v>5.8604000000000003</v>
      </c>
      <c r="F138" s="554">
        <v>6.1436000000000002</v>
      </c>
      <c r="G138" s="554">
        <v>14.0692</v>
      </c>
      <c r="H138" s="554">
        <v>0</v>
      </c>
      <c r="I138" s="558">
        <v>45002</v>
      </c>
      <c r="J138" s="554">
        <v>7.0061</v>
      </c>
      <c r="K138" s="554">
        <v>29.932099999999998</v>
      </c>
      <c r="L138" s="554">
        <v>4.1398999999999999</v>
      </c>
      <c r="M138" s="554">
        <v>4.0453000000000001</v>
      </c>
      <c r="N138" s="554">
        <v>18.568000000000001</v>
      </c>
      <c r="O138" s="554">
        <v>0</v>
      </c>
      <c r="P138" s="554"/>
      <c r="Q138" s="558">
        <v>45002</v>
      </c>
      <c r="R138" s="4">
        <v>4.0199999999999996</v>
      </c>
      <c r="S138" s="4">
        <v>107848.81</v>
      </c>
      <c r="T138" s="4">
        <v>0</v>
      </c>
      <c r="U138" s="4">
        <v>0.78058252427184449</v>
      </c>
      <c r="V138" s="4">
        <v>0.99513233283829905</v>
      </c>
      <c r="W138" s="4" t="e">
        <v>#DIV/0!</v>
      </c>
      <c r="Y138" s="554">
        <v>4.0199999999999996</v>
      </c>
      <c r="Z138" s="4">
        <v>17.61</v>
      </c>
      <c r="AA138" s="4">
        <v>3.88</v>
      </c>
      <c r="AB138" s="4">
        <v>15.5</v>
      </c>
      <c r="AC138" s="4">
        <v>24.34</v>
      </c>
      <c r="AD138" s="4">
        <v>19.57</v>
      </c>
      <c r="AF138" s="4">
        <v>0.78058252427184449</v>
      </c>
      <c r="AG138" s="4">
        <v>0.82909604519774016</v>
      </c>
      <c r="AH138" s="4">
        <v>0.51187335092348285</v>
      </c>
      <c r="AI138" s="4">
        <v>0.66352739726027399</v>
      </c>
      <c r="AJ138" s="4">
        <v>0.96625645097260815</v>
      </c>
      <c r="AK138" s="4">
        <v>0.88113462404322374</v>
      </c>
      <c r="AM138" s="556">
        <v>45799</v>
      </c>
      <c r="AN138" s="557">
        <v>3.68</v>
      </c>
      <c r="AO138" s="557">
        <v>172500</v>
      </c>
      <c r="AP138" s="557">
        <v>103.18898</v>
      </c>
      <c r="AQ138" s="557">
        <v>379.7354464</v>
      </c>
      <c r="AR138" s="557">
        <v>2.0461999999999998</v>
      </c>
    </row>
    <row r="139" spans="2:44">
      <c r="B139" s="558">
        <v>44995</v>
      </c>
      <c r="C139" s="554">
        <v>8.6073000000000004</v>
      </c>
      <c r="D139" s="554">
        <v>23.231300000000001</v>
      </c>
      <c r="E139" s="554">
        <v>6.0709999999999997</v>
      </c>
      <c r="F139" s="554">
        <v>6.0499000000000001</v>
      </c>
      <c r="G139" s="554">
        <v>14.4176</v>
      </c>
      <c r="H139" s="554">
        <v>0</v>
      </c>
      <c r="I139" s="558">
        <v>44995</v>
      </c>
      <c r="J139" s="554">
        <v>6.9078999999999997</v>
      </c>
      <c r="K139" s="554">
        <v>29.490200000000002</v>
      </c>
      <c r="L139" s="554">
        <v>4.46</v>
      </c>
      <c r="M139" s="554">
        <v>3.9279000000000002</v>
      </c>
      <c r="N139" s="554">
        <v>19.1248</v>
      </c>
      <c r="O139" s="554">
        <v>0</v>
      </c>
      <c r="P139" s="554"/>
      <c r="Q139" s="558">
        <v>44995</v>
      </c>
      <c r="R139" s="4">
        <v>4.0199999999999996</v>
      </c>
      <c r="S139" s="4">
        <v>107848.81</v>
      </c>
      <c r="T139" s="4">
        <v>0</v>
      </c>
      <c r="U139" s="4">
        <v>0.78058252427184449</v>
      </c>
      <c r="V139" s="4">
        <v>0.99513233283829905</v>
      </c>
      <c r="W139" s="4" t="e">
        <v>#DIV/0!</v>
      </c>
      <c r="Y139" s="554">
        <v>4.0199999999999996</v>
      </c>
      <c r="Z139" s="4">
        <v>17.350000000000001</v>
      </c>
      <c r="AA139" s="4">
        <v>4.18</v>
      </c>
      <c r="AB139" s="4">
        <v>15.05</v>
      </c>
      <c r="AC139" s="4">
        <v>25.07</v>
      </c>
      <c r="AD139" s="4">
        <v>18.97</v>
      </c>
      <c r="AF139" s="4">
        <v>0.78058252427184449</v>
      </c>
      <c r="AG139" s="4">
        <v>0.81685499058380429</v>
      </c>
      <c r="AH139" s="4">
        <v>0.55145118733509235</v>
      </c>
      <c r="AI139" s="4">
        <v>0.64426369863013699</v>
      </c>
      <c r="AJ139" s="4">
        <v>0.99523620484319175</v>
      </c>
      <c r="AK139" s="4">
        <v>0.85411976587122906</v>
      </c>
      <c r="AM139" s="556">
        <v>45798</v>
      </c>
      <c r="AN139" s="557">
        <v>3.7549999999999999</v>
      </c>
      <c r="AO139" s="557">
        <v>176100</v>
      </c>
      <c r="AP139" s="557">
        <v>103.18898</v>
      </c>
      <c r="AQ139" s="557">
        <v>387.47461989999999</v>
      </c>
      <c r="AR139" s="557">
        <v>2.0908000000000002</v>
      </c>
    </row>
    <row r="140" spans="2:44">
      <c r="B140" s="558">
        <v>44988</v>
      </c>
      <c r="C140" s="554">
        <v>8.6367999999999991</v>
      </c>
      <c r="D140" s="554">
        <v>22.414200000000001</v>
      </c>
      <c r="E140" s="554">
        <v>6.0709999999999997</v>
      </c>
      <c r="F140" s="554">
        <v>5.7896000000000001</v>
      </c>
      <c r="G140" s="554">
        <v>13.6492</v>
      </c>
      <c r="H140" s="554">
        <v>0</v>
      </c>
      <c r="I140" s="558">
        <v>44988</v>
      </c>
      <c r="J140" s="554">
        <v>7.0224000000000002</v>
      </c>
      <c r="K140" s="554">
        <v>28.045400000000001</v>
      </c>
      <c r="L140" s="554">
        <v>4.46</v>
      </c>
      <c r="M140" s="554">
        <v>3.6017000000000001</v>
      </c>
      <c r="N140" s="554">
        <v>17.896599999999999</v>
      </c>
      <c r="O140" s="554">
        <v>0</v>
      </c>
      <c r="P140" s="554"/>
      <c r="Q140" s="558">
        <v>44988</v>
      </c>
      <c r="R140" s="4">
        <v>4.26</v>
      </c>
      <c r="S140" s="4">
        <v>107829.73</v>
      </c>
      <c r="T140" s="4">
        <v>0</v>
      </c>
      <c r="U140" s="4">
        <v>0.82718446601941742</v>
      </c>
      <c r="V140" s="4">
        <v>0.99495627966802713</v>
      </c>
      <c r="W140" s="4" t="e">
        <v>#DIV/0!</v>
      </c>
      <c r="Y140" s="554">
        <v>4.26</v>
      </c>
      <c r="Z140" s="4">
        <v>16.5</v>
      </c>
      <c r="AA140" s="4">
        <v>4.18</v>
      </c>
      <c r="AB140" s="4">
        <v>13.8</v>
      </c>
      <c r="AC140" s="4">
        <v>23.46</v>
      </c>
      <c r="AD140" s="4">
        <v>18.010000000000002</v>
      </c>
      <c r="AF140" s="4">
        <v>0.82718446601941742</v>
      </c>
      <c r="AG140" s="4">
        <v>0.7768361581920904</v>
      </c>
      <c r="AH140" s="4">
        <v>0.55145118733509235</v>
      </c>
      <c r="AI140" s="4">
        <v>0.59075342465753433</v>
      </c>
      <c r="AJ140" s="4">
        <v>0.93132195315601429</v>
      </c>
      <c r="AK140" s="4">
        <v>0.81089599279603786</v>
      </c>
      <c r="AM140" s="556">
        <v>45797</v>
      </c>
      <c r="AN140" s="557">
        <v>3.7549999999999999</v>
      </c>
      <c r="AO140" s="557">
        <v>176100</v>
      </c>
      <c r="AP140" s="557">
        <v>103.18898</v>
      </c>
      <c r="AQ140" s="557">
        <v>387.47461989999999</v>
      </c>
      <c r="AR140" s="557">
        <v>2.0908000000000002</v>
      </c>
    </row>
    <row r="141" spans="2:44">
      <c r="B141" s="558">
        <v>44981</v>
      </c>
      <c r="C141" s="554">
        <v>8.5989000000000004</v>
      </c>
      <c r="D141" s="554">
        <v>23.385100000000001</v>
      </c>
      <c r="E141" s="554">
        <v>6.3868</v>
      </c>
      <c r="F141" s="554">
        <v>6.0831999999999997</v>
      </c>
      <c r="G141" s="554">
        <v>14.1503</v>
      </c>
      <c r="H141" s="554">
        <v>0</v>
      </c>
      <c r="I141" s="558">
        <v>44981</v>
      </c>
      <c r="J141" s="554">
        <v>6.8750999999999998</v>
      </c>
      <c r="K141" s="554">
        <v>29.7621</v>
      </c>
      <c r="L141" s="554">
        <v>4.9401000000000002</v>
      </c>
      <c r="M141" s="554">
        <v>3.9697</v>
      </c>
      <c r="N141" s="554">
        <v>18.697600000000001</v>
      </c>
      <c r="O141" s="554">
        <v>0</v>
      </c>
      <c r="P141" s="554"/>
      <c r="Q141" s="558">
        <v>44981</v>
      </c>
      <c r="R141" s="4">
        <v>4.38</v>
      </c>
      <c r="S141" s="4">
        <v>113430.54</v>
      </c>
      <c r="T141" s="4">
        <v>0</v>
      </c>
      <c r="U141" s="4">
        <v>0.85048543689320377</v>
      </c>
      <c r="V141" s="4">
        <v>1.0466355436402868</v>
      </c>
      <c r="W141" s="4" t="e">
        <v>#DIV/0!</v>
      </c>
      <c r="Y141" s="554">
        <v>4.38</v>
      </c>
      <c r="Z141" s="4">
        <v>17.510000000000002</v>
      </c>
      <c r="AA141" s="4">
        <v>4.63</v>
      </c>
      <c r="AB141" s="4">
        <v>15.21</v>
      </c>
      <c r="AC141" s="4">
        <v>24.51</v>
      </c>
      <c r="AD141" s="4">
        <v>19.18</v>
      </c>
      <c r="AF141" s="4">
        <v>0.85048543689320377</v>
      </c>
      <c r="AG141" s="4">
        <v>0.82438794726930331</v>
      </c>
      <c r="AH141" s="4">
        <v>0.6108179419525066</v>
      </c>
      <c r="AI141" s="4">
        <v>0.65111301369863017</v>
      </c>
      <c r="AJ141" s="4">
        <v>0.97300516077808652</v>
      </c>
      <c r="AK141" s="4">
        <v>0.86357496623142727</v>
      </c>
      <c r="AM141" s="556">
        <v>45796</v>
      </c>
      <c r="AN141" s="557">
        <v>3.7549999999999999</v>
      </c>
      <c r="AO141" s="557">
        <v>176100</v>
      </c>
      <c r="AP141" s="557">
        <v>103.18898</v>
      </c>
      <c r="AQ141" s="557">
        <v>387.47461989999999</v>
      </c>
      <c r="AR141" s="557">
        <v>2.0908000000000002</v>
      </c>
    </row>
    <row r="142" spans="2:44">
      <c r="B142" s="558">
        <v>44974</v>
      </c>
      <c r="C142" s="554">
        <v>8.5693999999999999</v>
      </c>
      <c r="D142" s="554">
        <v>23.8368</v>
      </c>
      <c r="E142" s="554">
        <v>6.4359000000000002</v>
      </c>
      <c r="F142" s="554">
        <v>6.2455999999999996</v>
      </c>
      <c r="G142" s="554">
        <v>14.3126</v>
      </c>
      <c r="H142" s="554">
        <v>0</v>
      </c>
      <c r="I142" s="558">
        <v>44974</v>
      </c>
      <c r="J142" s="554">
        <v>6.7605000000000004</v>
      </c>
      <c r="K142" s="554">
        <v>30.561</v>
      </c>
      <c r="L142" s="554">
        <v>5.0148000000000001</v>
      </c>
      <c r="M142" s="554">
        <v>4.1731999999999996</v>
      </c>
      <c r="N142" s="554">
        <v>18.957000000000001</v>
      </c>
      <c r="O142" s="554">
        <v>0</v>
      </c>
      <c r="P142" s="554"/>
      <c r="Q142" s="558">
        <v>44974</v>
      </c>
      <c r="R142" s="4">
        <v>4.5</v>
      </c>
      <c r="S142" s="4">
        <v>113028.15</v>
      </c>
      <c r="T142" s="4">
        <v>0</v>
      </c>
      <c r="U142" s="4">
        <v>0.87378640776699024</v>
      </c>
      <c r="V142" s="4">
        <v>1.0429226487144103</v>
      </c>
      <c r="W142" s="4" t="e">
        <v>#DIV/0!</v>
      </c>
      <c r="Y142" s="554">
        <v>4.5</v>
      </c>
      <c r="Z142" s="4">
        <v>17.98</v>
      </c>
      <c r="AA142" s="4">
        <v>4.7</v>
      </c>
      <c r="AB142" s="4">
        <v>15.99</v>
      </c>
      <c r="AC142" s="4">
        <v>24.85</v>
      </c>
      <c r="AD142" s="4">
        <v>19.47</v>
      </c>
      <c r="AF142" s="4">
        <v>0.87378640776699024</v>
      </c>
      <c r="AG142" s="4">
        <v>0.84651600753295675</v>
      </c>
      <c r="AH142" s="4">
        <v>0.62005277044854878</v>
      </c>
      <c r="AI142" s="4">
        <v>0.68450342465753422</v>
      </c>
      <c r="AJ142" s="4">
        <v>0.98650258038904326</v>
      </c>
      <c r="AK142" s="4">
        <v>0.87663214768122455</v>
      </c>
      <c r="AM142" s="556">
        <v>45795</v>
      </c>
      <c r="AN142" s="557">
        <v>3.7650000000000001</v>
      </c>
      <c r="AO142" s="557">
        <v>570700</v>
      </c>
      <c r="AP142" s="557">
        <v>103.18898</v>
      </c>
      <c r="AQ142" s="557">
        <v>388.50650970000004</v>
      </c>
      <c r="AR142" s="557">
        <v>2.0908000000000002</v>
      </c>
    </row>
    <row r="143" spans="2:44">
      <c r="B143" s="558">
        <v>44967</v>
      </c>
      <c r="C143" s="554">
        <v>8.5145999999999997</v>
      </c>
      <c r="D143" s="554">
        <v>23.346599999999999</v>
      </c>
      <c r="E143" s="554">
        <v>6.5061</v>
      </c>
      <c r="F143" s="554">
        <v>6.6224999999999996</v>
      </c>
      <c r="G143" s="554">
        <v>13.7446</v>
      </c>
      <c r="H143" s="554">
        <v>0</v>
      </c>
      <c r="I143" s="558">
        <v>44967</v>
      </c>
      <c r="J143" s="554">
        <v>6.5476999999999999</v>
      </c>
      <c r="K143" s="554">
        <v>29.694099999999999</v>
      </c>
      <c r="L143" s="554">
        <v>5.1215000000000002</v>
      </c>
      <c r="M143" s="554">
        <v>4.6456</v>
      </c>
      <c r="N143" s="554">
        <v>18.049199999999999</v>
      </c>
      <c r="O143" s="554">
        <v>0</v>
      </c>
      <c r="P143" s="554"/>
      <c r="Q143" s="558">
        <v>44967</v>
      </c>
      <c r="R143" s="4">
        <v>4.51</v>
      </c>
      <c r="S143" s="4">
        <v>111439.12</v>
      </c>
      <c r="T143" s="4">
        <v>0</v>
      </c>
      <c r="U143" s="4">
        <v>0.87572815533980575</v>
      </c>
      <c r="V143" s="4">
        <v>1.0282605014839492</v>
      </c>
      <c r="W143" s="4" t="e">
        <v>#DIV/0!</v>
      </c>
      <c r="Y143" s="554">
        <v>4.51</v>
      </c>
      <c r="Z143" s="4">
        <v>17.47</v>
      </c>
      <c r="AA143" s="4">
        <v>4.8</v>
      </c>
      <c r="AB143" s="4">
        <v>17.8</v>
      </c>
      <c r="AC143" s="4">
        <v>23.66</v>
      </c>
      <c r="AD143" s="4">
        <v>18.97</v>
      </c>
      <c r="AF143" s="4">
        <v>0.87572815533980575</v>
      </c>
      <c r="AG143" s="4">
        <v>0.82250470809792842</v>
      </c>
      <c r="AH143" s="4">
        <v>0.63324538258575191</v>
      </c>
      <c r="AI143" s="4">
        <v>0.76198630136986312</v>
      </c>
      <c r="AJ143" s="4">
        <v>0.93926161175069467</v>
      </c>
      <c r="AK143" s="4">
        <v>0.85411976587122906</v>
      </c>
      <c r="AM143" s="556">
        <v>45794</v>
      </c>
      <c r="AN143" s="557">
        <v>3.5449999999999999</v>
      </c>
      <c r="AO143" s="557">
        <v>313300</v>
      </c>
      <c r="AP143" s="557">
        <v>103.18898</v>
      </c>
      <c r="AQ143" s="557">
        <v>365.80493409999997</v>
      </c>
      <c r="AR143" s="557">
        <v>1.9793000000000001</v>
      </c>
    </row>
    <row r="144" spans="2:44">
      <c r="B144" s="558">
        <v>44960</v>
      </c>
      <c r="C144" s="554">
        <v>8.6157000000000004</v>
      </c>
      <c r="D144" s="554">
        <v>23.308199999999999</v>
      </c>
      <c r="E144" s="554">
        <v>6.6745000000000001</v>
      </c>
      <c r="F144" s="554">
        <v>6.4642999999999997</v>
      </c>
      <c r="G144" s="554">
        <v>13.210100000000001</v>
      </c>
      <c r="H144" s="554">
        <v>0</v>
      </c>
      <c r="I144" s="558">
        <v>44960</v>
      </c>
      <c r="J144" s="554">
        <v>6.9405999999999999</v>
      </c>
      <c r="K144" s="554">
        <v>29.626100000000001</v>
      </c>
      <c r="L144" s="554">
        <v>5.3776000000000002</v>
      </c>
      <c r="M144" s="554">
        <v>4.4473000000000003</v>
      </c>
      <c r="N144" s="554">
        <v>17.194800000000001</v>
      </c>
      <c r="O144" s="554">
        <v>0</v>
      </c>
      <c r="P144" s="554"/>
      <c r="Q144" s="558">
        <v>44960</v>
      </c>
      <c r="R144" s="4">
        <v>4.75</v>
      </c>
      <c r="S144" s="4">
        <v>110816.71</v>
      </c>
      <c r="T144" s="4">
        <v>0</v>
      </c>
      <c r="U144" s="4">
        <v>0.92233009708737856</v>
      </c>
      <c r="V144" s="4">
        <v>1.0225174588367296</v>
      </c>
      <c r="W144" s="4" t="e">
        <v>#DIV/0!</v>
      </c>
      <c r="Y144" s="554">
        <v>4.75</v>
      </c>
      <c r="Z144" s="4">
        <v>17.43</v>
      </c>
      <c r="AA144" s="4">
        <v>5.04</v>
      </c>
      <c r="AB144" s="4">
        <v>17.04</v>
      </c>
      <c r="AC144" s="4">
        <v>22.54</v>
      </c>
      <c r="AD144" s="4">
        <v>18.7</v>
      </c>
      <c r="AF144" s="4">
        <v>0.92233009708737856</v>
      </c>
      <c r="AG144" s="4">
        <v>0.82062146892655374</v>
      </c>
      <c r="AH144" s="4">
        <v>0.66490765171503963</v>
      </c>
      <c r="AI144" s="4">
        <v>0.72945205479452058</v>
      </c>
      <c r="AJ144" s="4">
        <v>0.89479952362048421</v>
      </c>
      <c r="AK144" s="4">
        <v>0.84196307969383155</v>
      </c>
      <c r="AM144" s="556">
        <v>45793</v>
      </c>
      <c r="AN144" s="557">
        <v>3.5550000000000002</v>
      </c>
      <c r="AO144" s="557">
        <v>169200</v>
      </c>
      <c r="AP144" s="557">
        <v>103.18898</v>
      </c>
      <c r="AQ144" s="557">
        <v>366.83682390000001</v>
      </c>
      <c r="AR144" s="557">
        <v>1.9847999999999999</v>
      </c>
    </row>
    <row r="145" spans="2:44">
      <c r="B145" s="558">
        <v>44953</v>
      </c>
      <c r="C145" s="554">
        <v>8.7254000000000005</v>
      </c>
      <c r="D145" s="554">
        <v>23.635000000000002</v>
      </c>
      <c r="E145" s="554">
        <v>6.6534000000000004</v>
      </c>
      <c r="F145" s="554">
        <v>6.4142999999999999</v>
      </c>
      <c r="G145" s="554">
        <v>13.477399999999999</v>
      </c>
      <c r="H145" s="554">
        <v>0</v>
      </c>
      <c r="I145" s="558">
        <v>44953</v>
      </c>
      <c r="J145" s="554">
        <v>7.3662000000000001</v>
      </c>
      <c r="K145" s="554">
        <v>30.204000000000001</v>
      </c>
      <c r="L145" s="554">
        <v>5.3456000000000001</v>
      </c>
      <c r="M145" s="554">
        <v>4.3845999999999998</v>
      </c>
      <c r="N145" s="554">
        <v>17.622</v>
      </c>
      <c r="O145" s="554">
        <v>0</v>
      </c>
      <c r="P145" s="554"/>
      <c r="Q145" s="558">
        <v>44953</v>
      </c>
      <c r="R145" s="4">
        <v>4.3099999999999996</v>
      </c>
      <c r="S145" s="4">
        <v>104165.74</v>
      </c>
      <c r="T145" s="4">
        <v>0</v>
      </c>
      <c r="U145" s="4">
        <v>0.83689320388349497</v>
      </c>
      <c r="V145" s="4">
        <v>0.96114825789944025</v>
      </c>
      <c r="W145" s="4" t="e">
        <v>#DIV/0!</v>
      </c>
      <c r="Y145" s="554">
        <v>4.3099999999999996</v>
      </c>
      <c r="Z145" s="4">
        <v>17.77</v>
      </c>
      <c r="AA145" s="4">
        <v>5.01</v>
      </c>
      <c r="AB145" s="4">
        <v>16.8</v>
      </c>
      <c r="AC145" s="4">
        <v>23.1</v>
      </c>
      <c r="AD145" s="4">
        <v>19.28</v>
      </c>
      <c r="AF145" s="4">
        <v>0.83689320388349497</v>
      </c>
      <c r="AG145" s="4">
        <v>0.83662900188323919</v>
      </c>
      <c r="AH145" s="4">
        <v>0.66094986807387857</v>
      </c>
      <c r="AI145" s="4">
        <v>0.71917808219178092</v>
      </c>
      <c r="AJ145" s="4">
        <v>0.91703056768558955</v>
      </c>
      <c r="AK145" s="4">
        <v>0.86807744259342645</v>
      </c>
      <c r="AM145" s="556">
        <v>45792</v>
      </c>
      <c r="AN145" s="557">
        <v>3.62</v>
      </c>
      <c r="AO145" s="557">
        <v>182200</v>
      </c>
      <c r="AP145" s="557">
        <v>103.18898</v>
      </c>
      <c r="AQ145" s="557">
        <v>373.54410760000002</v>
      </c>
      <c r="AR145" s="557">
        <v>2.0127000000000002</v>
      </c>
    </row>
    <row r="146" spans="2:44">
      <c r="B146" s="558">
        <v>44946</v>
      </c>
      <c r="C146" s="554">
        <v>8.7254000000000005</v>
      </c>
      <c r="D146" s="554">
        <v>23.279299999999999</v>
      </c>
      <c r="E146" s="554">
        <v>6.5130999999999997</v>
      </c>
      <c r="F146" s="554">
        <v>6.1977000000000002</v>
      </c>
      <c r="G146" s="554">
        <v>13.062099999999999</v>
      </c>
      <c r="H146" s="554">
        <v>0</v>
      </c>
      <c r="I146" s="558">
        <v>44946</v>
      </c>
      <c r="J146" s="554">
        <v>7.3662000000000001</v>
      </c>
      <c r="K146" s="554">
        <v>29.575099999999999</v>
      </c>
      <c r="L146" s="554">
        <v>5.1322000000000001</v>
      </c>
      <c r="M146" s="554">
        <v>4.1132</v>
      </c>
      <c r="N146" s="554">
        <v>16.958300000000001</v>
      </c>
      <c r="O146" s="554">
        <v>0</v>
      </c>
      <c r="P146" s="554"/>
      <c r="Q146" s="558">
        <v>44946</v>
      </c>
      <c r="R146" s="4">
        <v>4.45</v>
      </c>
      <c r="S146" s="4">
        <v>108578.2</v>
      </c>
      <c r="T146" s="4">
        <v>0</v>
      </c>
      <c r="U146" s="4">
        <v>0.86407766990291257</v>
      </c>
      <c r="V146" s="4">
        <v>1.0018624912169489</v>
      </c>
      <c r="W146" s="4" t="e">
        <v>#DIV/0!</v>
      </c>
      <c r="Y146" s="554">
        <v>4.45</v>
      </c>
      <c r="Z146" s="4">
        <v>17.399999999999999</v>
      </c>
      <c r="AA146" s="4">
        <v>4.8099999999999996</v>
      </c>
      <c r="AB146" s="4">
        <v>15.76</v>
      </c>
      <c r="AC146" s="4">
        <v>22.23</v>
      </c>
      <c r="AD146" s="4">
        <v>18.43</v>
      </c>
      <c r="AF146" s="4">
        <v>0.86407766990291257</v>
      </c>
      <c r="AG146" s="4">
        <v>0.8192090395480226</v>
      </c>
      <c r="AH146" s="4">
        <v>0.63456464379947219</v>
      </c>
      <c r="AI146" s="4">
        <v>0.67465753424657537</v>
      </c>
      <c r="AJ146" s="4">
        <v>0.88249305279872958</v>
      </c>
      <c r="AK146" s="4">
        <v>0.82980639351643404</v>
      </c>
      <c r="AM146" s="556">
        <v>45791</v>
      </c>
      <c r="AN146" s="557">
        <v>3.62</v>
      </c>
      <c r="AO146" s="557">
        <v>182200</v>
      </c>
      <c r="AP146" s="557">
        <v>103.18898</v>
      </c>
      <c r="AQ146" s="557">
        <v>373.54410760000002</v>
      </c>
      <c r="AR146" s="557">
        <v>2.0127000000000002</v>
      </c>
    </row>
    <row r="147" spans="2:44">
      <c r="B147" s="558">
        <v>44939</v>
      </c>
      <c r="C147" s="554">
        <v>8.7042999999999999</v>
      </c>
      <c r="D147" s="554">
        <v>23.529199999999999</v>
      </c>
      <c r="E147" s="554">
        <v>6.4779999999999998</v>
      </c>
      <c r="F147" s="554">
        <v>6.0707000000000004</v>
      </c>
      <c r="G147" s="554">
        <v>12.9094</v>
      </c>
      <c r="H147" s="554">
        <v>0</v>
      </c>
      <c r="I147" s="558">
        <v>44939</v>
      </c>
      <c r="J147" s="554">
        <v>7.2843</v>
      </c>
      <c r="K147" s="554">
        <v>30.017099999999999</v>
      </c>
      <c r="L147" s="554">
        <v>5.0788000000000002</v>
      </c>
      <c r="M147" s="554">
        <v>3.9540000000000002</v>
      </c>
      <c r="N147" s="554">
        <v>16.714200000000002</v>
      </c>
      <c r="O147" s="554">
        <v>0</v>
      </c>
      <c r="P147" s="554"/>
      <c r="Q147" s="558">
        <v>44939</v>
      </c>
      <c r="R147" s="4">
        <v>4.38</v>
      </c>
      <c r="S147" s="4">
        <v>106864.11</v>
      </c>
      <c r="T147" s="4">
        <v>0</v>
      </c>
      <c r="U147" s="4">
        <v>0.85048543689320377</v>
      </c>
      <c r="V147" s="4">
        <v>0.98604640219014572</v>
      </c>
      <c r="W147" s="4" t="e">
        <v>#DIV/0!</v>
      </c>
      <c r="Y147" s="554">
        <v>4.38</v>
      </c>
      <c r="Z147" s="4">
        <v>17.66</v>
      </c>
      <c r="AA147" s="4">
        <v>4.76</v>
      </c>
      <c r="AB147" s="4">
        <v>15.15</v>
      </c>
      <c r="AC147" s="4">
        <v>21.91</v>
      </c>
      <c r="AD147" s="4">
        <v>18.11</v>
      </c>
      <c r="AF147" s="4">
        <v>0.85048543689320377</v>
      </c>
      <c r="AG147" s="4">
        <v>0.83145009416195859</v>
      </c>
      <c r="AH147" s="4">
        <v>0.62796833773087068</v>
      </c>
      <c r="AI147" s="4">
        <v>0.6485445205479452</v>
      </c>
      <c r="AJ147" s="4">
        <v>0.86978959904724096</v>
      </c>
      <c r="AK147" s="4">
        <v>0.81539846915803682</v>
      </c>
      <c r="AM147" s="556">
        <v>45790</v>
      </c>
      <c r="AN147" s="557">
        <v>3.62</v>
      </c>
      <c r="AO147" s="557">
        <v>182200</v>
      </c>
      <c r="AP147" s="557">
        <v>103.18898</v>
      </c>
      <c r="AQ147" s="557">
        <v>373.54410760000002</v>
      </c>
      <c r="AR147" s="557">
        <v>2.0127000000000002</v>
      </c>
    </row>
    <row r="148" spans="2:44">
      <c r="B148" s="558">
        <v>44932</v>
      </c>
      <c r="C148" s="554">
        <v>8.7463999999999995</v>
      </c>
      <c r="D148" s="554">
        <v>22.616099999999999</v>
      </c>
      <c r="E148" s="554">
        <v>6.5481999999999996</v>
      </c>
      <c r="F148" s="554">
        <v>6.0978000000000003</v>
      </c>
      <c r="G148" s="554">
        <v>12.7089</v>
      </c>
      <c r="H148" s="554">
        <v>0</v>
      </c>
      <c r="I148" s="558">
        <v>44932</v>
      </c>
      <c r="J148" s="554">
        <v>7.4480000000000004</v>
      </c>
      <c r="K148" s="554">
        <v>28.4023</v>
      </c>
      <c r="L148" s="554">
        <v>5.1855000000000002</v>
      </c>
      <c r="M148" s="554">
        <v>3.9878999999999998</v>
      </c>
      <c r="N148" s="554">
        <v>16.393799999999999</v>
      </c>
      <c r="O148" s="554">
        <v>0</v>
      </c>
      <c r="P148" s="554"/>
      <c r="Q148" s="558">
        <v>44932</v>
      </c>
      <c r="R148" s="4">
        <v>4.9000000000000004</v>
      </c>
      <c r="S148" s="4">
        <v>103539.67</v>
      </c>
      <c r="T148" s="4">
        <v>0</v>
      </c>
      <c r="U148" s="4">
        <v>0.95145631067961167</v>
      </c>
      <c r="V148" s="4">
        <v>0.95537144404660235</v>
      </c>
      <c r="W148" s="4" t="e">
        <v>#DIV/0!</v>
      </c>
      <c r="Y148" s="554">
        <v>4.9000000000000004</v>
      </c>
      <c r="Z148" s="4">
        <v>16.71</v>
      </c>
      <c r="AA148" s="4">
        <v>4.8600000000000003</v>
      </c>
      <c r="AB148" s="4">
        <v>15.28</v>
      </c>
      <c r="AC148" s="4">
        <v>21.49</v>
      </c>
      <c r="AD148" s="4">
        <v>18.010000000000002</v>
      </c>
      <c r="AF148" s="4">
        <v>0.95145631067961167</v>
      </c>
      <c r="AG148" s="4">
        <v>0.78672316384180796</v>
      </c>
      <c r="AH148" s="4">
        <v>0.64116094986807393</v>
      </c>
      <c r="AI148" s="4">
        <v>0.65410958904109584</v>
      </c>
      <c r="AJ148" s="4">
        <v>0.85311631599841198</v>
      </c>
      <c r="AK148" s="4">
        <v>0.81089599279603786</v>
      </c>
      <c r="AM148" s="556">
        <v>45789</v>
      </c>
      <c r="AN148" s="557">
        <v>3.62</v>
      </c>
      <c r="AO148" s="557">
        <v>182200</v>
      </c>
      <c r="AP148" s="557">
        <v>103.18898</v>
      </c>
      <c r="AQ148" s="557">
        <v>373.54410760000002</v>
      </c>
      <c r="AR148" s="557">
        <v>2.0127000000000002</v>
      </c>
    </row>
    <row r="149" spans="2:44">
      <c r="B149" s="558">
        <v>44925</v>
      </c>
      <c r="C149" s="554">
        <v>5.8467000000000002</v>
      </c>
      <c r="D149" s="554">
        <v>19.6663</v>
      </c>
      <c r="E149" s="554">
        <v>6.0411999999999999</v>
      </c>
      <c r="F149" s="554">
        <v>6.4591000000000003</v>
      </c>
      <c r="G149" s="554">
        <v>14.1769</v>
      </c>
      <c r="H149" s="554">
        <v>0</v>
      </c>
      <c r="I149" s="558">
        <v>44925</v>
      </c>
      <c r="J149" s="554">
        <v>2.6945999999999999</v>
      </c>
      <c r="K149" s="554">
        <v>16.095300000000002</v>
      </c>
      <c r="L149" s="554">
        <v>4.3296000000000001</v>
      </c>
      <c r="M149" s="554">
        <v>3.9451000000000001</v>
      </c>
      <c r="N149" s="554">
        <v>18.109400000000001</v>
      </c>
      <c r="O149" s="554">
        <v>0</v>
      </c>
      <c r="P149" s="554"/>
      <c r="Q149" s="558">
        <v>44925</v>
      </c>
      <c r="R149" s="4">
        <v>5.2</v>
      </c>
      <c r="S149" s="4">
        <v>110188.57</v>
      </c>
      <c r="T149" s="4">
        <v>0</v>
      </c>
      <c r="U149" s="4">
        <v>1.0097087378640777</v>
      </c>
      <c r="V149" s="4">
        <v>1.0167215448757962</v>
      </c>
      <c r="W149" s="4" t="e">
        <v>#DIV/0!</v>
      </c>
      <c r="Y149" s="554">
        <v>5.2</v>
      </c>
      <c r="Z149" s="4">
        <v>17.48</v>
      </c>
      <c r="AA149" s="4">
        <v>5.09</v>
      </c>
      <c r="AB149" s="4">
        <v>16.78</v>
      </c>
      <c r="AC149" s="4">
        <v>22.89</v>
      </c>
      <c r="AD149" s="4">
        <v>18.920000000000002</v>
      </c>
      <c r="AF149" s="4">
        <v>1.0097087378640777</v>
      </c>
      <c r="AG149" s="4">
        <v>0.82297551789077217</v>
      </c>
      <c r="AH149" s="4">
        <v>0.67150395778364114</v>
      </c>
      <c r="AI149" s="4">
        <v>0.71832191780821919</v>
      </c>
      <c r="AJ149" s="4">
        <v>0.90869392616117506</v>
      </c>
      <c r="AK149" s="4">
        <v>0.85186852769022969</v>
      </c>
      <c r="AM149" s="556">
        <v>45788</v>
      </c>
      <c r="AN149" s="557">
        <v>3.62</v>
      </c>
      <c r="AO149" s="557">
        <v>182200</v>
      </c>
      <c r="AP149" s="557">
        <v>103.18898</v>
      </c>
      <c r="AQ149" s="557">
        <v>373.54410760000002</v>
      </c>
      <c r="AR149" s="557">
        <v>2.0127000000000002</v>
      </c>
    </row>
    <row r="150" spans="2:44">
      <c r="B150" s="558">
        <v>44918</v>
      </c>
      <c r="C150" s="554">
        <v>5.8467000000000002</v>
      </c>
      <c r="D150" s="554">
        <v>19.6663</v>
      </c>
      <c r="E150" s="554">
        <v>6.0411999999999999</v>
      </c>
      <c r="F150" s="554">
        <v>6.4591000000000003</v>
      </c>
      <c r="G150" s="554">
        <v>14.1769</v>
      </c>
      <c r="H150" s="554">
        <v>0</v>
      </c>
      <c r="I150" s="558">
        <v>44918</v>
      </c>
      <c r="J150" s="554">
        <v>2.6945999999999999</v>
      </c>
      <c r="K150" s="554">
        <v>16.095300000000002</v>
      </c>
      <c r="L150" s="554">
        <v>4.3296000000000001</v>
      </c>
      <c r="M150" s="554">
        <v>3.9451000000000001</v>
      </c>
      <c r="N150" s="554">
        <v>18.109400000000001</v>
      </c>
      <c r="O150" s="554">
        <v>0</v>
      </c>
      <c r="P150" s="554"/>
      <c r="Q150" s="558">
        <v>44918</v>
      </c>
      <c r="R150" s="4">
        <v>5.07</v>
      </c>
      <c r="S150" s="4">
        <v>110909.61</v>
      </c>
      <c r="T150" s="4">
        <v>0</v>
      </c>
      <c r="U150" s="4">
        <v>0.98446601941747569</v>
      </c>
      <c r="V150" s="4">
        <v>1.0233746569246889</v>
      </c>
      <c r="W150" s="4" t="e">
        <v>#DIV/0!</v>
      </c>
      <c r="Y150" s="554">
        <v>5.07</v>
      </c>
      <c r="Z150" s="4">
        <v>17.48</v>
      </c>
      <c r="AA150" s="4">
        <v>5.09</v>
      </c>
      <c r="AB150" s="4">
        <v>16.78</v>
      </c>
      <c r="AC150" s="4">
        <v>22.89</v>
      </c>
      <c r="AD150" s="4">
        <v>18.920000000000002</v>
      </c>
      <c r="AF150" s="4">
        <v>0.98446601941747569</v>
      </c>
      <c r="AG150" s="4">
        <v>0.82297551789077217</v>
      </c>
      <c r="AH150" s="4">
        <v>0.67150395778364114</v>
      </c>
      <c r="AI150" s="4">
        <v>0.71832191780821919</v>
      </c>
      <c r="AJ150" s="4">
        <v>0.90869392616117506</v>
      </c>
      <c r="AK150" s="4">
        <v>0.85186852769022969</v>
      </c>
      <c r="AM150" s="556">
        <v>45787</v>
      </c>
      <c r="AN150" s="557">
        <v>3.5049999999999999</v>
      </c>
      <c r="AO150" s="557">
        <v>309800</v>
      </c>
      <c r="AP150" s="557">
        <v>103.18898</v>
      </c>
      <c r="AQ150" s="557">
        <v>361.67737490000002</v>
      </c>
      <c r="AR150" s="557">
        <v>1.9401999999999999</v>
      </c>
    </row>
    <row r="151" spans="2:44">
      <c r="B151" s="558">
        <v>44911</v>
      </c>
      <c r="C151" s="554">
        <v>5.7462</v>
      </c>
      <c r="D151" s="554">
        <v>18.404599999999999</v>
      </c>
      <c r="E151" s="554">
        <v>5.6806999999999999</v>
      </c>
      <c r="F151" s="554">
        <v>5.9922000000000004</v>
      </c>
      <c r="G151" s="554">
        <v>12.8421</v>
      </c>
      <c r="H151" s="554">
        <v>0</v>
      </c>
      <c r="I151" s="558">
        <v>44911</v>
      </c>
      <c r="J151" s="554">
        <v>2.4992000000000001</v>
      </c>
      <c r="K151" s="554">
        <v>14.649699999999999</v>
      </c>
      <c r="L151" s="554">
        <v>3.8702000000000001</v>
      </c>
      <c r="M151" s="554">
        <v>3.4114</v>
      </c>
      <c r="N151" s="554">
        <v>16.012899999999998</v>
      </c>
      <c r="O151" s="554">
        <v>0</v>
      </c>
      <c r="P151" s="554"/>
      <c r="Q151" s="558">
        <v>44911</v>
      </c>
      <c r="R151" s="4">
        <v>5.45</v>
      </c>
      <c r="S151" s="4">
        <v>109036.54</v>
      </c>
      <c r="T151" s="4">
        <v>0</v>
      </c>
      <c r="U151" s="4">
        <v>1.058252427184466</v>
      </c>
      <c r="V151" s="4">
        <v>1.0060916426877264</v>
      </c>
      <c r="W151" s="4" t="e">
        <v>#DIV/0!</v>
      </c>
      <c r="Y151" s="554">
        <v>5.45</v>
      </c>
      <c r="Z151" s="4">
        <v>15.91</v>
      </c>
      <c r="AA151" s="4">
        <v>4.55</v>
      </c>
      <c r="AB151" s="4">
        <v>14.51</v>
      </c>
      <c r="AC151" s="4">
        <v>20.239999999999998</v>
      </c>
      <c r="AD151" s="4">
        <v>16.82</v>
      </c>
      <c r="AF151" s="4">
        <v>1.058252427184466</v>
      </c>
      <c r="AG151" s="4">
        <v>0.74905838041431272</v>
      </c>
      <c r="AH151" s="4">
        <v>0.60026385224274403</v>
      </c>
      <c r="AI151" s="4">
        <v>0.6211472602739726</v>
      </c>
      <c r="AJ151" s="4">
        <v>0.80349344978165926</v>
      </c>
      <c r="AK151" s="4">
        <v>0.75731652408824857</v>
      </c>
      <c r="AM151" s="556">
        <v>45786</v>
      </c>
      <c r="AN151" s="557">
        <v>3.5249999999999999</v>
      </c>
      <c r="AO151" s="557">
        <v>318500</v>
      </c>
      <c r="AP151" s="557">
        <v>103.18898</v>
      </c>
      <c r="AQ151" s="557">
        <v>363.74115449999999</v>
      </c>
      <c r="AR151" s="557">
        <v>1.9681</v>
      </c>
    </row>
    <row r="152" spans="2:44">
      <c r="B152" s="558">
        <v>44904</v>
      </c>
      <c r="C152" s="554">
        <v>5.9946000000000002</v>
      </c>
      <c r="D152" s="554">
        <v>18.991299999999999</v>
      </c>
      <c r="E152" s="554">
        <v>6.0145</v>
      </c>
      <c r="F152" s="554">
        <v>6.5579000000000001</v>
      </c>
      <c r="G152" s="554">
        <v>13.466699999999999</v>
      </c>
      <c r="H152" s="554">
        <v>0</v>
      </c>
      <c r="I152" s="558">
        <v>44904</v>
      </c>
      <c r="J152" s="554">
        <v>2.9817999999999998</v>
      </c>
      <c r="K152" s="554">
        <v>15.321899999999999</v>
      </c>
      <c r="L152" s="554">
        <v>4.2954999999999997</v>
      </c>
      <c r="M152" s="554">
        <v>4.0579000000000001</v>
      </c>
      <c r="N152" s="554">
        <v>16.9939</v>
      </c>
      <c r="O152" s="554">
        <v>0</v>
      </c>
      <c r="P152" s="554"/>
      <c r="Q152" s="558">
        <v>44904</v>
      </c>
      <c r="R152" s="4">
        <v>6.42</v>
      </c>
      <c r="S152" s="4">
        <v>116160.35</v>
      </c>
      <c r="T152" s="4">
        <v>0</v>
      </c>
      <c r="U152" s="4">
        <v>1.2466019417475727</v>
      </c>
      <c r="V152" s="4">
        <v>1.071823788123516</v>
      </c>
      <c r="W152" s="4" t="e">
        <v>#DIV/0!</v>
      </c>
      <c r="Y152" s="554">
        <v>6.42</v>
      </c>
      <c r="Z152" s="4">
        <v>16.64</v>
      </c>
      <c r="AA152" s="4">
        <v>5.05</v>
      </c>
      <c r="AB152" s="4">
        <v>17.260000000000002</v>
      </c>
      <c r="AC152" s="4">
        <v>21.48</v>
      </c>
      <c r="AD152" s="4">
        <v>17.989999999999998</v>
      </c>
      <c r="AF152" s="4">
        <v>1.2466019417475727</v>
      </c>
      <c r="AG152" s="4">
        <v>0.78342749529190214</v>
      </c>
      <c r="AH152" s="4">
        <v>0.66622691292875991</v>
      </c>
      <c r="AI152" s="4">
        <v>0.73886986301369872</v>
      </c>
      <c r="AJ152" s="4">
        <v>0.85271933306867798</v>
      </c>
      <c r="AK152" s="4">
        <v>0.80999549752363786</v>
      </c>
      <c r="AM152" s="556">
        <v>45785</v>
      </c>
      <c r="AN152" s="557">
        <v>3.6349999999999998</v>
      </c>
      <c r="AO152" s="557">
        <v>226700</v>
      </c>
      <c r="AP152" s="557">
        <v>103.18898</v>
      </c>
      <c r="AQ152" s="557">
        <v>375.09194229999997</v>
      </c>
      <c r="AR152" s="557">
        <v>2.0183</v>
      </c>
    </row>
    <row r="153" spans="2:44">
      <c r="B153" s="558">
        <v>44897</v>
      </c>
      <c r="C153" s="554">
        <v>6.0833000000000004</v>
      </c>
      <c r="D153" s="554">
        <v>19.907399999999999</v>
      </c>
      <c r="E153" s="554">
        <v>6.3616000000000001</v>
      </c>
      <c r="F153" s="554">
        <v>6.7019000000000002</v>
      </c>
      <c r="G153" s="554">
        <v>14.030799999999999</v>
      </c>
      <c r="H153" s="554">
        <v>0</v>
      </c>
      <c r="I153" s="558">
        <v>44897</v>
      </c>
      <c r="J153" s="554">
        <v>3.1541999999999999</v>
      </c>
      <c r="K153" s="554">
        <v>16.371600000000001</v>
      </c>
      <c r="L153" s="554">
        <v>4.7378</v>
      </c>
      <c r="M153" s="554">
        <v>4.2225000000000001</v>
      </c>
      <c r="N153" s="554">
        <v>17.88</v>
      </c>
      <c r="O153" s="554">
        <v>0</v>
      </c>
      <c r="P153" s="554"/>
      <c r="Q153" s="558">
        <v>44897</v>
      </c>
      <c r="R153" s="4">
        <v>6.42</v>
      </c>
      <c r="S153" s="4">
        <v>116160.35</v>
      </c>
      <c r="T153" s="4">
        <v>0</v>
      </c>
      <c r="U153" s="4">
        <v>1.2466019417475727</v>
      </c>
      <c r="V153" s="4">
        <v>1.071823788123516</v>
      </c>
      <c r="W153" s="4" t="e">
        <v>#DIV/0!</v>
      </c>
      <c r="Y153" s="554">
        <v>6.42</v>
      </c>
      <c r="Z153" s="4">
        <v>17.78</v>
      </c>
      <c r="AA153" s="4">
        <v>5.57</v>
      </c>
      <c r="AB153" s="4">
        <v>17.96</v>
      </c>
      <c r="AC153" s="4">
        <v>22.6</v>
      </c>
      <c r="AD153" s="4">
        <v>18.920000000000002</v>
      </c>
      <c r="AF153" s="4">
        <v>1.2466019417475727</v>
      </c>
      <c r="AG153" s="4">
        <v>0.83709981167608294</v>
      </c>
      <c r="AH153" s="4">
        <v>0.73482849604221634</v>
      </c>
      <c r="AI153" s="4">
        <v>0.76883561643835618</v>
      </c>
      <c r="AJ153" s="4">
        <v>0.89718142119888844</v>
      </c>
      <c r="AK153" s="4">
        <v>0.85186852769022969</v>
      </c>
      <c r="AM153" s="556">
        <v>45784</v>
      </c>
      <c r="AN153" s="557">
        <v>3.66</v>
      </c>
      <c r="AO153" s="557">
        <v>512200</v>
      </c>
      <c r="AP153" s="557">
        <v>103.18898</v>
      </c>
      <c r="AQ153" s="557">
        <v>377.67166680000003</v>
      </c>
      <c r="AR153" s="557">
        <v>2.0461999999999998</v>
      </c>
    </row>
    <row r="154" spans="2:44">
      <c r="B154" s="558">
        <v>44890</v>
      </c>
      <c r="C154" s="554">
        <v>5.9413999999999998</v>
      </c>
      <c r="D154" s="554">
        <v>19.939499999999999</v>
      </c>
      <c r="E154" s="554">
        <v>6.3216000000000001</v>
      </c>
      <c r="F154" s="554">
        <v>6.7244999999999999</v>
      </c>
      <c r="G154" s="554">
        <v>14.030799999999999</v>
      </c>
      <c r="H154" s="554">
        <v>0</v>
      </c>
      <c r="I154" s="558">
        <v>44890</v>
      </c>
      <c r="J154" s="554">
        <v>2.8784000000000001</v>
      </c>
      <c r="K154" s="554">
        <v>16.4084</v>
      </c>
      <c r="L154" s="554">
        <v>4.6867999999999999</v>
      </c>
      <c r="M154" s="554">
        <v>4.2483000000000004</v>
      </c>
      <c r="N154" s="554">
        <v>17.88</v>
      </c>
      <c r="O154" s="554">
        <v>0</v>
      </c>
      <c r="P154" s="554"/>
      <c r="Q154" s="558">
        <v>44890</v>
      </c>
      <c r="R154" s="4">
        <v>5.88</v>
      </c>
      <c r="S154" s="4">
        <v>116928.66</v>
      </c>
      <c r="T154" s="4">
        <v>0</v>
      </c>
      <c r="U154" s="4">
        <v>1.141747572815534</v>
      </c>
      <c r="V154" s="4">
        <v>1.0789130654427834</v>
      </c>
      <c r="W154" s="4" t="e">
        <v>#DIV/0!</v>
      </c>
      <c r="Y154" s="554">
        <v>5.88</v>
      </c>
      <c r="Z154" s="4">
        <v>17.82</v>
      </c>
      <c r="AA154" s="4">
        <v>5.51</v>
      </c>
      <c r="AB154" s="4">
        <v>18.07</v>
      </c>
      <c r="AC154" s="4">
        <v>22.6</v>
      </c>
      <c r="AD154" s="4">
        <v>18.36</v>
      </c>
      <c r="AF154" s="4">
        <v>1.141747572815534</v>
      </c>
      <c r="AG154" s="4">
        <v>0.83898305084745772</v>
      </c>
      <c r="AH154" s="4">
        <v>0.72691292875989444</v>
      </c>
      <c r="AI154" s="4">
        <v>0.7735445205479452</v>
      </c>
      <c r="AJ154" s="4">
        <v>0.89718142119888844</v>
      </c>
      <c r="AK154" s="4">
        <v>0.82665466006303456</v>
      </c>
      <c r="AM154" s="556">
        <v>45783</v>
      </c>
      <c r="AN154" s="557">
        <v>3.66</v>
      </c>
      <c r="AO154" s="557">
        <v>512200</v>
      </c>
      <c r="AP154" s="557">
        <v>103.18898</v>
      </c>
      <c r="AQ154" s="557">
        <v>377.67166680000003</v>
      </c>
      <c r="AR154" s="557">
        <v>2.0461999999999998</v>
      </c>
    </row>
    <row r="155" spans="2:44">
      <c r="B155" s="558">
        <v>44883</v>
      </c>
      <c r="C155" s="554">
        <v>6.1483999999999996</v>
      </c>
      <c r="D155" s="554">
        <v>19.602</v>
      </c>
      <c r="E155" s="554">
        <v>6.3415999999999997</v>
      </c>
      <c r="F155" s="554">
        <v>6.6607000000000003</v>
      </c>
      <c r="G155" s="554">
        <v>13.824299999999999</v>
      </c>
      <c r="H155" s="554">
        <v>0</v>
      </c>
      <c r="I155" s="558">
        <v>44883</v>
      </c>
      <c r="J155" s="554">
        <v>3.2806000000000002</v>
      </c>
      <c r="K155" s="554">
        <v>16.021699999999999</v>
      </c>
      <c r="L155" s="554">
        <v>4.7122999999999999</v>
      </c>
      <c r="M155" s="554">
        <v>4.1755000000000004</v>
      </c>
      <c r="N155" s="554">
        <v>17.555599999999998</v>
      </c>
      <c r="O155" s="554">
        <v>0</v>
      </c>
      <c r="P155" s="554"/>
      <c r="Q155" s="558">
        <v>44883</v>
      </c>
      <c r="R155" s="4">
        <v>5.66</v>
      </c>
      <c r="S155" s="4">
        <v>114625.59</v>
      </c>
      <c r="T155" s="4">
        <v>0</v>
      </c>
      <c r="U155" s="4">
        <v>1.0990291262135923</v>
      </c>
      <c r="V155" s="4">
        <v>1.0576623959009506</v>
      </c>
      <c r="W155" s="4" t="e">
        <v>#DIV/0!</v>
      </c>
      <c r="Y155" s="554">
        <v>5.66</v>
      </c>
      <c r="Z155" s="4">
        <v>17.399999999999999</v>
      </c>
      <c r="AA155" s="4">
        <v>5.54</v>
      </c>
      <c r="AB155" s="4">
        <v>17.760000000000002</v>
      </c>
      <c r="AC155" s="4">
        <v>22.19</v>
      </c>
      <c r="AD155" s="4">
        <v>17.829999999999998</v>
      </c>
      <c r="AF155" s="4">
        <v>1.0990291262135923</v>
      </c>
      <c r="AG155" s="4">
        <v>0.8192090395480226</v>
      </c>
      <c r="AH155" s="4">
        <v>0.73087071240105539</v>
      </c>
      <c r="AI155" s="4">
        <v>0.76027397260273977</v>
      </c>
      <c r="AJ155" s="4">
        <v>0.88090512107979357</v>
      </c>
      <c r="AK155" s="4">
        <v>0.80279153534443937</v>
      </c>
      <c r="AM155" s="556">
        <v>45782</v>
      </c>
      <c r="AN155" s="557">
        <v>3.66</v>
      </c>
      <c r="AO155" s="557">
        <v>512200</v>
      </c>
      <c r="AP155" s="557">
        <v>103.18898</v>
      </c>
      <c r="AQ155" s="557">
        <v>377.67166680000003</v>
      </c>
      <c r="AR155" s="557">
        <v>2.0461999999999998</v>
      </c>
    </row>
    <row r="156" spans="2:44">
      <c r="B156" s="558">
        <v>44876</v>
      </c>
      <c r="C156" s="554">
        <v>6.3464999999999998</v>
      </c>
      <c r="D156" s="554">
        <v>20.236799999999999</v>
      </c>
      <c r="E156" s="554">
        <v>6.7420999999999998</v>
      </c>
      <c r="F156" s="554">
        <v>6.9816000000000003</v>
      </c>
      <c r="G156" s="554">
        <v>14.1366</v>
      </c>
      <c r="H156" s="554">
        <v>0</v>
      </c>
      <c r="I156" s="558">
        <v>44876</v>
      </c>
      <c r="J156" s="554">
        <v>3.6655000000000002</v>
      </c>
      <c r="K156" s="554">
        <v>16.749099999999999</v>
      </c>
      <c r="L156" s="554">
        <v>5.2226999999999997</v>
      </c>
      <c r="M156" s="554">
        <v>4.5422000000000002</v>
      </c>
      <c r="N156" s="554">
        <v>18.046199999999999</v>
      </c>
      <c r="O156" s="554">
        <v>0</v>
      </c>
      <c r="P156" s="554"/>
      <c r="Q156" s="558">
        <v>44876</v>
      </c>
      <c r="R156" s="4">
        <v>5.65</v>
      </c>
      <c r="S156" s="4">
        <v>115743.07</v>
      </c>
      <c r="T156" s="4">
        <v>0</v>
      </c>
      <c r="U156" s="4">
        <v>1.0970873786407767</v>
      </c>
      <c r="V156" s="4">
        <v>1.0679735015988268</v>
      </c>
      <c r="W156" s="4" t="e">
        <v>#DIV/0!</v>
      </c>
      <c r="Y156" s="554">
        <v>5.65</v>
      </c>
      <c r="Z156" s="4">
        <v>18.190000000000001</v>
      </c>
      <c r="AA156" s="4">
        <v>6.14</v>
      </c>
      <c r="AB156" s="4">
        <v>19.32</v>
      </c>
      <c r="AC156" s="4">
        <v>22.81</v>
      </c>
      <c r="AD156" s="4">
        <v>18.47</v>
      </c>
      <c r="AF156" s="4">
        <v>1.0970873786407767</v>
      </c>
      <c r="AG156" s="4">
        <v>0.85640301318267431</v>
      </c>
      <c r="AH156" s="4">
        <v>0.81002638522427439</v>
      </c>
      <c r="AI156" s="4">
        <v>0.82705479452054798</v>
      </c>
      <c r="AJ156" s="4">
        <v>0.90551806272330282</v>
      </c>
      <c r="AK156" s="4">
        <v>0.83160738406123358</v>
      </c>
      <c r="AM156" s="556">
        <v>45781</v>
      </c>
      <c r="AN156" s="557">
        <v>3.41</v>
      </c>
      <c r="AO156" s="557">
        <v>511300</v>
      </c>
      <c r="AP156" s="557">
        <v>103.18898</v>
      </c>
      <c r="AQ156" s="557">
        <v>351.87442179999999</v>
      </c>
      <c r="AR156" s="557">
        <v>1.9012</v>
      </c>
    </row>
    <row r="157" spans="2:44">
      <c r="B157" s="558">
        <v>44869</v>
      </c>
      <c r="C157" s="554">
        <v>6.3109999999999999</v>
      </c>
      <c r="D157" s="554">
        <v>23.611899999999999</v>
      </c>
      <c r="E157" s="554">
        <v>7.5631000000000004</v>
      </c>
      <c r="F157" s="554">
        <v>7.7140000000000004</v>
      </c>
      <c r="G157" s="554">
        <v>16.151499999999999</v>
      </c>
      <c r="H157" s="554">
        <v>0</v>
      </c>
      <c r="I157" s="558">
        <v>44869</v>
      </c>
      <c r="J157" s="554">
        <v>3.5966</v>
      </c>
      <c r="K157" s="554">
        <v>20.616399999999999</v>
      </c>
      <c r="L157" s="554">
        <v>6.2689000000000004</v>
      </c>
      <c r="M157" s="554">
        <v>5.3792</v>
      </c>
      <c r="N157" s="554">
        <v>21.210799999999999</v>
      </c>
      <c r="O157" s="554">
        <v>0</v>
      </c>
      <c r="P157" s="554"/>
      <c r="Q157" s="558">
        <v>44869</v>
      </c>
      <c r="R157" s="4">
        <v>5.66</v>
      </c>
      <c r="S157" s="4">
        <v>114827.12</v>
      </c>
      <c r="T157" s="4">
        <v>0</v>
      </c>
      <c r="U157" s="4">
        <v>1.0990291262135923</v>
      </c>
      <c r="V157" s="4">
        <v>1.0595219344441844</v>
      </c>
      <c r="W157" s="4" t="e">
        <v>#DIV/0!</v>
      </c>
      <c r="Y157" s="554">
        <v>5.66</v>
      </c>
      <c r="Z157" s="4">
        <v>22.39</v>
      </c>
      <c r="AA157" s="4">
        <v>7.37</v>
      </c>
      <c r="AB157" s="4">
        <v>22.88</v>
      </c>
      <c r="AC157" s="4">
        <v>26.81</v>
      </c>
      <c r="AD157" s="4">
        <v>22.1</v>
      </c>
      <c r="AF157" s="4">
        <v>1.0990291262135923</v>
      </c>
      <c r="AG157" s="4">
        <v>1.0541431261770247</v>
      </c>
      <c r="AH157" s="4">
        <v>0.97229551451187335</v>
      </c>
      <c r="AI157" s="4">
        <v>0.97945205479452058</v>
      </c>
      <c r="AJ157" s="4">
        <v>1.0643112346169115</v>
      </c>
      <c r="AK157" s="4">
        <v>0.99504727600180098</v>
      </c>
      <c r="AM157" s="556">
        <v>45780</v>
      </c>
      <c r="AN157" s="557">
        <v>3.61</v>
      </c>
      <c r="AO157" s="557">
        <v>753800</v>
      </c>
      <c r="AP157" s="557">
        <v>103.18898</v>
      </c>
      <c r="AQ157" s="557">
        <v>372.51221779999997</v>
      </c>
      <c r="AR157" s="557">
        <v>2.0350000000000001</v>
      </c>
    </row>
    <row r="158" spans="2:44">
      <c r="B158" s="558">
        <v>44862</v>
      </c>
      <c r="C158" s="554">
        <v>6.2016</v>
      </c>
      <c r="D158" s="554">
        <v>22.3262</v>
      </c>
      <c r="E158" s="554">
        <v>7.3696000000000002</v>
      </c>
      <c r="F158" s="554">
        <v>7.6254999999999997</v>
      </c>
      <c r="G158" s="554">
        <v>15.048400000000001</v>
      </c>
      <c r="H158" s="554">
        <v>0</v>
      </c>
      <c r="I158" s="558">
        <v>44862</v>
      </c>
      <c r="J158" s="554">
        <v>3.3839999999999999</v>
      </c>
      <c r="K158" s="554">
        <v>19.1431</v>
      </c>
      <c r="L158" s="554">
        <v>6.0223000000000004</v>
      </c>
      <c r="M158" s="554">
        <v>5.2781000000000002</v>
      </c>
      <c r="N158" s="554">
        <v>19.478100000000001</v>
      </c>
      <c r="O158" s="554">
        <v>0</v>
      </c>
      <c r="P158" s="554"/>
      <c r="Q158" s="558">
        <v>44862</v>
      </c>
      <c r="R158" s="4">
        <v>5.4</v>
      </c>
      <c r="S158" s="4">
        <v>116230.12</v>
      </c>
      <c r="T158" s="4">
        <v>0</v>
      </c>
      <c r="U158" s="4">
        <v>1.0485436893203883</v>
      </c>
      <c r="V158" s="4">
        <v>1.0724675632644944</v>
      </c>
      <c r="W158" s="4" t="e">
        <v>#DIV/0!</v>
      </c>
      <c r="Y158" s="554">
        <v>5.4</v>
      </c>
      <c r="Z158" s="4">
        <v>20.79</v>
      </c>
      <c r="AA158" s="4">
        <v>7.08</v>
      </c>
      <c r="AB158" s="4">
        <v>22.45</v>
      </c>
      <c r="AC158" s="4">
        <v>24.62</v>
      </c>
      <c r="AD158" s="4">
        <v>20.9</v>
      </c>
      <c r="AF158" s="4">
        <v>1.0485436893203883</v>
      </c>
      <c r="AG158" s="4">
        <v>0.97881355932203395</v>
      </c>
      <c r="AH158" s="4">
        <v>0.93403693931398413</v>
      </c>
      <c r="AI158" s="4">
        <v>0.9610445205479452</v>
      </c>
      <c r="AJ158" s="4">
        <v>0.97737197300516077</v>
      </c>
      <c r="AK158" s="4">
        <v>0.94101755965781164</v>
      </c>
      <c r="AM158" s="556">
        <v>45779</v>
      </c>
      <c r="AN158" s="557">
        <v>3.4950000000000001</v>
      </c>
      <c r="AO158" s="557">
        <v>1037900</v>
      </c>
      <c r="AP158" s="557">
        <v>103.18898</v>
      </c>
      <c r="AQ158" s="557">
        <v>360.64548510000003</v>
      </c>
      <c r="AR158" s="557">
        <v>1.9458</v>
      </c>
    </row>
    <row r="159" spans="2:44">
      <c r="B159" s="558">
        <v>44855</v>
      </c>
      <c r="C159" s="554">
        <v>6.0862999999999996</v>
      </c>
      <c r="D159" s="554">
        <v>22.687799999999999</v>
      </c>
      <c r="E159" s="554">
        <v>7.7032999999999996</v>
      </c>
      <c r="F159" s="554">
        <v>7.8127000000000004</v>
      </c>
      <c r="G159" s="554">
        <v>15.3355</v>
      </c>
      <c r="H159" s="554">
        <v>0</v>
      </c>
      <c r="I159" s="558">
        <v>44855</v>
      </c>
      <c r="J159" s="554">
        <v>3.1598999999999999</v>
      </c>
      <c r="K159" s="554">
        <v>19.557500000000001</v>
      </c>
      <c r="L159" s="554">
        <v>6.4476000000000004</v>
      </c>
      <c r="M159" s="554">
        <v>5.492</v>
      </c>
      <c r="N159" s="554">
        <v>19.929099999999998</v>
      </c>
      <c r="O159" s="554">
        <v>0</v>
      </c>
      <c r="P159" s="554"/>
      <c r="Q159" s="558">
        <v>44855</v>
      </c>
      <c r="R159" s="4">
        <v>5.15</v>
      </c>
      <c r="S159" s="4">
        <v>108376.35</v>
      </c>
      <c r="T159" s="4">
        <v>0</v>
      </c>
      <c r="U159" s="4">
        <v>1</v>
      </c>
      <c r="V159" s="4">
        <v>1</v>
      </c>
      <c r="W159" s="4" t="e">
        <v>#DIV/0!</v>
      </c>
      <c r="Y159" s="554">
        <v>5.15</v>
      </c>
      <c r="Z159" s="4">
        <v>21.24</v>
      </c>
      <c r="AA159" s="4">
        <v>7.58</v>
      </c>
      <c r="AB159" s="4">
        <v>23.36</v>
      </c>
      <c r="AC159" s="4">
        <v>25.19</v>
      </c>
      <c r="AD159" s="4">
        <v>22.21</v>
      </c>
      <c r="AF159" s="4">
        <v>1</v>
      </c>
      <c r="AG159" s="4">
        <v>1</v>
      </c>
      <c r="AH159" s="4">
        <v>1</v>
      </c>
      <c r="AI159" s="4">
        <v>1</v>
      </c>
      <c r="AJ159" s="4">
        <v>1</v>
      </c>
      <c r="AK159" s="4">
        <v>1</v>
      </c>
      <c r="AM159" s="556">
        <v>45778</v>
      </c>
      <c r="AN159" s="557">
        <v>3.395</v>
      </c>
      <c r="AO159" s="557">
        <v>481100</v>
      </c>
      <c r="AP159" s="557">
        <v>103.18898</v>
      </c>
      <c r="AQ159" s="557">
        <v>350.32658709999998</v>
      </c>
      <c r="AR159" s="557">
        <v>1.8845000000000001</v>
      </c>
    </row>
    <row r="160" spans="2:44">
      <c r="B160" s="558">
        <v>44848</v>
      </c>
      <c r="I160" s="558">
        <v>44848</v>
      </c>
      <c r="Q160" s="558">
        <v>44848</v>
      </c>
      <c r="R160" s="4">
        <v>5</v>
      </c>
      <c r="S160" s="4">
        <v>112516.91</v>
      </c>
      <c r="T160" s="4">
        <v>0</v>
      </c>
      <c r="AM160" s="556">
        <v>45777</v>
      </c>
      <c r="AN160" s="557">
        <v>3.4249999999999998</v>
      </c>
      <c r="AO160" s="557">
        <v>372400</v>
      </c>
      <c r="AP160" s="557">
        <v>103.18898</v>
      </c>
      <c r="AQ160" s="557">
        <v>353.4222565</v>
      </c>
      <c r="AR160" s="557">
        <v>1.9068000000000001</v>
      </c>
    </row>
    <row r="161" spans="2:44">
      <c r="B161" s="558">
        <v>44841</v>
      </c>
      <c r="I161" s="558">
        <v>44841</v>
      </c>
      <c r="Q161" s="558">
        <v>44841</v>
      </c>
      <c r="R161" s="4">
        <v>5.19</v>
      </c>
      <c r="S161" s="4">
        <v>110793.96</v>
      </c>
      <c r="T161" s="4">
        <v>0</v>
      </c>
      <c r="AM161" s="556">
        <v>45776</v>
      </c>
      <c r="AN161" s="557">
        <v>3.4249999999999998</v>
      </c>
      <c r="AO161" s="557">
        <v>372400</v>
      </c>
      <c r="AP161" s="557">
        <v>103.18898</v>
      </c>
      <c r="AQ161" s="557">
        <v>353.4222565</v>
      </c>
      <c r="AR161" s="557">
        <v>1.9068000000000001</v>
      </c>
    </row>
    <row r="162" spans="2:44">
      <c r="B162" s="558">
        <v>44834</v>
      </c>
      <c r="I162" s="558">
        <v>44834</v>
      </c>
      <c r="Q162" s="558">
        <v>44834</v>
      </c>
      <c r="R162" s="4">
        <v>5.05</v>
      </c>
      <c r="S162" s="4">
        <v>109763.77</v>
      </c>
      <c r="T162" s="4">
        <v>0</v>
      </c>
      <c r="AM162" s="556">
        <v>45775</v>
      </c>
      <c r="AN162" s="557">
        <v>3.4249999999999998</v>
      </c>
      <c r="AO162" s="557">
        <v>372400</v>
      </c>
      <c r="AP162" s="557">
        <v>103.18898</v>
      </c>
      <c r="AQ162" s="557">
        <v>353.4222565</v>
      </c>
      <c r="AR162" s="557">
        <v>1.9068000000000001</v>
      </c>
    </row>
    <row r="163" spans="2:44">
      <c r="AM163" s="556">
        <v>45774</v>
      </c>
      <c r="AN163" s="557">
        <v>3.585</v>
      </c>
      <c r="AO163" s="557">
        <v>385600</v>
      </c>
      <c r="AP163" s="557">
        <v>103.18898</v>
      </c>
      <c r="AQ163" s="557">
        <v>369.93249329999998</v>
      </c>
      <c r="AR163" s="557">
        <v>2.0015999999999998</v>
      </c>
    </row>
    <row r="164" spans="2:44">
      <c r="B164" s="374" t="s">
        <v>22</v>
      </c>
      <c r="C164" s="549"/>
      <c r="D164" s="23"/>
      <c r="E164" s="4">
        <v>1.4757670000000001</v>
      </c>
      <c r="F164" s="4" t="s">
        <v>779</v>
      </c>
      <c r="AM164" s="556">
        <v>45773</v>
      </c>
      <c r="AN164" s="557">
        <v>3.52</v>
      </c>
      <c r="AO164" s="557">
        <v>211100</v>
      </c>
      <c r="AP164" s="557">
        <v>103.18898</v>
      </c>
      <c r="AQ164" s="557">
        <v>363.22520960000003</v>
      </c>
      <c r="AR164" s="557">
        <v>1.9570000000000001</v>
      </c>
    </row>
    <row r="165" spans="2:44">
      <c r="B165" s="374" t="s">
        <v>23</v>
      </c>
      <c r="C165" s="23"/>
      <c r="D165" s="23"/>
      <c r="E165" s="4">
        <v>0.71768699999999996</v>
      </c>
      <c r="F165" s="4" t="s">
        <v>780</v>
      </c>
      <c r="AM165" s="556">
        <v>45772</v>
      </c>
      <c r="AN165" s="557">
        <v>3.4249999999999998</v>
      </c>
      <c r="AO165" s="557">
        <v>134900</v>
      </c>
      <c r="AP165" s="557">
        <v>103.18898</v>
      </c>
      <c r="AQ165" s="557">
        <v>353.4222565</v>
      </c>
      <c r="AR165" s="557">
        <v>1.9068000000000001</v>
      </c>
    </row>
    <row r="166" spans="2:44">
      <c r="B166" s="374" t="s">
        <v>24</v>
      </c>
      <c r="C166" s="23"/>
      <c r="D166" s="23"/>
      <c r="E166" s="4">
        <v>3.7902999999999998</v>
      </c>
      <c r="F166" s="4" t="s">
        <v>781</v>
      </c>
      <c r="AM166" s="556">
        <v>45771</v>
      </c>
      <c r="AN166" s="557">
        <v>3.3050000000000002</v>
      </c>
      <c r="AO166" s="557">
        <v>195100</v>
      </c>
      <c r="AP166" s="557">
        <v>103.18898</v>
      </c>
      <c r="AQ166" s="557">
        <v>341.03957890000004</v>
      </c>
      <c r="AR166" s="557">
        <v>1.8453999999999999</v>
      </c>
    </row>
    <row r="167" spans="2:44">
      <c r="B167" s="374"/>
      <c r="C167" s="23"/>
      <c r="D167" s="23"/>
      <c r="AM167" s="556">
        <v>45770</v>
      </c>
      <c r="AN167" s="557">
        <v>3.4550000000000001</v>
      </c>
      <c r="AO167" s="557">
        <v>340600</v>
      </c>
      <c r="AP167" s="557">
        <v>103.18898</v>
      </c>
      <c r="AQ167" s="557">
        <v>356.51792590000002</v>
      </c>
      <c r="AR167" s="557">
        <v>2.0209000000000001</v>
      </c>
    </row>
    <row r="168" spans="2:44">
      <c r="B168" s="374" t="s">
        <v>26</v>
      </c>
      <c r="C168" s="23"/>
      <c r="D168" s="23"/>
      <c r="E168" s="4">
        <v>576723.30000000005</v>
      </c>
      <c r="F168" s="4" t="s">
        <v>782</v>
      </c>
      <c r="AM168" s="556">
        <v>45769</v>
      </c>
      <c r="AN168" s="557">
        <v>3.4550000000000001</v>
      </c>
      <c r="AO168" s="557">
        <v>340600</v>
      </c>
      <c r="AP168" s="557">
        <v>103.18898</v>
      </c>
      <c r="AQ168" s="557">
        <v>356.51792590000002</v>
      </c>
      <c r="AR168" s="557">
        <v>2.0209000000000001</v>
      </c>
    </row>
    <row r="169" spans="2:44">
      <c r="B169" s="374" t="s">
        <v>552</v>
      </c>
      <c r="C169" s="23"/>
      <c r="D169" s="23"/>
      <c r="E169" s="4">
        <v>103.18899999999999</v>
      </c>
      <c r="F169" s="4" t="s">
        <v>783</v>
      </c>
      <c r="AM169" s="556">
        <v>45768</v>
      </c>
      <c r="AN169" s="557">
        <v>3.4550000000000001</v>
      </c>
      <c r="AO169" s="557">
        <v>340600</v>
      </c>
      <c r="AP169" s="557">
        <v>103.18898</v>
      </c>
      <c r="AQ169" s="557">
        <v>356.51792590000002</v>
      </c>
      <c r="AR169" s="557">
        <v>2.0209000000000001</v>
      </c>
    </row>
    <row r="170" spans="2:44">
      <c r="B170" s="374" t="s">
        <v>30</v>
      </c>
      <c r="C170" s="23"/>
      <c r="D170" s="23"/>
      <c r="E170" s="578">
        <v>0.47299999999999998</v>
      </c>
      <c r="F170" s="4" t="s">
        <v>784</v>
      </c>
      <c r="AM170" s="556">
        <v>45767</v>
      </c>
      <c r="AN170" s="557">
        <v>3.4049999999999998</v>
      </c>
      <c r="AO170" s="557">
        <v>569400</v>
      </c>
      <c r="AP170" s="557">
        <v>103.18898</v>
      </c>
      <c r="AQ170" s="557">
        <v>351.35847689999997</v>
      </c>
      <c r="AR170" s="557">
        <v>1.9801</v>
      </c>
    </row>
    <row r="171" spans="2:44">
      <c r="B171" s="374" t="s">
        <v>32</v>
      </c>
      <c r="C171" s="23"/>
      <c r="D171" s="23"/>
      <c r="E171" s="578" t="e">
        <v>#VALUE!</v>
      </c>
      <c r="F171" s="4" t="s">
        <v>785</v>
      </c>
      <c r="AM171" s="556">
        <v>45766</v>
      </c>
      <c r="AN171" s="557">
        <v>3.2650000000000001</v>
      </c>
      <c r="AO171" s="557">
        <v>148100</v>
      </c>
      <c r="AP171" s="557">
        <v>103.18898</v>
      </c>
      <c r="AQ171" s="557">
        <v>336.91201970000003</v>
      </c>
      <c r="AR171" s="557">
        <v>1.9044000000000001</v>
      </c>
    </row>
    <row r="172" spans="2:44">
      <c r="B172" s="374"/>
      <c r="C172" s="23"/>
      <c r="D172" s="23"/>
      <c r="AM172" s="556">
        <v>45765</v>
      </c>
      <c r="AN172" s="557">
        <v>3.32</v>
      </c>
      <c r="AO172" s="557">
        <v>218700</v>
      </c>
      <c r="AP172" s="557">
        <v>103.18898</v>
      </c>
      <c r="AQ172" s="557">
        <v>342.58741359999999</v>
      </c>
      <c r="AR172" s="557">
        <v>1.9393</v>
      </c>
    </row>
    <row r="173" spans="2:44">
      <c r="B173" s="374" t="s">
        <v>786</v>
      </c>
      <c r="C173" s="23"/>
      <c r="D173" s="23"/>
      <c r="E173" s="578">
        <v>3.4599993629165895E-2</v>
      </c>
      <c r="F173" s="4" t="s">
        <v>787</v>
      </c>
      <c r="AM173" s="556">
        <v>45764</v>
      </c>
      <c r="AN173" s="557">
        <v>3.2149999999999999</v>
      </c>
      <c r="AO173" s="557">
        <v>115700</v>
      </c>
      <c r="AP173" s="557">
        <v>103.18898</v>
      </c>
      <c r="AQ173" s="557">
        <v>331.75257069999998</v>
      </c>
      <c r="AR173" s="557">
        <v>1.8635999999999999</v>
      </c>
    </row>
    <row r="174" spans="2:44">
      <c r="B174" s="374" t="s">
        <v>36</v>
      </c>
      <c r="C174" s="23"/>
      <c r="D174" s="23"/>
      <c r="E174" s="578">
        <v>0.43506610236477788</v>
      </c>
      <c r="F174" s="4" t="s">
        <v>788</v>
      </c>
      <c r="AM174" s="556">
        <v>45763</v>
      </c>
      <c r="AN174" s="557">
        <v>3.2749999999999999</v>
      </c>
      <c r="AO174" s="557">
        <v>376000</v>
      </c>
      <c r="AP174" s="557">
        <v>103.18898</v>
      </c>
      <c r="AQ174" s="557">
        <v>337.94390950000002</v>
      </c>
      <c r="AR174" s="557">
        <v>1.8986000000000001</v>
      </c>
    </row>
    <row r="175" spans="2:44">
      <c r="AM175" s="556">
        <v>45762</v>
      </c>
      <c r="AN175" s="557">
        <v>3.2749999999999999</v>
      </c>
      <c r="AO175" s="557">
        <v>376000</v>
      </c>
      <c r="AP175" s="557">
        <v>103.18898</v>
      </c>
      <c r="AQ175" s="557">
        <v>337.94390950000002</v>
      </c>
      <c r="AR175" s="557">
        <v>1.8986000000000001</v>
      </c>
    </row>
    <row r="176" spans="2:44">
      <c r="B176" s="374"/>
      <c r="C176" s="23"/>
      <c r="D176" s="23"/>
      <c r="AM176" s="556">
        <v>45761</v>
      </c>
      <c r="AN176" s="557">
        <v>3.2749999999999999</v>
      </c>
      <c r="AO176" s="557">
        <v>376000</v>
      </c>
      <c r="AP176" s="557">
        <v>103.18898</v>
      </c>
      <c r="AQ176" s="557">
        <v>337.94390950000002</v>
      </c>
      <c r="AR176" s="557">
        <v>1.8986000000000001</v>
      </c>
    </row>
    <row r="177" spans="2:44">
      <c r="B177" s="374"/>
      <c r="C177" s="23"/>
      <c r="D177" s="23"/>
      <c r="E177" s="578"/>
      <c r="AM177" s="556">
        <v>45760</v>
      </c>
      <c r="AN177" s="557">
        <v>3.2850000000000001</v>
      </c>
      <c r="AO177" s="557">
        <v>207200</v>
      </c>
      <c r="AP177" s="557">
        <v>103.18898</v>
      </c>
      <c r="AQ177" s="557">
        <v>338.97579930000001</v>
      </c>
      <c r="AR177" s="557">
        <v>1.9101999999999999</v>
      </c>
    </row>
    <row r="178" spans="2:44">
      <c r="B178" s="374"/>
      <c r="C178" s="23"/>
      <c r="D178" s="23"/>
      <c r="E178" s="578"/>
      <c r="AM178" s="556">
        <v>45759</v>
      </c>
      <c r="AN178" s="557">
        <v>3.25</v>
      </c>
      <c r="AO178" s="557">
        <v>147600</v>
      </c>
      <c r="AP178" s="557">
        <v>103.18898</v>
      </c>
      <c r="AQ178" s="557">
        <v>335.36418500000002</v>
      </c>
      <c r="AR178" s="557">
        <v>1.8869</v>
      </c>
    </row>
    <row r="179" spans="2:44">
      <c r="B179" s="374"/>
      <c r="C179" s="23"/>
      <c r="D179" s="23"/>
      <c r="E179" s="578"/>
      <c r="AM179" s="556">
        <v>45758</v>
      </c>
      <c r="AN179" s="557">
        <v>3.165</v>
      </c>
      <c r="AO179" s="557">
        <v>348700</v>
      </c>
      <c r="AP179" s="557">
        <v>103.18898</v>
      </c>
      <c r="AQ179" s="557">
        <v>326.59312169999998</v>
      </c>
      <c r="AR179" s="557">
        <v>1.8403</v>
      </c>
    </row>
    <row r="180" spans="2:44">
      <c r="AM180" s="556">
        <v>45757</v>
      </c>
      <c r="AN180" s="557">
        <v>3.27</v>
      </c>
      <c r="AO180" s="557">
        <v>1000500</v>
      </c>
      <c r="AP180" s="557">
        <v>103.18898</v>
      </c>
      <c r="AQ180" s="557">
        <v>337.4279646</v>
      </c>
      <c r="AR180" s="557">
        <v>1.8927</v>
      </c>
    </row>
    <row r="181" spans="2:44">
      <c r="AM181" s="556">
        <v>45756</v>
      </c>
      <c r="AN181" s="557">
        <v>3.0049999999999999</v>
      </c>
      <c r="AO181" s="557">
        <v>542900</v>
      </c>
      <c r="AP181" s="557">
        <v>103.18898</v>
      </c>
      <c r="AQ181" s="557">
        <v>310.08288490000001</v>
      </c>
      <c r="AR181" s="557">
        <v>1.7471000000000001</v>
      </c>
    </row>
    <row r="182" spans="2:44">
      <c r="AM182" s="556">
        <v>45755</v>
      </c>
      <c r="AN182" s="557">
        <v>3.0049999999999999</v>
      </c>
      <c r="AO182" s="557">
        <v>542900</v>
      </c>
      <c r="AP182" s="557">
        <v>103.18898</v>
      </c>
      <c r="AQ182" s="557">
        <v>310.08288490000001</v>
      </c>
      <c r="AR182" s="557">
        <v>1.7471000000000001</v>
      </c>
    </row>
    <row r="183" spans="2:44">
      <c r="AM183" s="556">
        <v>45754</v>
      </c>
      <c r="AN183" s="557">
        <v>3.0049999999999999</v>
      </c>
      <c r="AO183" s="557">
        <v>542900</v>
      </c>
      <c r="AP183" s="557">
        <v>103.18898</v>
      </c>
      <c r="AQ183" s="557">
        <v>310.08288490000001</v>
      </c>
      <c r="AR183" s="557">
        <v>1.7471000000000001</v>
      </c>
    </row>
    <row r="184" spans="2:44">
      <c r="AM184" s="556">
        <v>45753</v>
      </c>
      <c r="AN184" s="557">
        <v>2.84</v>
      </c>
      <c r="AO184" s="557">
        <v>357100</v>
      </c>
      <c r="AP184" s="557">
        <v>103.18898</v>
      </c>
      <c r="AQ184" s="557">
        <v>293.05670320000002</v>
      </c>
      <c r="AR184" s="557">
        <v>1.6423000000000001</v>
      </c>
    </row>
    <row r="185" spans="2:44">
      <c r="AM185" s="556">
        <v>45752</v>
      </c>
      <c r="AN185" s="557">
        <v>2.9449999999999998</v>
      </c>
      <c r="AO185" s="557">
        <v>529000</v>
      </c>
      <c r="AP185" s="557">
        <v>103.18898</v>
      </c>
      <c r="AQ185" s="557">
        <v>303.89154609999997</v>
      </c>
      <c r="AR185" s="557">
        <v>1.7297</v>
      </c>
    </row>
    <row r="186" spans="2:44">
      <c r="AM186" s="556">
        <v>45751</v>
      </c>
      <c r="AN186" s="557">
        <v>2.8250000000000002</v>
      </c>
      <c r="AO186" s="557">
        <v>469700</v>
      </c>
      <c r="AP186" s="557">
        <v>103.18898</v>
      </c>
      <c r="AQ186" s="557">
        <v>291.50886850000001</v>
      </c>
      <c r="AR186" s="557">
        <v>1.6365000000000001</v>
      </c>
    </row>
    <row r="187" spans="2:44">
      <c r="AM187" s="556">
        <v>45750</v>
      </c>
      <c r="AN187" s="557">
        <v>2.6549999999999998</v>
      </c>
      <c r="AO187" s="557">
        <v>207300</v>
      </c>
      <c r="AP187" s="557">
        <v>103.18898</v>
      </c>
      <c r="AQ187" s="557">
        <v>273.96674189999999</v>
      </c>
      <c r="AR187" s="557">
        <v>1.5490999999999999</v>
      </c>
    </row>
    <row r="188" spans="2:44">
      <c r="AM188" s="556">
        <v>45749</v>
      </c>
      <c r="AN188" s="557">
        <v>2.7050000000000001</v>
      </c>
      <c r="AO188" s="557">
        <v>312900</v>
      </c>
      <c r="AP188" s="557">
        <v>103.18898</v>
      </c>
      <c r="AQ188" s="557">
        <v>279.12619089999998</v>
      </c>
      <c r="AR188" s="557">
        <v>1.5666</v>
      </c>
    </row>
    <row r="189" spans="2:44">
      <c r="AM189" s="556">
        <v>45748</v>
      </c>
      <c r="AN189" s="557">
        <v>2.7050000000000001</v>
      </c>
      <c r="AO189" s="557">
        <v>312900</v>
      </c>
      <c r="AP189" s="557">
        <v>103.18898</v>
      </c>
      <c r="AQ189" s="557">
        <v>279.12619089999998</v>
      </c>
      <c r="AR189" s="557">
        <v>1.5666</v>
      </c>
    </row>
    <row r="190" spans="2:44">
      <c r="AM190" s="556">
        <v>45747</v>
      </c>
      <c r="AN190" s="557">
        <v>2.7050000000000001</v>
      </c>
      <c r="AO190" s="557">
        <v>312900</v>
      </c>
      <c r="AP190" s="557">
        <v>103.18898</v>
      </c>
      <c r="AQ190" s="557">
        <v>279.12619089999998</v>
      </c>
      <c r="AR190" s="557">
        <v>1.5666</v>
      </c>
    </row>
    <row r="191" spans="2:44">
      <c r="AM191" s="556">
        <v>45746</v>
      </c>
      <c r="AN191" s="557">
        <v>2.63</v>
      </c>
      <c r="AO191" s="557">
        <v>673600</v>
      </c>
      <c r="AP191" s="557">
        <v>103.18898</v>
      </c>
      <c r="AQ191" s="557">
        <v>271.38701739999999</v>
      </c>
      <c r="AR191" s="557">
        <v>1.52</v>
      </c>
    </row>
    <row r="192" spans="2:44">
      <c r="AM192" s="556">
        <v>45745</v>
      </c>
      <c r="AN192" s="557">
        <v>2.68</v>
      </c>
      <c r="AO192" s="557">
        <v>287700</v>
      </c>
      <c r="AP192" s="557">
        <v>103.18898</v>
      </c>
      <c r="AQ192" s="557">
        <v>276.54646640000004</v>
      </c>
      <c r="AR192" s="557">
        <v>1.5549999999999999</v>
      </c>
    </row>
    <row r="193" spans="39:44">
      <c r="AM193" s="556">
        <v>45744</v>
      </c>
      <c r="AN193" s="557">
        <v>2.77</v>
      </c>
      <c r="AO193" s="557">
        <v>617600</v>
      </c>
      <c r="AP193" s="557">
        <v>103.18898</v>
      </c>
      <c r="AQ193" s="557">
        <v>285.83347459999999</v>
      </c>
      <c r="AR193" s="557">
        <v>1.5956999999999999</v>
      </c>
    </row>
    <row r="194" spans="39:44">
      <c r="AM194" s="556">
        <v>45743</v>
      </c>
      <c r="AN194" s="557">
        <v>2.77</v>
      </c>
      <c r="AO194" s="557">
        <v>617600</v>
      </c>
      <c r="AP194" s="557">
        <v>103.18898</v>
      </c>
      <c r="AQ194" s="557">
        <v>285.83347459999999</v>
      </c>
      <c r="AR194" s="557">
        <v>1.5956999999999999</v>
      </c>
    </row>
    <row r="195" spans="39:44">
      <c r="AM195" s="556">
        <v>45742</v>
      </c>
      <c r="AN195" s="557">
        <v>2.77</v>
      </c>
      <c r="AO195" s="557">
        <v>617600</v>
      </c>
      <c r="AP195" s="557">
        <v>103.18898</v>
      </c>
      <c r="AQ195" s="557">
        <v>285.83347459999999</v>
      </c>
      <c r="AR195" s="557">
        <v>1.5956999999999999</v>
      </c>
    </row>
    <row r="196" spans="39:44">
      <c r="AM196" s="556">
        <v>45741</v>
      </c>
      <c r="AN196" s="557">
        <v>2.77</v>
      </c>
      <c r="AO196" s="557">
        <v>617600</v>
      </c>
      <c r="AP196" s="557">
        <v>103.18898</v>
      </c>
      <c r="AQ196" s="557">
        <v>285.83347459999999</v>
      </c>
      <c r="AR196" s="557">
        <v>1.5956999999999999</v>
      </c>
    </row>
    <row r="197" spans="39:44">
      <c r="AM197" s="556">
        <v>45740</v>
      </c>
      <c r="AN197" s="557">
        <v>2.77</v>
      </c>
      <c r="AO197" s="557">
        <v>617600</v>
      </c>
      <c r="AP197" s="557">
        <v>103.18898</v>
      </c>
      <c r="AQ197" s="557">
        <v>285.83347459999999</v>
      </c>
      <c r="AR197" s="557">
        <v>1.5956999999999999</v>
      </c>
    </row>
    <row r="198" spans="39:44">
      <c r="AM198" s="556">
        <v>45739</v>
      </c>
      <c r="AN198" s="557">
        <v>2.81</v>
      </c>
      <c r="AO198" s="557">
        <v>346200</v>
      </c>
      <c r="AP198" s="557">
        <v>103.18898</v>
      </c>
      <c r="AQ198" s="557">
        <v>289.9610338</v>
      </c>
      <c r="AR198" s="557">
        <v>1.6248</v>
      </c>
    </row>
    <row r="199" spans="39:44">
      <c r="AM199" s="556">
        <v>45738</v>
      </c>
      <c r="AN199" s="557">
        <v>2.81</v>
      </c>
      <c r="AO199" s="557">
        <v>229800</v>
      </c>
      <c r="AP199" s="557">
        <v>103.18898</v>
      </c>
      <c r="AQ199" s="557">
        <v>289.9610338</v>
      </c>
      <c r="AR199" s="557">
        <v>1.6307</v>
      </c>
    </row>
    <row r="200" spans="39:44">
      <c r="AM200" s="556">
        <v>45737</v>
      </c>
      <c r="AN200" s="557">
        <v>2.855</v>
      </c>
      <c r="AO200" s="557">
        <v>399900</v>
      </c>
      <c r="AP200" s="557">
        <v>103.18898</v>
      </c>
      <c r="AQ200" s="557">
        <v>294.60453790000003</v>
      </c>
      <c r="AR200" s="557">
        <v>1.6597999999999999</v>
      </c>
    </row>
    <row r="201" spans="39:44">
      <c r="AM201" s="556">
        <v>45736</v>
      </c>
      <c r="AN201" s="557">
        <v>2.88</v>
      </c>
      <c r="AO201" s="557">
        <v>183300</v>
      </c>
      <c r="AP201" s="557">
        <v>103.18898</v>
      </c>
      <c r="AQ201" s="557">
        <v>297.18426239999997</v>
      </c>
      <c r="AR201" s="557">
        <v>1.6714</v>
      </c>
    </row>
    <row r="202" spans="39:44">
      <c r="AM202" s="556">
        <v>45735</v>
      </c>
      <c r="AN202" s="557">
        <v>2.95</v>
      </c>
      <c r="AO202" s="557">
        <v>247100</v>
      </c>
      <c r="AP202" s="557">
        <v>103.18898</v>
      </c>
      <c r="AQ202" s="557">
        <v>304.40749099999999</v>
      </c>
      <c r="AR202" s="557">
        <v>1.7239</v>
      </c>
    </row>
    <row r="203" spans="39:44">
      <c r="AM203" s="556">
        <v>45734</v>
      </c>
      <c r="AN203" s="557">
        <v>2.95</v>
      </c>
      <c r="AO203" s="557">
        <v>247100</v>
      </c>
      <c r="AP203" s="557">
        <v>103.18898</v>
      </c>
      <c r="AQ203" s="557">
        <v>304.40749099999999</v>
      </c>
      <c r="AR203" s="557">
        <v>1.7239</v>
      </c>
    </row>
    <row r="204" spans="39:44">
      <c r="AM204" s="556">
        <v>45733</v>
      </c>
      <c r="AN204" s="557">
        <v>2.95</v>
      </c>
      <c r="AO204" s="557">
        <v>247100</v>
      </c>
      <c r="AP204" s="557">
        <v>103.18898</v>
      </c>
      <c r="AQ204" s="557">
        <v>304.40749099999999</v>
      </c>
      <c r="AR204" s="557">
        <v>1.7239</v>
      </c>
    </row>
    <row r="205" spans="39:44">
      <c r="AM205" s="556">
        <v>45732</v>
      </c>
      <c r="AN205" s="557">
        <v>2.97</v>
      </c>
      <c r="AO205" s="557">
        <v>428100</v>
      </c>
      <c r="AP205" s="557">
        <v>103.18898</v>
      </c>
      <c r="AQ205" s="557">
        <v>306.47127060000003</v>
      </c>
      <c r="AR205" s="557">
        <v>1.7239</v>
      </c>
    </row>
    <row r="206" spans="39:44">
      <c r="AM206" s="556">
        <v>45731</v>
      </c>
      <c r="AN206" s="557">
        <v>3.05</v>
      </c>
      <c r="AO206" s="557">
        <v>584400</v>
      </c>
      <c r="AP206" s="557">
        <v>103.18898</v>
      </c>
      <c r="AQ206" s="557">
        <v>314.72638899999998</v>
      </c>
      <c r="AR206" s="557">
        <v>1.7704</v>
      </c>
    </row>
    <row r="207" spans="39:44">
      <c r="AM207" s="556">
        <v>45730</v>
      </c>
      <c r="AN207" s="557">
        <v>3.2250000000000001</v>
      </c>
      <c r="AO207" s="557">
        <v>372400</v>
      </c>
      <c r="AP207" s="557">
        <v>103.18898</v>
      </c>
      <c r="AQ207" s="557">
        <v>332.78446050000002</v>
      </c>
      <c r="AR207" s="557">
        <v>1.8811</v>
      </c>
    </row>
    <row r="208" spans="39:44">
      <c r="AM208" s="556">
        <v>45729</v>
      </c>
      <c r="AN208" s="557">
        <v>3.26</v>
      </c>
      <c r="AO208" s="557">
        <v>794000</v>
      </c>
      <c r="AP208" s="557">
        <v>103.18898</v>
      </c>
      <c r="AQ208" s="557">
        <v>336.39607480000001</v>
      </c>
      <c r="AR208" s="557">
        <v>1.8927</v>
      </c>
    </row>
    <row r="209" spans="39:44">
      <c r="AM209" s="556">
        <v>45728</v>
      </c>
      <c r="AN209" s="557">
        <v>3.06</v>
      </c>
      <c r="AO209" s="557">
        <v>517100</v>
      </c>
      <c r="AP209" s="557">
        <v>103.18898</v>
      </c>
      <c r="AQ209" s="557">
        <v>315.75827880000003</v>
      </c>
      <c r="AR209" s="557">
        <v>1.7996000000000001</v>
      </c>
    </row>
    <row r="210" spans="39:44">
      <c r="AM210" s="556">
        <v>45727</v>
      </c>
      <c r="AN210" s="557">
        <v>3.06</v>
      </c>
      <c r="AO210" s="557">
        <v>517100</v>
      </c>
      <c r="AP210" s="557">
        <v>103.18898</v>
      </c>
      <c r="AQ210" s="557">
        <v>315.75827880000003</v>
      </c>
      <c r="AR210" s="557">
        <v>1.7996000000000001</v>
      </c>
    </row>
    <row r="211" spans="39:44">
      <c r="AM211" s="556">
        <v>45726</v>
      </c>
      <c r="AN211" s="557">
        <v>3.06</v>
      </c>
      <c r="AO211" s="557">
        <v>517100</v>
      </c>
      <c r="AP211" s="557">
        <v>103.18898</v>
      </c>
      <c r="AQ211" s="557">
        <v>315.75827880000003</v>
      </c>
      <c r="AR211" s="557">
        <v>1.7996000000000001</v>
      </c>
    </row>
    <row r="212" spans="39:44">
      <c r="AM212" s="556">
        <v>45725</v>
      </c>
      <c r="AN212" s="557">
        <v>2.915</v>
      </c>
      <c r="AO212" s="557">
        <v>262600</v>
      </c>
      <c r="AP212" s="557">
        <v>103.18898</v>
      </c>
      <c r="AQ212" s="557">
        <v>300.79587670000001</v>
      </c>
      <c r="AR212" s="557">
        <v>1.6947000000000001</v>
      </c>
    </row>
    <row r="213" spans="39:44">
      <c r="AM213" s="556">
        <v>45724</v>
      </c>
      <c r="AN213" s="557">
        <v>2.9550000000000001</v>
      </c>
      <c r="AO213" s="557">
        <v>217300</v>
      </c>
      <c r="AP213" s="557">
        <v>103.18898</v>
      </c>
      <c r="AQ213" s="557">
        <v>304.92343590000002</v>
      </c>
      <c r="AR213" s="557">
        <v>1.7121999999999999</v>
      </c>
    </row>
    <row r="214" spans="39:44">
      <c r="AM214" s="556">
        <v>45723</v>
      </c>
      <c r="AN214" s="557">
        <v>3.02</v>
      </c>
      <c r="AO214" s="557">
        <v>218400</v>
      </c>
      <c r="AP214" s="557">
        <v>103.18898</v>
      </c>
      <c r="AQ214" s="557">
        <v>311.63071960000002</v>
      </c>
      <c r="AR214" s="557">
        <v>1.7645999999999999</v>
      </c>
    </row>
    <row r="215" spans="39:44">
      <c r="AM215" s="556">
        <v>45722</v>
      </c>
      <c r="AN215" s="557">
        <v>2.96</v>
      </c>
      <c r="AO215" s="557">
        <v>387100</v>
      </c>
      <c r="AP215" s="557">
        <v>103.18898</v>
      </c>
      <c r="AQ215" s="557">
        <v>305.43938079999998</v>
      </c>
      <c r="AR215" s="557">
        <v>1.7121999999999999</v>
      </c>
    </row>
    <row r="216" spans="39:44">
      <c r="AM216" s="556">
        <v>45721</v>
      </c>
      <c r="AN216" s="557">
        <v>2.9550000000000001</v>
      </c>
      <c r="AO216" s="557">
        <v>695700</v>
      </c>
      <c r="AP216" s="557">
        <v>103.18898</v>
      </c>
      <c r="AQ216" s="557">
        <v>304.92343590000002</v>
      </c>
      <c r="AR216" s="557">
        <v>1.7239</v>
      </c>
    </row>
    <row r="217" spans="39:44">
      <c r="AM217" s="556">
        <v>45720</v>
      </c>
      <c r="AN217" s="557">
        <v>2.9550000000000001</v>
      </c>
      <c r="AO217" s="557">
        <v>695700</v>
      </c>
      <c r="AP217" s="557">
        <v>103.18898</v>
      </c>
      <c r="AQ217" s="557">
        <v>304.92343590000002</v>
      </c>
      <c r="AR217" s="557">
        <v>1.7239</v>
      </c>
    </row>
    <row r="218" spans="39:44">
      <c r="AM218" s="556">
        <v>45719</v>
      </c>
      <c r="AN218" s="557">
        <v>2.9550000000000001</v>
      </c>
      <c r="AO218" s="557">
        <v>695700</v>
      </c>
      <c r="AP218" s="557">
        <v>103.18898</v>
      </c>
      <c r="AQ218" s="557">
        <v>304.92343590000002</v>
      </c>
      <c r="AR218" s="557">
        <v>1.7239</v>
      </c>
    </row>
    <row r="219" spans="39:44">
      <c r="AM219" s="556">
        <v>45718</v>
      </c>
      <c r="AN219" s="557">
        <v>3.1</v>
      </c>
      <c r="AO219" s="557">
        <v>576000</v>
      </c>
      <c r="AP219" s="557">
        <v>103.18898</v>
      </c>
      <c r="AQ219" s="557">
        <v>319.88583800000004</v>
      </c>
      <c r="AR219" s="557">
        <v>1.7996000000000001</v>
      </c>
    </row>
    <row r="220" spans="39:44">
      <c r="AM220" s="556">
        <v>45717</v>
      </c>
      <c r="AN220" s="557">
        <v>3.105</v>
      </c>
      <c r="AO220" s="557">
        <v>259700</v>
      </c>
      <c r="AP220" s="557">
        <v>103.18898</v>
      </c>
      <c r="AQ220" s="557">
        <v>320.4017829</v>
      </c>
      <c r="AR220" s="557">
        <v>1.7996000000000001</v>
      </c>
    </row>
    <row r="221" spans="39:44">
      <c r="AM221" s="556">
        <v>45716</v>
      </c>
      <c r="AN221" s="557">
        <v>3.2450000000000001</v>
      </c>
      <c r="AO221" s="557">
        <v>146500</v>
      </c>
      <c r="AP221" s="557">
        <v>103.18898</v>
      </c>
      <c r="AQ221" s="557">
        <v>334.8482401</v>
      </c>
      <c r="AR221" s="557">
        <v>1.8927</v>
      </c>
    </row>
    <row r="222" spans="39:44">
      <c r="AM222" s="556">
        <v>45715</v>
      </c>
      <c r="AN222" s="557">
        <v>3.165</v>
      </c>
      <c r="AO222" s="557">
        <v>130500</v>
      </c>
      <c r="AP222" s="557">
        <v>103.18898</v>
      </c>
      <c r="AQ222" s="557">
        <v>326.59312169999998</v>
      </c>
      <c r="AR222" s="557">
        <v>1.8345</v>
      </c>
    </row>
    <row r="223" spans="39:44">
      <c r="AM223" s="556">
        <v>45714</v>
      </c>
      <c r="AN223" s="557">
        <v>3.2349999999999999</v>
      </c>
      <c r="AO223" s="557">
        <v>261600</v>
      </c>
      <c r="AP223" s="557">
        <v>103.18898</v>
      </c>
      <c r="AQ223" s="557">
        <v>333.81635030000001</v>
      </c>
      <c r="AR223" s="557">
        <v>1.8753</v>
      </c>
    </row>
    <row r="224" spans="39:44">
      <c r="AM224" s="556">
        <v>45713</v>
      </c>
      <c r="AN224" s="557">
        <v>3.2349999999999999</v>
      </c>
      <c r="AO224" s="557">
        <v>261600</v>
      </c>
      <c r="AP224" s="557">
        <v>103.18898</v>
      </c>
      <c r="AQ224" s="557">
        <v>333.81635030000001</v>
      </c>
      <c r="AR224" s="557">
        <v>1.8753</v>
      </c>
    </row>
    <row r="225" spans="39:44">
      <c r="AM225" s="556">
        <v>45712</v>
      </c>
      <c r="AN225" s="557">
        <v>3.2349999999999999</v>
      </c>
      <c r="AO225" s="557">
        <v>261600</v>
      </c>
      <c r="AP225" s="557">
        <v>103.18898</v>
      </c>
      <c r="AQ225" s="557">
        <v>333.81635030000001</v>
      </c>
      <c r="AR225" s="557">
        <v>1.8753</v>
      </c>
    </row>
    <row r="226" spans="39:44">
      <c r="AM226" s="556">
        <v>45711</v>
      </c>
      <c r="AN226" s="557">
        <v>3.1949999999999998</v>
      </c>
      <c r="AO226" s="557">
        <v>371000</v>
      </c>
      <c r="AP226" s="557">
        <v>103.18898</v>
      </c>
      <c r="AQ226" s="557">
        <v>329.6887911</v>
      </c>
      <c r="AR226" s="557">
        <v>1.8694999999999999</v>
      </c>
    </row>
    <row r="227" spans="39:44">
      <c r="AM227" s="556">
        <v>45710</v>
      </c>
      <c r="AN227" s="557">
        <v>3.0350000000000001</v>
      </c>
      <c r="AO227" s="557">
        <v>249300</v>
      </c>
      <c r="AP227" s="557">
        <v>103.18898</v>
      </c>
      <c r="AQ227" s="557">
        <v>313.17855430000003</v>
      </c>
      <c r="AR227" s="557">
        <v>1.7587999999999999</v>
      </c>
    </row>
    <row r="228" spans="39:44">
      <c r="AM228" s="556">
        <v>45709</v>
      </c>
      <c r="AN228" s="557">
        <v>3.0350000000000001</v>
      </c>
      <c r="AO228" s="557">
        <v>320600</v>
      </c>
      <c r="AP228" s="557">
        <v>103.18898</v>
      </c>
      <c r="AQ228" s="557">
        <v>313.17855430000003</v>
      </c>
      <c r="AR228" s="557">
        <v>1.7704</v>
      </c>
    </row>
    <row r="229" spans="39:44">
      <c r="AM229" s="556">
        <v>45708</v>
      </c>
      <c r="AN229" s="557">
        <v>3.105</v>
      </c>
      <c r="AO229" s="557">
        <v>536200</v>
      </c>
      <c r="AP229" s="557">
        <v>103.18898</v>
      </c>
      <c r="AQ229" s="557">
        <v>320.4017829</v>
      </c>
      <c r="AR229" s="557">
        <v>1.7996000000000001</v>
      </c>
    </row>
    <row r="230" spans="39:44">
      <c r="AM230" s="556">
        <v>45707</v>
      </c>
      <c r="AN230" s="557">
        <v>3.0449999999999999</v>
      </c>
      <c r="AO230" s="557">
        <v>115700</v>
      </c>
      <c r="AP230" s="557">
        <v>103.18898</v>
      </c>
      <c r="AQ230" s="557">
        <v>314.21044410000002</v>
      </c>
      <c r="AR230" s="557">
        <v>1.7587999999999999</v>
      </c>
    </row>
    <row r="231" spans="39:44">
      <c r="AM231" s="556">
        <v>45706</v>
      </c>
      <c r="AN231" s="557">
        <v>3.0449999999999999</v>
      </c>
      <c r="AO231" s="557">
        <v>115700</v>
      </c>
      <c r="AP231" s="557">
        <v>103.18898</v>
      </c>
      <c r="AQ231" s="557">
        <v>314.21044410000002</v>
      </c>
      <c r="AR231" s="557">
        <v>1.7587999999999999</v>
      </c>
    </row>
    <row r="232" spans="39:44">
      <c r="AM232" s="556">
        <v>45705</v>
      </c>
      <c r="AN232" s="557">
        <v>3.0449999999999999</v>
      </c>
      <c r="AO232" s="557">
        <v>115700</v>
      </c>
      <c r="AP232" s="557">
        <v>103.18898</v>
      </c>
      <c r="AQ232" s="557">
        <v>314.21044410000002</v>
      </c>
      <c r="AR232" s="557">
        <v>1.7587999999999999</v>
      </c>
    </row>
    <row r="233" spans="39:44">
      <c r="AM233" s="556">
        <v>45704</v>
      </c>
      <c r="AN233" s="557">
        <v>3.0649999999999999</v>
      </c>
      <c r="AO233" s="557">
        <v>168700</v>
      </c>
      <c r="AP233" s="557">
        <v>103.18898</v>
      </c>
      <c r="AQ233" s="557">
        <v>316.27422369999999</v>
      </c>
      <c r="AR233" s="557">
        <v>1.7879</v>
      </c>
    </row>
    <row r="234" spans="39:44">
      <c r="AM234" s="556">
        <v>45703</v>
      </c>
      <c r="AN234" s="557">
        <v>3.12</v>
      </c>
      <c r="AO234" s="557">
        <v>169600</v>
      </c>
      <c r="AP234" s="557">
        <v>103.18898</v>
      </c>
      <c r="AQ234" s="557">
        <v>321.94961760000001</v>
      </c>
      <c r="AR234" s="557">
        <v>1.8111999999999999</v>
      </c>
    </row>
    <row r="235" spans="39:44">
      <c r="AM235" s="556">
        <v>45702</v>
      </c>
      <c r="AN235" s="557">
        <v>3.085</v>
      </c>
      <c r="AO235" s="557">
        <v>171300</v>
      </c>
      <c r="AP235" s="557">
        <v>103.18898</v>
      </c>
      <c r="AQ235" s="557">
        <v>318.33800330000003</v>
      </c>
      <c r="AR235" s="557">
        <v>1.7937000000000001</v>
      </c>
    </row>
    <row r="236" spans="39:44">
      <c r="AM236" s="556">
        <v>45701</v>
      </c>
      <c r="AN236" s="557">
        <v>3.105</v>
      </c>
      <c r="AO236" s="557">
        <v>359600</v>
      </c>
      <c r="AP236" s="557">
        <v>103.18898</v>
      </c>
      <c r="AQ236" s="557">
        <v>320.4017829</v>
      </c>
      <c r="AR236" s="557">
        <v>1.7937000000000001</v>
      </c>
    </row>
    <row r="237" spans="39:44">
      <c r="AM237" s="556">
        <v>45700</v>
      </c>
      <c r="AN237" s="557">
        <v>3.0150000000000001</v>
      </c>
      <c r="AO237" s="557">
        <v>294500</v>
      </c>
      <c r="AP237" s="557">
        <v>103.18898</v>
      </c>
      <c r="AQ237" s="557">
        <v>311.1147747</v>
      </c>
      <c r="AR237" s="557">
        <v>1.7471000000000001</v>
      </c>
    </row>
    <row r="238" spans="39:44">
      <c r="AM238" s="556">
        <v>45699</v>
      </c>
      <c r="AN238" s="557">
        <v>3.0150000000000001</v>
      </c>
      <c r="AO238" s="557">
        <v>294500</v>
      </c>
      <c r="AP238" s="557">
        <v>103.18898</v>
      </c>
      <c r="AQ238" s="557">
        <v>311.1147747</v>
      </c>
      <c r="AR238" s="557">
        <v>1.7471000000000001</v>
      </c>
    </row>
    <row r="239" spans="39:44">
      <c r="AM239" s="556">
        <v>45698</v>
      </c>
      <c r="AN239" s="557">
        <v>3.0150000000000001</v>
      </c>
      <c r="AO239" s="557">
        <v>294500</v>
      </c>
      <c r="AP239" s="557">
        <v>103.18898</v>
      </c>
      <c r="AQ239" s="557">
        <v>311.1147747</v>
      </c>
      <c r="AR239" s="557">
        <v>1.7471000000000001</v>
      </c>
    </row>
    <row r="240" spans="39:44">
      <c r="AM240" s="556">
        <v>45697</v>
      </c>
      <c r="AN240" s="557">
        <v>3.09</v>
      </c>
      <c r="AO240" s="557">
        <v>386200</v>
      </c>
      <c r="AP240" s="557">
        <v>103.18898</v>
      </c>
      <c r="AQ240" s="557">
        <v>318.85394819999999</v>
      </c>
      <c r="AR240" s="557">
        <v>1.7937000000000001</v>
      </c>
    </row>
    <row r="241" spans="39:44">
      <c r="AM241" s="556">
        <v>45696</v>
      </c>
      <c r="AN241" s="557">
        <v>3.12</v>
      </c>
      <c r="AO241" s="557">
        <v>612700</v>
      </c>
      <c r="AP241" s="557">
        <v>103.18898</v>
      </c>
      <c r="AQ241" s="557">
        <v>321.94961760000001</v>
      </c>
      <c r="AR241" s="557">
        <v>1.7996000000000001</v>
      </c>
    </row>
    <row r="242" spans="39:44">
      <c r="AM242" s="556">
        <v>45695</v>
      </c>
      <c r="AN242" s="557">
        <v>2.9550000000000001</v>
      </c>
      <c r="AO242" s="557">
        <v>698700</v>
      </c>
      <c r="AP242" s="557">
        <v>103.18898</v>
      </c>
      <c r="AQ242" s="557">
        <v>304.92343590000002</v>
      </c>
      <c r="AR242" s="557">
        <v>1.7297</v>
      </c>
    </row>
    <row r="243" spans="39:44">
      <c r="AM243" s="556">
        <v>45694</v>
      </c>
      <c r="AN243" s="557">
        <v>2.84</v>
      </c>
      <c r="AO243" s="557">
        <v>508000</v>
      </c>
      <c r="AP243" s="557">
        <v>103.18898</v>
      </c>
      <c r="AQ243" s="557">
        <v>293.05670320000002</v>
      </c>
      <c r="AR243" s="557">
        <v>1.6480999999999999</v>
      </c>
    </row>
    <row r="244" spans="39:44">
      <c r="AM244" s="556">
        <v>45693</v>
      </c>
      <c r="AN244" s="557">
        <v>2.915</v>
      </c>
      <c r="AO244" s="557">
        <v>196600</v>
      </c>
      <c r="AP244" s="557">
        <v>103.18898</v>
      </c>
      <c r="AQ244" s="557">
        <v>300.79587670000001</v>
      </c>
      <c r="AR244" s="557">
        <v>1.6773</v>
      </c>
    </row>
    <row r="245" spans="39:44">
      <c r="AM245" s="556">
        <v>45692</v>
      </c>
      <c r="AN245" s="557">
        <v>2.915</v>
      </c>
      <c r="AO245" s="557">
        <v>196600</v>
      </c>
      <c r="AP245" s="557">
        <v>103.18898</v>
      </c>
      <c r="AQ245" s="557">
        <v>300.79587670000001</v>
      </c>
      <c r="AR245" s="557">
        <v>1.6773</v>
      </c>
    </row>
    <row r="246" spans="39:44">
      <c r="AM246" s="556">
        <v>45691</v>
      </c>
      <c r="AN246" s="557">
        <v>2.915</v>
      </c>
      <c r="AO246" s="557">
        <v>196600</v>
      </c>
      <c r="AP246" s="557">
        <v>103.18898</v>
      </c>
      <c r="AQ246" s="557">
        <v>300.79587670000001</v>
      </c>
      <c r="AR246" s="557">
        <v>1.6773</v>
      </c>
    </row>
    <row r="247" spans="39:44">
      <c r="AM247" s="556">
        <v>45690</v>
      </c>
      <c r="AN247" s="557">
        <v>2.95</v>
      </c>
      <c r="AO247" s="557">
        <v>151400</v>
      </c>
      <c r="AP247" s="557">
        <v>103.18898</v>
      </c>
      <c r="AQ247" s="557">
        <v>304.40749099999999</v>
      </c>
      <c r="AR247" s="557">
        <v>1.7063999999999999</v>
      </c>
    </row>
    <row r="248" spans="39:44">
      <c r="AM248" s="556">
        <v>45689</v>
      </c>
      <c r="AN248" s="557">
        <v>2.9449999999999998</v>
      </c>
      <c r="AO248" s="557">
        <v>233600</v>
      </c>
      <c r="AP248" s="557">
        <v>103.18898</v>
      </c>
      <c r="AQ248" s="557">
        <v>303.89154609999997</v>
      </c>
      <c r="AR248" s="557">
        <v>1.7005999999999999</v>
      </c>
    </row>
    <row r="249" spans="39:44">
      <c r="AM249" s="556">
        <v>45688</v>
      </c>
      <c r="AN249" s="557">
        <v>3.0449999999999999</v>
      </c>
      <c r="AO249" s="557">
        <v>148500</v>
      </c>
      <c r="AP249" s="557">
        <v>103.18898</v>
      </c>
      <c r="AQ249" s="557">
        <v>314.21044410000002</v>
      </c>
      <c r="AR249" s="557">
        <v>1.7763</v>
      </c>
    </row>
    <row r="250" spans="39:44">
      <c r="AM250" s="556">
        <v>45687</v>
      </c>
      <c r="AN250" s="557">
        <v>3.0550000000000002</v>
      </c>
      <c r="AO250" s="557">
        <v>246200</v>
      </c>
      <c r="AP250" s="557">
        <v>103.18898</v>
      </c>
      <c r="AQ250" s="557">
        <v>315.24233390000001</v>
      </c>
      <c r="AR250" s="557">
        <v>1.7704</v>
      </c>
    </row>
    <row r="251" spans="39:44">
      <c r="AM251" s="556">
        <v>45686</v>
      </c>
      <c r="AN251" s="557">
        <v>2.9849999999999999</v>
      </c>
      <c r="AO251" s="557">
        <v>770800</v>
      </c>
      <c r="AP251" s="557">
        <v>103.18898</v>
      </c>
      <c r="AQ251" s="557">
        <v>308.01910529999998</v>
      </c>
      <c r="AR251" s="557">
        <v>1.7297</v>
      </c>
    </row>
    <row r="252" spans="39:44">
      <c r="AM252" s="556">
        <v>45685</v>
      </c>
      <c r="AN252" s="557">
        <v>2.9849999999999999</v>
      </c>
      <c r="AO252" s="557">
        <v>770800</v>
      </c>
      <c r="AP252" s="557">
        <v>103.18898</v>
      </c>
      <c r="AQ252" s="557">
        <v>308.01910529999998</v>
      </c>
      <c r="AR252" s="557">
        <v>1.7297</v>
      </c>
    </row>
    <row r="253" spans="39:44">
      <c r="AM253" s="556">
        <v>45684</v>
      </c>
      <c r="AN253" s="557">
        <v>2.9849999999999999</v>
      </c>
      <c r="AO253" s="557">
        <v>770800</v>
      </c>
      <c r="AP253" s="557">
        <v>103.18898</v>
      </c>
      <c r="AQ253" s="557">
        <v>308.01910529999998</v>
      </c>
      <c r="AR253" s="557">
        <v>1.7297</v>
      </c>
    </row>
    <row r="254" spans="39:44">
      <c r="AM254" s="556">
        <v>45683</v>
      </c>
      <c r="AN254" s="557">
        <v>3.145</v>
      </c>
      <c r="AO254" s="557">
        <v>833000</v>
      </c>
      <c r="AP254" s="557">
        <v>103.18898</v>
      </c>
      <c r="AQ254" s="557">
        <v>324.52934210000001</v>
      </c>
      <c r="AR254" s="557">
        <v>1.8111999999999999</v>
      </c>
    </row>
    <row r="255" spans="39:44">
      <c r="AM255" s="556">
        <v>45682</v>
      </c>
      <c r="AN255" s="557">
        <v>2.99</v>
      </c>
      <c r="AO255" s="557">
        <v>861000</v>
      </c>
      <c r="AP255" s="557">
        <v>103.18898</v>
      </c>
      <c r="AQ255" s="557">
        <v>308.5350502</v>
      </c>
      <c r="AR255" s="557">
        <v>2.1598000000000002</v>
      </c>
    </row>
    <row r="256" spans="39:44">
      <c r="AM256" s="556">
        <v>45681</v>
      </c>
      <c r="AN256" s="557">
        <v>2.99</v>
      </c>
      <c r="AO256" s="557">
        <v>861000</v>
      </c>
      <c r="AP256" s="557">
        <v>103.18898</v>
      </c>
      <c r="AQ256" s="557">
        <v>308.5350502</v>
      </c>
      <c r="AR256" s="557">
        <v>2.1598000000000002</v>
      </c>
    </row>
    <row r="257" spans="39:44">
      <c r="AM257" s="556">
        <v>45680</v>
      </c>
      <c r="AN257" s="557">
        <v>2.99</v>
      </c>
      <c r="AO257" s="557">
        <v>861000</v>
      </c>
      <c r="AP257" s="557">
        <v>103.18898</v>
      </c>
      <c r="AQ257" s="557">
        <v>308.5350502</v>
      </c>
      <c r="AR257" s="557">
        <v>2.1598000000000002</v>
      </c>
    </row>
    <row r="258" spans="39:44">
      <c r="AM258" s="556">
        <v>45679</v>
      </c>
      <c r="AN258" s="557">
        <v>2.99</v>
      </c>
      <c r="AO258" s="557">
        <v>430300</v>
      </c>
      <c r="AP258" s="557">
        <v>103.18898</v>
      </c>
      <c r="AQ258" s="557">
        <v>308.5350502</v>
      </c>
      <c r="AR258" s="557">
        <v>2.1743000000000001</v>
      </c>
    </row>
    <row r="259" spans="39:44">
      <c r="AM259" s="556">
        <v>45678</v>
      </c>
      <c r="AN259" s="557">
        <v>2.99</v>
      </c>
      <c r="AO259" s="557">
        <v>430300</v>
      </c>
      <c r="AP259" s="557">
        <v>103.18898</v>
      </c>
      <c r="AQ259" s="557">
        <v>308.5350502</v>
      </c>
      <c r="AR259" s="557">
        <v>2.1743000000000001</v>
      </c>
    </row>
    <row r="260" spans="39:44">
      <c r="AM260" s="556">
        <v>45677</v>
      </c>
      <c r="AN260" s="557">
        <v>2.99</v>
      </c>
      <c r="AO260" s="557">
        <v>430300</v>
      </c>
      <c r="AP260" s="557">
        <v>103.18898</v>
      </c>
      <c r="AQ260" s="557">
        <v>308.5350502</v>
      </c>
      <c r="AR260" s="557">
        <v>2.1743000000000001</v>
      </c>
    </row>
    <row r="261" spans="39:44">
      <c r="AM261" s="556">
        <v>45676</v>
      </c>
      <c r="AN261" s="557">
        <v>2.915</v>
      </c>
      <c r="AO261" s="557">
        <v>743600</v>
      </c>
      <c r="AP261" s="557">
        <v>103.18898</v>
      </c>
      <c r="AQ261" s="557">
        <v>300.79587670000001</v>
      </c>
      <c r="AR261" s="557">
        <v>2.1236000000000002</v>
      </c>
    </row>
    <row r="262" spans="39:44">
      <c r="AM262" s="556">
        <v>45675</v>
      </c>
      <c r="AN262" s="557">
        <v>2.9550000000000001</v>
      </c>
      <c r="AO262" s="557">
        <v>662000</v>
      </c>
      <c r="AP262" s="557">
        <v>103.18898</v>
      </c>
      <c r="AQ262" s="557">
        <v>304.92343590000002</v>
      </c>
      <c r="AR262" s="557">
        <v>2.1307999999999998</v>
      </c>
    </row>
    <row r="263" spans="39:44">
      <c r="AM263" s="556">
        <v>45674</v>
      </c>
      <c r="AN263" s="557">
        <v>2.9550000000000001</v>
      </c>
      <c r="AO263" s="557">
        <v>662000</v>
      </c>
      <c r="AP263" s="557">
        <v>103.18898</v>
      </c>
      <c r="AQ263" s="557">
        <v>304.92343590000002</v>
      </c>
      <c r="AR263" s="557">
        <v>2.1307999999999998</v>
      </c>
    </row>
    <row r="264" spans="39:44">
      <c r="AM264" s="556">
        <v>45673</v>
      </c>
      <c r="AN264" s="557">
        <v>2.9550000000000001</v>
      </c>
      <c r="AO264" s="557">
        <v>662000</v>
      </c>
      <c r="AP264" s="557">
        <v>103.18898</v>
      </c>
      <c r="AQ264" s="557">
        <v>304.92343590000002</v>
      </c>
      <c r="AR264" s="557">
        <v>2.1307999999999998</v>
      </c>
    </row>
    <row r="265" spans="39:44">
      <c r="AM265" s="556">
        <v>45672</v>
      </c>
      <c r="AN265" s="557">
        <v>3.16</v>
      </c>
      <c r="AO265" s="557">
        <v>585500</v>
      </c>
      <c r="AP265" s="557">
        <v>103.18898</v>
      </c>
      <c r="AQ265" s="557">
        <v>326.07717680000002</v>
      </c>
      <c r="AR265" s="557">
        <v>2.3119999999999998</v>
      </c>
    </row>
    <row r="266" spans="39:44">
      <c r="AM266" s="556">
        <v>45671</v>
      </c>
      <c r="AN266" s="557">
        <v>3.16</v>
      </c>
      <c r="AO266" s="557">
        <v>585500</v>
      </c>
      <c r="AP266" s="557">
        <v>103.18898</v>
      </c>
      <c r="AQ266" s="557">
        <v>326.07717680000002</v>
      </c>
      <c r="AR266" s="557">
        <v>2.3119999999999998</v>
      </c>
    </row>
    <row r="267" spans="39:44">
      <c r="AM267" s="556">
        <v>45670</v>
      </c>
      <c r="AN267" s="557">
        <v>3.16</v>
      </c>
      <c r="AO267" s="557">
        <v>585500</v>
      </c>
      <c r="AP267" s="557">
        <v>103.18898</v>
      </c>
      <c r="AQ267" s="557">
        <v>326.07717680000002</v>
      </c>
      <c r="AR267" s="557">
        <v>2.3119999999999998</v>
      </c>
    </row>
    <row r="268" spans="39:44">
      <c r="AM268" s="556">
        <v>45669</v>
      </c>
      <c r="AN268" s="557">
        <v>3.0750000000000002</v>
      </c>
      <c r="AO268" s="557">
        <v>666900</v>
      </c>
      <c r="AP268" s="557">
        <v>103.18898</v>
      </c>
      <c r="AQ268" s="557">
        <v>317.30611350000004</v>
      </c>
      <c r="AR268" s="557">
        <v>2.2178</v>
      </c>
    </row>
    <row r="269" spans="39:44">
      <c r="AM269" s="556">
        <v>45668</v>
      </c>
      <c r="AN269" s="557">
        <v>2.91</v>
      </c>
      <c r="AO269" s="557">
        <v>944200</v>
      </c>
      <c r="AP269" s="557">
        <v>103.18898</v>
      </c>
      <c r="AQ269" s="557">
        <v>300.27993180000004</v>
      </c>
      <c r="AR269" s="557">
        <v>2.0872999999999999</v>
      </c>
    </row>
    <row r="270" spans="39:44">
      <c r="AM270" s="556">
        <v>45667</v>
      </c>
      <c r="AN270" s="557">
        <v>3.2349999999999999</v>
      </c>
      <c r="AO270" s="557">
        <v>1423200</v>
      </c>
      <c r="AP270" s="557">
        <v>103.18898</v>
      </c>
      <c r="AQ270" s="557">
        <v>333.81635030000001</v>
      </c>
      <c r="AR270" s="557">
        <v>2.3193000000000001</v>
      </c>
    </row>
    <row r="271" spans="39:44">
      <c r="AM271" s="556">
        <v>45666</v>
      </c>
      <c r="AN271" s="557">
        <v>3.31</v>
      </c>
      <c r="AO271" s="557">
        <v>594900</v>
      </c>
      <c r="AP271" s="557">
        <v>103.18898</v>
      </c>
      <c r="AQ271" s="557">
        <v>341.5555238</v>
      </c>
      <c r="AR271" s="557">
        <v>2.3917999999999999</v>
      </c>
    </row>
    <row r="272" spans="39:44">
      <c r="AM272" s="556">
        <v>45665</v>
      </c>
      <c r="AN272" s="557">
        <v>3.4750000000000001</v>
      </c>
      <c r="AO272" s="557">
        <v>397700</v>
      </c>
      <c r="AP272" s="557">
        <v>103.18898</v>
      </c>
      <c r="AQ272" s="557">
        <v>358.5817055</v>
      </c>
      <c r="AR272" s="557">
        <v>2.5005000000000002</v>
      </c>
    </row>
    <row r="273" spans="39:44">
      <c r="AM273" s="556">
        <v>45664</v>
      </c>
      <c r="AN273" s="557">
        <v>3.4750000000000001</v>
      </c>
      <c r="AO273" s="557">
        <v>397700</v>
      </c>
      <c r="AP273" s="557">
        <v>103.18898</v>
      </c>
      <c r="AQ273" s="557">
        <v>358.5817055</v>
      </c>
      <c r="AR273" s="557">
        <v>2.5005000000000002</v>
      </c>
    </row>
    <row r="274" spans="39:44">
      <c r="AM274" s="556">
        <v>45663</v>
      </c>
      <c r="AN274" s="557">
        <v>3.4750000000000001</v>
      </c>
      <c r="AO274" s="557">
        <v>397700</v>
      </c>
      <c r="AP274" s="557">
        <v>103.18898</v>
      </c>
      <c r="AQ274" s="557">
        <v>358.5817055</v>
      </c>
      <c r="AR274" s="557">
        <v>2.5005000000000002</v>
      </c>
    </row>
    <row r="275" spans="39:44">
      <c r="AM275" s="556">
        <v>45662</v>
      </c>
      <c r="AN275" s="557">
        <v>3.53</v>
      </c>
      <c r="AO275" s="557">
        <v>1233300</v>
      </c>
      <c r="AP275" s="557">
        <v>103.18898</v>
      </c>
      <c r="AQ275" s="557">
        <v>364.25709939999996</v>
      </c>
      <c r="AR275" s="557">
        <v>2.5585</v>
      </c>
    </row>
    <row r="276" spans="39:44">
      <c r="AM276" s="556">
        <v>45661</v>
      </c>
      <c r="AN276" s="557">
        <v>3.915</v>
      </c>
      <c r="AO276" s="557">
        <v>762500</v>
      </c>
      <c r="AP276" s="557">
        <v>103.18898</v>
      </c>
      <c r="AQ276" s="557">
        <v>403.98485670000002</v>
      </c>
      <c r="AR276" s="557">
        <v>2.8266</v>
      </c>
    </row>
    <row r="277" spans="39:44">
      <c r="AM277" s="556">
        <v>45660</v>
      </c>
      <c r="AN277" s="557">
        <v>3.8250000000000002</v>
      </c>
      <c r="AO277" s="557">
        <v>383400</v>
      </c>
      <c r="AP277" s="557">
        <v>103.18898</v>
      </c>
      <c r="AQ277" s="557">
        <v>394.69784850000002</v>
      </c>
      <c r="AR277" s="557">
        <v>2.7831000000000001</v>
      </c>
    </row>
    <row r="278" spans="39:44">
      <c r="AM278" s="556">
        <v>45659</v>
      </c>
      <c r="AN278" s="557">
        <v>3.6850000000000001</v>
      </c>
      <c r="AO278" s="557">
        <v>460400</v>
      </c>
      <c r="AP278" s="557">
        <v>103.18898</v>
      </c>
      <c r="AQ278" s="557">
        <v>380.25139130000002</v>
      </c>
      <c r="AR278" s="557">
        <v>2.6743999999999999</v>
      </c>
    </row>
    <row r="279" spans="39:44">
      <c r="AM279" s="556">
        <v>45658</v>
      </c>
      <c r="AN279" s="557">
        <v>3.7850000000000001</v>
      </c>
      <c r="AO279" s="557">
        <v>577700</v>
      </c>
      <c r="AP279" s="557">
        <v>103.18898</v>
      </c>
      <c r="AQ279" s="557">
        <v>390.57028930000001</v>
      </c>
      <c r="AR279" s="557">
        <v>2.7614000000000001</v>
      </c>
    </row>
    <row r="280" spans="39:44">
      <c r="AM280" s="556">
        <v>45657</v>
      </c>
      <c r="AN280" s="557">
        <v>3.7850000000000001</v>
      </c>
      <c r="AO280" s="557">
        <v>577700</v>
      </c>
      <c r="AP280" s="557">
        <v>103.18898</v>
      </c>
      <c r="AQ280" s="557">
        <v>390.57028930000001</v>
      </c>
      <c r="AR280" s="557">
        <v>2.7614000000000001</v>
      </c>
    </row>
    <row r="281" spans="39:44">
      <c r="AM281" s="556">
        <v>45656</v>
      </c>
      <c r="AN281" s="557">
        <v>3.7850000000000001</v>
      </c>
      <c r="AO281" s="557">
        <v>577700</v>
      </c>
      <c r="AP281" s="557">
        <v>103.18898</v>
      </c>
      <c r="AQ281" s="557">
        <v>390.57028930000001</v>
      </c>
      <c r="AR281" s="557">
        <v>2.7614000000000001</v>
      </c>
    </row>
    <row r="282" spans="39:44">
      <c r="AM282" s="556">
        <v>45655</v>
      </c>
      <c r="AN282" s="557">
        <v>3.9849999999999999</v>
      </c>
      <c r="AO282" s="557">
        <v>780000</v>
      </c>
      <c r="AP282" s="557">
        <v>103.18898</v>
      </c>
      <c r="AQ282" s="557">
        <v>411.20808529999999</v>
      </c>
      <c r="AR282" s="557">
        <v>2.8917999999999999</v>
      </c>
    </row>
    <row r="283" spans="39:44">
      <c r="AM283" s="556">
        <v>45654</v>
      </c>
      <c r="AN283" s="557">
        <v>3.7349999999999999</v>
      </c>
      <c r="AO283" s="557">
        <v>385300</v>
      </c>
      <c r="AP283" s="557">
        <v>103.18898</v>
      </c>
      <c r="AQ283" s="557">
        <v>385.41084030000002</v>
      </c>
      <c r="AR283" s="557">
        <v>2.7107000000000001</v>
      </c>
    </row>
    <row r="284" spans="39:44">
      <c r="AM284" s="556">
        <v>45653</v>
      </c>
      <c r="AN284" s="557">
        <v>3.8650000000000002</v>
      </c>
      <c r="AO284" s="557">
        <v>633100</v>
      </c>
      <c r="AP284" s="557">
        <v>103.18898</v>
      </c>
      <c r="AQ284" s="557">
        <v>398.82540770000003</v>
      </c>
      <c r="AR284" s="557">
        <v>2.7831000000000001</v>
      </c>
    </row>
    <row r="285" spans="39:44">
      <c r="AM285" s="556">
        <v>45652</v>
      </c>
      <c r="AN285" s="557">
        <v>4.0549999999999997</v>
      </c>
      <c r="AO285" s="557">
        <v>603300</v>
      </c>
      <c r="AP285" s="557">
        <v>103.18898</v>
      </c>
      <c r="AQ285" s="557">
        <v>418.43131389999996</v>
      </c>
      <c r="AR285" s="557">
        <v>2.8774000000000002</v>
      </c>
    </row>
    <row r="286" spans="39:44">
      <c r="AM286" s="556">
        <v>45651</v>
      </c>
      <c r="AN286" s="557">
        <v>4.1050000000000004</v>
      </c>
      <c r="AO286" s="557">
        <v>869500</v>
      </c>
      <c r="AP286" s="557">
        <v>103.18898</v>
      </c>
      <c r="AQ286" s="557">
        <v>423.59076290000007</v>
      </c>
      <c r="AR286" s="557">
        <v>2.9498000000000002</v>
      </c>
    </row>
    <row r="287" spans="39:44">
      <c r="AM287" s="556">
        <v>45650</v>
      </c>
      <c r="AN287" s="557">
        <v>4.1050000000000004</v>
      </c>
      <c r="AO287" s="557">
        <v>869500</v>
      </c>
      <c r="AP287" s="557">
        <v>103.18898</v>
      </c>
      <c r="AQ287" s="557">
        <v>423.59076290000007</v>
      </c>
      <c r="AR287" s="557">
        <v>2.9498000000000002</v>
      </c>
    </row>
    <row r="288" spans="39:44">
      <c r="AM288" s="556">
        <v>45649</v>
      </c>
      <c r="AN288" s="557">
        <v>4.1050000000000004</v>
      </c>
      <c r="AO288" s="557">
        <v>869500</v>
      </c>
      <c r="AP288" s="557">
        <v>103.18898</v>
      </c>
      <c r="AQ288" s="557">
        <v>423.59076290000007</v>
      </c>
      <c r="AR288" s="557">
        <v>2.9498000000000002</v>
      </c>
    </row>
    <row r="289" spans="39:44">
      <c r="AM289" s="556">
        <v>45648</v>
      </c>
      <c r="AN289" s="557">
        <v>4.0650000000000004</v>
      </c>
      <c r="AO289" s="557">
        <v>1040600</v>
      </c>
      <c r="AP289" s="557">
        <v>103.18898</v>
      </c>
      <c r="AQ289" s="557">
        <v>419.46320370000007</v>
      </c>
      <c r="AR289" s="557">
        <v>2.9352999999999998</v>
      </c>
    </row>
    <row r="290" spans="39:44">
      <c r="AM290" s="556">
        <v>45647</v>
      </c>
      <c r="AN290" s="557">
        <v>4.5549999999999997</v>
      </c>
      <c r="AO290" s="557">
        <v>1559600</v>
      </c>
      <c r="AP290" s="557">
        <v>103.18898</v>
      </c>
      <c r="AQ290" s="557">
        <v>470.02580389999997</v>
      </c>
      <c r="AR290" s="557">
        <v>3.2831999999999999</v>
      </c>
    </row>
    <row r="291" spans="39:44">
      <c r="AM291" s="556">
        <v>45646</v>
      </c>
      <c r="AN291" s="557">
        <v>4.7149999999999999</v>
      </c>
      <c r="AO291" s="557">
        <v>1326700</v>
      </c>
      <c r="AP291" s="557">
        <v>103.18898</v>
      </c>
      <c r="AQ291" s="557">
        <v>486.5360407</v>
      </c>
      <c r="AR291" s="557">
        <v>3.4209000000000001</v>
      </c>
    </row>
    <row r="292" spans="39:44">
      <c r="AM292" s="556">
        <v>45645</v>
      </c>
      <c r="AN292" s="557">
        <v>4.3949999999999996</v>
      </c>
      <c r="AO292" s="557">
        <v>600100</v>
      </c>
      <c r="AP292" s="557">
        <v>103.18898</v>
      </c>
      <c r="AQ292" s="557">
        <v>453.51556709999994</v>
      </c>
      <c r="AR292" s="557">
        <v>3.1745000000000001</v>
      </c>
    </row>
    <row r="293" spans="39:44">
      <c r="AM293" s="556">
        <v>45644</v>
      </c>
      <c r="AN293" s="557">
        <v>4.2300000000000004</v>
      </c>
      <c r="AO293" s="557">
        <v>444300</v>
      </c>
      <c r="AP293" s="557">
        <v>103.18898</v>
      </c>
      <c r="AQ293" s="557">
        <v>436.48938540000006</v>
      </c>
      <c r="AR293" s="557">
        <v>3.0802999999999998</v>
      </c>
    </row>
    <row r="294" spans="39:44">
      <c r="AM294" s="556">
        <v>45643</v>
      </c>
      <c r="AN294" s="557">
        <v>4.2300000000000004</v>
      </c>
      <c r="AO294" s="557">
        <v>444300</v>
      </c>
      <c r="AP294" s="557">
        <v>103.18898</v>
      </c>
      <c r="AQ294" s="557">
        <v>436.48938540000006</v>
      </c>
      <c r="AR294" s="557">
        <v>3.0802999999999998</v>
      </c>
    </row>
    <row r="295" spans="39:44">
      <c r="AM295" s="556">
        <v>45642</v>
      </c>
      <c r="AN295" s="557">
        <v>4.2300000000000004</v>
      </c>
      <c r="AO295" s="557">
        <v>444300</v>
      </c>
      <c r="AP295" s="557">
        <v>103.18898</v>
      </c>
      <c r="AQ295" s="557">
        <v>436.48938540000006</v>
      </c>
      <c r="AR295" s="557">
        <v>3.0802999999999998</v>
      </c>
    </row>
    <row r="296" spans="39:44">
      <c r="AM296" s="556">
        <v>45641</v>
      </c>
      <c r="AN296" s="557">
        <v>4.13</v>
      </c>
      <c r="AO296" s="557">
        <v>775800</v>
      </c>
      <c r="AP296" s="557">
        <v>103.18898</v>
      </c>
      <c r="AQ296" s="557">
        <v>426.17048740000001</v>
      </c>
      <c r="AR296" s="557">
        <v>3.0005999999999999</v>
      </c>
    </row>
    <row r="297" spans="39:44">
      <c r="AM297" s="556">
        <v>45640</v>
      </c>
      <c r="AN297" s="557">
        <v>4.24</v>
      </c>
      <c r="AO297" s="557">
        <v>377400</v>
      </c>
      <c r="AP297" s="557">
        <v>103.18898</v>
      </c>
      <c r="AQ297" s="557">
        <v>437.52127520000005</v>
      </c>
      <c r="AR297" s="557">
        <v>3.0948000000000002</v>
      </c>
    </row>
    <row r="298" spans="39:44">
      <c r="AM298" s="556">
        <v>45639</v>
      </c>
      <c r="AN298" s="557">
        <v>4.24</v>
      </c>
      <c r="AO298" s="557">
        <v>377400</v>
      </c>
      <c r="AP298" s="557">
        <v>103.18898</v>
      </c>
      <c r="AQ298" s="557">
        <v>437.52127520000005</v>
      </c>
      <c r="AR298" s="557">
        <v>3.0948000000000002</v>
      </c>
    </row>
    <row r="299" spans="39:44">
      <c r="AM299" s="556">
        <v>45638</v>
      </c>
      <c r="AN299" s="557">
        <v>4.165</v>
      </c>
      <c r="AO299" s="557">
        <v>674900</v>
      </c>
      <c r="AP299" s="557">
        <v>103.18898</v>
      </c>
      <c r="AQ299" s="557">
        <v>429.7821017</v>
      </c>
      <c r="AR299" s="557">
        <v>3.0295999999999998</v>
      </c>
    </row>
    <row r="300" spans="39:44">
      <c r="AM300" s="556">
        <v>45637</v>
      </c>
      <c r="AN300" s="557">
        <v>4.26</v>
      </c>
      <c r="AO300" s="557">
        <v>738000</v>
      </c>
      <c r="AP300" s="557">
        <v>103.18898</v>
      </c>
      <c r="AQ300" s="557">
        <v>439.58505479999997</v>
      </c>
      <c r="AR300" s="557">
        <v>3.0874999999999999</v>
      </c>
    </row>
    <row r="301" spans="39:44">
      <c r="AM301" s="556">
        <v>45636</v>
      </c>
      <c r="AN301" s="557">
        <v>4.26</v>
      </c>
      <c r="AO301" s="557">
        <v>738000</v>
      </c>
      <c r="AP301" s="557">
        <v>103.18898</v>
      </c>
      <c r="AQ301" s="557">
        <v>439.58505479999997</v>
      </c>
      <c r="AR301" s="557">
        <v>3.0874999999999999</v>
      </c>
    </row>
    <row r="302" spans="39:44">
      <c r="AM302" s="556">
        <v>45635</v>
      </c>
      <c r="AN302" s="557">
        <v>4.26</v>
      </c>
      <c r="AO302" s="557">
        <v>738000</v>
      </c>
      <c r="AP302" s="557">
        <v>103.18898</v>
      </c>
      <c r="AQ302" s="557">
        <v>439.58505479999997</v>
      </c>
      <c r="AR302" s="557">
        <v>3.0874999999999999</v>
      </c>
    </row>
    <row r="303" spans="39:44">
      <c r="AM303" s="556">
        <v>45634</v>
      </c>
      <c r="AN303" s="557">
        <v>4.26</v>
      </c>
      <c r="AO303" s="557">
        <v>738000</v>
      </c>
      <c r="AP303" s="557">
        <v>103.18898</v>
      </c>
      <c r="AQ303" s="557">
        <v>439.58505479999997</v>
      </c>
      <c r="AR303" s="557">
        <v>3.0874999999999999</v>
      </c>
    </row>
    <row r="304" spans="39:44">
      <c r="AM304" s="556">
        <v>45633</v>
      </c>
      <c r="AN304" s="557">
        <v>4.2699999999999996</v>
      </c>
      <c r="AO304" s="557">
        <v>692300</v>
      </c>
      <c r="AP304" s="557">
        <v>103.18898</v>
      </c>
      <c r="AQ304" s="557">
        <v>440.61694459999995</v>
      </c>
      <c r="AR304" s="557">
        <v>3.073</v>
      </c>
    </row>
    <row r="305" spans="39:44">
      <c r="AM305" s="556">
        <v>45632</v>
      </c>
      <c r="AN305" s="557">
        <v>4.29</v>
      </c>
      <c r="AO305" s="557">
        <v>668600</v>
      </c>
      <c r="AP305" s="557">
        <v>103.18898</v>
      </c>
      <c r="AQ305" s="557">
        <v>442.68072419999999</v>
      </c>
      <c r="AR305" s="557">
        <v>3.1164999999999998</v>
      </c>
    </row>
    <row r="306" spans="39:44">
      <c r="AM306" s="556">
        <v>45631</v>
      </c>
      <c r="AN306" s="557">
        <v>4.415</v>
      </c>
      <c r="AO306" s="557">
        <v>664700</v>
      </c>
      <c r="AP306" s="557">
        <v>103.18898</v>
      </c>
      <c r="AQ306" s="557">
        <v>455.57934670000003</v>
      </c>
      <c r="AR306" s="557">
        <v>3.1745000000000001</v>
      </c>
    </row>
    <row r="307" spans="39:44">
      <c r="AM307" s="556">
        <v>45630</v>
      </c>
      <c r="AN307" s="557">
        <v>4.4000000000000004</v>
      </c>
      <c r="AO307" s="557">
        <v>1149200</v>
      </c>
      <c r="AP307" s="557">
        <v>103.18898</v>
      </c>
      <c r="AQ307" s="557">
        <v>454.03151200000002</v>
      </c>
      <c r="AR307" s="557">
        <v>3.1962999999999999</v>
      </c>
    </row>
    <row r="308" spans="39:44">
      <c r="AM308" s="556">
        <v>45629</v>
      </c>
      <c r="AN308" s="557">
        <v>4.4000000000000004</v>
      </c>
      <c r="AO308" s="557">
        <v>1149200</v>
      </c>
      <c r="AP308" s="557">
        <v>103.18898</v>
      </c>
      <c r="AQ308" s="557">
        <v>454.03151200000002</v>
      </c>
      <c r="AR308" s="557">
        <v>3.1962999999999999</v>
      </c>
    </row>
    <row r="309" spans="39:44">
      <c r="AM309" s="556">
        <v>45628</v>
      </c>
      <c r="AN309" s="557">
        <v>4.4000000000000004</v>
      </c>
      <c r="AO309" s="557">
        <v>1149200</v>
      </c>
      <c r="AP309" s="557">
        <v>103.18898</v>
      </c>
      <c r="AQ309" s="557">
        <v>454.03151200000002</v>
      </c>
      <c r="AR309" s="557">
        <v>3.1962999999999999</v>
      </c>
    </row>
    <row r="310" spans="39:44">
      <c r="AM310" s="556">
        <v>45627</v>
      </c>
      <c r="AN310" s="557">
        <v>4.49</v>
      </c>
      <c r="AO310" s="557">
        <v>1000400</v>
      </c>
      <c r="AP310" s="557">
        <v>103.18898</v>
      </c>
      <c r="AQ310" s="557">
        <v>463.31852020000002</v>
      </c>
      <c r="AR310" s="557">
        <v>3.2252000000000001</v>
      </c>
    </row>
    <row r="311" spans="39:44">
      <c r="AM311" s="556">
        <v>45626</v>
      </c>
      <c r="AN311" s="557">
        <v>4.63</v>
      </c>
      <c r="AO311" s="557">
        <v>409200</v>
      </c>
      <c r="AP311" s="557">
        <v>103.18898</v>
      </c>
      <c r="AQ311" s="557">
        <v>477.76497740000002</v>
      </c>
      <c r="AR311" s="557">
        <v>3.3702000000000001</v>
      </c>
    </row>
    <row r="312" spans="39:44">
      <c r="AM312" s="556">
        <v>45625</v>
      </c>
      <c r="AN312" s="557">
        <v>4.5750000000000002</v>
      </c>
      <c r="AO312" s="557">
        <v>292400</v>
      </c>
      <c r="AP312" s="557">
        <v>103.18898</v>
      </c>
      <c r="AQ312" s="557">
        <v>472.0895835</v>
      </c>
      <c r="AR312" s="557">
        <v>3.3340000000000001</v>
      </c>
    </row>
    <row r="313" spans="39:44">
      <c r="AM313" s="556">
        <v>45624</v>
      </c>
      <c r="AN313" s="557">
        <v>4.5449999999999999</v>
      </c>
      <c r="AO313" s="557">
        <v>468000</v>
      </c>
      <c r="AP313" s="557">
        <v>103.18898</v>
      </c>
      <c r="AQ313" s="557">
        <v>468.99391409999998</v>
      </c>
      <c r="AR313" s="557">
        <v>3.3121999999999998</v>
      </c>
    </row>
    <row r="314" spans="39:44">
      <c r="AM314" s="556">
        <v>45623</v>
      </c>
      <c r="AN314" s="557">
        <v>4.375</v>
      </c>
      <c r="AO314" s="557">
        <v>521600</v>
      </c>
      <c r="AP314" s="557">
        <v>103.18898</v>
      </c>
      <c r="AQ314" s="557">
        <v>451.45178750000002</v>
      </c>
      <c r="AR314" s="557">
        <v>3.1745000000000001</v>
      </c>
    </row>
    <row r="315" spans="39:44">
      <c r="AM315" s="556">
        <v>45622</v>
      </c>
      <c r="AN315" s="557">
        <v>4.375</v>
      </c>
      <c r="AO315" s="557">
        <v>521600</v>
      </c>
      <c r="AP315" s="557">
        <v>103.18898</v>
      </c>
      <c r="AQ315" s="557">
        <v>451.45178750000002</v>
      </c>
      <c r="AR315" s="557">
        <v>3.1745000000000001</v>
      </c>
    </row>
    <row r="316" spans="39:44">
      <c r="AM316" s="556">
        <v>45621</v>
      </c>
      <c r="AN316" s="557">
        <v>4.375</v>
      </c>
      <c r="AO316" s="557">
        <v>521600</v>
      </c>
      <c r="AP316" s="557">
        <v>103.18898</v>
      </c>
      <c r="AQ316" s="557">
        <v>451.45178750000002</v>
      </c>
      <c r="AR316" s="557">
        <v>3.1745000000000001</v>
      </c>
    </row>
    <row r="317" spans="39:44">
      <c r="AM317" s="556">
        <v>45620</v>
      </c>
      <c r="AN317" s="557">
        <v>4.5149999999999997</v>
      </c>
      <c r="AO317" s="557">
        <v>1026100</v>
      </c>
      <c r="AP317" s="557">
        <v>103.18898</v>
      </c>
      <c r="AQ317" s="557">
        <v>465.89824469999996</v>
      </c>
      <c r="AR317" s="557">
        <v>3.2759999999999998</v>
      </c>
    </row>
    <row r="318" spans="39:44">
      <c r="AM318" s="556">
        <v>45619</v>
      </c>
      <c r="AN318" s="557">
        <v>4.6150000000000002</v>
      </c>
      <c r="AO318" s="557">
        <v>388800</v>
      </c>
      <c r="AP318" s="557">
        <v>103.18898</v>
      </c>
      <c r="AQ318" s="557">
        <v>476.21714270000001</v>
      </c>
      <c r="AR318" s="557">
        <v>3.363</v>
      </c>
    </row>
    <row r="319" spans="39:44">
      <c r="AM319" s="556">
        <v>45618</v>
      </c>
      <c r="AN319" s="557">
        <v>4.5650000000000004</v>
      </c>
      <c r="AO319" s="557">
        <v>478200</v>
      </c>
      <c r="AP319" s="557">
        <v>103.18898</v>
      </c>
      <c r="AQ319" s="557">
        <v>471.05769370000002</v>
      </c>
      <c r="AR319" s="557">
        <v>3.3121999999999998</v>
      </c>
    </row>
    <row r="320" spans="39:44">
      <c r="AM320" s="556">
        <v>45617</v>
      </c>
      <c r="AN320" s="557">
        <v>4.71</v>
      </c>
      <c r="AO320" s="557">
        <v>503800</v>
      </c>
      <c r="AP320" s="557">
        <v>103.18898</v>
      </c>
      <c r="AQ320" s="557">
        <v>486.02009579999998</v>
      </c>
      <c r="AR320" s="557">
        <v>3.4281999999999999</v>
      </c>
    </row>
    <row r="321" spans="39:44">
      <c r="AM321" s="556">
        <v>45616</v>
      </c>
      <c r="AN321" s="557">
        <v>4.6050000000000004</v>
      </c>
      <c r="AO321" s="557">
        <v>431100</v>
      </c>
      <c r="AP321" s="557">
        <v>103.18898</v>
      </c>
      <c r="AQ321" s="557">
        <v>475.18525290000002</v>
      </c>
      <c r="AR321" s="557">
        <v>3.3340000000000001</v>
      </c>
    </row>
    <row r="322" spans="39:44">
      <c r="AM322" s="556">
        <v>45615</v>
      </c>
      <c r="AN322" s="557">
        <v>4.6050000000000004</v>
      </c>
      <c r="AO322" s="557">
        <v>431100</v>
      </c>
      <c r="AP322" s="557">
        <v>103.18898</v>
      </c>
      <c r="AQ322" s="557">
        <v>475.18525290000002</v>
      </c>
      <c r="AR322" s="557">
        <v>3.3340000000000001</v>
      </c>
    </row>
    <row r="323" spans="39:44">
      <c r="AM323" s="556">
        <v>45614</v>
      </c>
      <c r="AN323" s="557">
        <v>4.6050000000000004</v>
      </c>
      <c r="AO323" s="557">
        <v>431100</v>
      </c>
      <c r="AP323" s="557">
        <v>103.18898</v>
      </c>
      <c r="AQ323" s="557">
        <v>475.18525290000002</v>
      </c>
      <c r="AR323" s="557">
        <v>3.3340000000000001</v>
      </c>
    </row>
    <row r="324" spans="39:44">
      <c r="AM324" s="556">
        <v>45613</v>
      </c>
      <c r="AN324" s="557">
        <v>4.72</v>
      </c>
      <c r="AO324" s="557">
        <v>716300</v>
      </c>
      <c r="AP324" s="557">
        <v>103.18898</v>
      </c>
      <c r="AQ324" s="557">
        <v>487.05198559999997</v>
      </c>
      <c r="AR324" s="557">
        <v>3.4281999999999999</v>
      </c>
    </row>
    <row r="325" spans="39:44">
      <c r="AM325" s="556">
        <v>45612</v>
      </c>
      <c r="AN325" s="557">
        <v>4.49</v>
      </c>
      <c r="AO325" s="557">
        <v>975000</v>
      </c>
      <c r="AP325" s="557">
        <v>103.18898</v>
      </c>
      <c r="AQ325" s="557">
        <v>463.31852020000002</v>
      </c>
      <c r="AR325" s="557">
        <v>3.2686999999999999</v>
      </c>
    </row>
    <row r="326" spans="39:44">
      <c r="AM326" s="556">
        <v>45611</v>
      </c>
      <c r="AN326" s="557">
        <v>4.4050000000000002</v>
      </c>
      <c r="AO326" s="557">
        <v>680900</v>
      </c>
      <c r="AP326" s="557">
        <v>103.18898</v>
      </c>
      <c r="AQ326" s="557">
        <v>454.54745690000004</v>
      </c>
      <c r="AR326" s="557">
        <v>3.1890000000000001</v>
      </c>
    </row>
    <row r="327" spans="39:44">
      <c r="AM327" s="556">
        <v>45610</v>
      </c>
      <c r="AN327" s="557">
        <v>4.415</v>
      </c>
      <c r="AO327" s="557">
        <v>771100</v>
      </c>
      <c r="AP327" s="557">
        <v>103.18898</v>
      </c>
      <c r="AQ327" s="557">
        <v>455.57934670000003</v>
      </c>
      <c r="AR327" s="557">
        <v>3.1962999999999999</v>
      </c>
    </row>
    <row r="328" spans="39:44">
      <c r="AM328" s="556">
        <v>45609</v>
      </c>
      <c r="AN328" s="557">
        <v>4.5250000000000004</v>
      </c>
      <c r="AO328" s="557">
        <v>526800</v>
      </c>
      <c r="AP328" s="557">
        <v>103.18898</v>
      </c>
      <c r="AQ328" s="557">
        <v>466.93013450000007</v>
      </c>
      <c r="AR328" s="557">
        <v>3.2759999999999998</v>
      </c>
    </row>
    <row r="329" spans="39:44">
      <c r="AM329" s="556">
        <v>45608</v>
      </c>
      <c r="AN329" s="557">
        <v>4.5250000000000004</v>
      </c>
      <c r="AO329" s="557">
        <v>526800</v>
      </c>
      <c r="AP329" s="557">
        <v>103.18898</v>
      </c>
      <c r="AQ329" s="557">
        <v>466.93013450000007</v>
      </c>
      <c r="AR329" s="557">
        <v>3.2759999999999998</v>
      </c>
    </row>
    <row r="330" spans="39:44">
      <c r="AM330" s="556">
        <v>45607</v>
      </c>
      <c r="AN330" s="557">
        <v>4.5250000000000004</v>
      </c>
      <c r="AO330" s="557">
        <v>526800</v>
      </c>
      <c r="AP330" s="557">
        <v>103.18898</v>
      </c>
      <c r="AQ330" s="557">
        <v>466.93013450000007</v>
      </c>
      <c r="AR330" s="557">
        <v>3.2759999999999998</v>
      </c>
    </row>
    <row r="331" spans="39:44">
      <c r="AM331" s="556">
        <v>45606</v>
      </c>
      <c r="AN331" s="557">
        <v>4.6050000000000004</v>
      </c>
      <c r="AO331" s="557">
        <v>292100</v>
      </c>
      <c r="AP331" s="557">
        <v>103.18898</v>
      </c>
      <c r="AQ331" s="557">
        <v>475.18525290000002</v>
      </c>
      <c r="AR331" s="557">
        <v>3.3485</v>
      </c>
    </row>
    <row r="332" spans="39:44">
      <c r="AM332" s="556">
        <v>45605</v>
      </c>
      <c r="AN332" s="557">
        <v>4.6349999999999998</v>
      </c>
      <c r="AO332" s="557">
        <v>265000</v>
      </c>
      <c r="AP332" s="557">
        <v>103.18898</v>
      </c>
      <c r="AQ332" s="557">
        <v>478.28092229999999</v>
      </c>
      <c r="AR332" s="557">
        <v>3.363</v>
      </c>
    </row>
    <row r="333" spans="39:44">
      <c r="AM333" s="556">
        <v>45604</v>
      </c>
      <c r="AN333" s="557">
        <v>4.6050000000000004</v>
      </c>
      <c r="AO333" s="557">
        <v>260200</v>
      </c>
      <c r="AP333" s="557">
        <v>103.18898</v>
      </c>
      <c r="AQ333" s="557">
        <v>475.18525290000002</v>
      </c>
      <c r="AR333" s="557">
        <v>3.3340000000000001</v>
      </c>
    </row>
    <row r="334" spans="39:44">
      <c r="AM334" s="556">
        <v>45603</v>
      </c>
      <c r="AN334" s="557">
        <v>4.5949999999999998</v>
      </c>
      <c r="AO334" s="557">
        <v>333700</v>
      </c>
      <c r="AP334" s="557">
        <v>103.18898</v>
      </c>
      <c r="AQ334" s="557">
        <v>474.15336309999998</v>
      </c>
      <c r="AR334" s="557">
        <v>3.3267000000000002</v>
      </c>
    </row>
    <row r="335" spans="39:44">
      <c r="AM335" s="556">
        <v>45602</v>
      </c>
      <c r="AN335" s="557">
        <v>4.5199999999999996</v>
      </c>
      <c r="AO335" s="557">
        <v>344800</v>
      </c>
      <c r="AP335" s="557">
        <v>103.18898</v>
      </c>
      <c r="AQ335" s="557">
        <v>466.41418959999999</v>
      </c>
      <c r="AR335" s="557">
        <v>3.2686999999999999</v>
      </c>
    </row>
    <row r="336" spans="39:44">
      <c r="AM336" s="556">
        <v>45601</v>
      </c>
      <c r="AN336" s="557">
        <v>4.5199999999999996</v>
      </c>
      <c r="AO336" s="557">
        <v>344800</v>
      </c>
      <c r="AP336" s="557">
        <v>103.18898</v>
      </c>
      <c r="AQ336" s="557">
        <v>466.41418959999999</v>
      </c>
      <c r="AR336" s="557">
        <v>3.2686999999999999</v>
      </c>
    </row>
    <row r="337" spans="39:44">
      <c r="AM337" s="556">
        <v>45600</v>
      </c>
      <c r="AN337" s="557">
        <v>4.5199999999999996</v>
      </c>
      <c r="AO337" s="557">
        <v>344800</v>
      </c>
      <c r="AP337" s="557">
        <v>103.18898</v>
      </c>
      <c r="AQ337" s="557">
        <v>466.41418959999999</v>
      </c>
      <c r="AR337" s="557">
        <v>3.2686999999999999</v>
      </c>
    </row>
    <row r="338" spans="39:44">
      <c r="AM338" s="556">
        <v>45599</v>
      </c>
      <c r="AN338" s="557">
        <v>4.53</v>
      </c>
      <c r="AO338" s="557">
        <v>311600</v>
      </c>
      <c r="AP338" s="557">
        <v>103.18898</v>
      </c>
      <c r="AQ338" s="557">
        <v>467.44607940000003</v>
      </c>
      <c r="AR338" s="557">
        <v>3.2905000000000002</v>
      </c>
    </row>
    <row r="339" spans="39:44">
      <c r="AM339" s="556">
        <v>45598</v>
      </c>
      <c r="AN339" s="557">
        <v>4.5250000000000004</v>
      </c>
      <c r="AO339" s="557">
        <v>357500</v>
      </c>
      <c r="AP339" s="557">
        <v>103.18898</v>
      </c>
      <c r="AQ339" s="557">
        <v>466.93013450000007</v>
      </c>
      <c r="AR339" s="557">
        <v>3.2831999999999999</v>
      </c>
    </row>
    <row r="340" spans="39:44">
      <c r="AM340" s="556">
        <v>45597</v>
      </c>
      <c r="AN340" s="557">
        <v>4.6150000000000002</v>
      </c>
      <c r="AO340" s="557">
        <v>285700</v>
      </c>
      <c r="AP340" s="557">
        <v>103.18898</v>
      </c>
      <c r="AQ340" s="557">
        <v>476.21714270000001</v>
      </c>
      <c r="AR340" s="557">
        <v>3.3485</v>
      </c>
    </row>
    <row r="341" spans="39:44">
      <c r="AM341" s="556">
        <v>45596</v>
      </c>
      <c r="AN341" s="557">
        <v>4.6100000000000003</v>
      </c>
      <c r="AO341" s="557">
        <v>428600</v>
      </c>
      <c r="AP341" s="557">
        <v>103.18898</v>
      </c>
      <c r="AQ341" s="557">
        <v>475.70119780000005</v>
      </c>
      <c r="AR341" s="557">
        <v>3.3557000000000001</v>
      </c>
    </row>
    <row r="342" spans="39:44">
      <c r="AM342" s="556">
        <v>45595</v>
      </c>
      <c r="AN342" s="557">
        <v>4.6050000000000004</v>
      </c>
      <c r="AO342" s="557">
        <v>393700</v>
      </c>
      <c r="AP342" s="557">
        <v>103.18898</v>
      </c>
      <c r="AQ342" s="557">
        <v>475.18525290000002</v>
      </c>
      <c r="AR342" s="557">
        <v>3.3412000000000002</v>
      </c>
    </row>
    <row r="343" spans="39:44">
      <c r="AM343" s="556">
        <v>45594</v>
      </c>
      <c r="AN343" s="557">
        <v>4.6050000000000004</v>
      </c>
      <c r="AO343" s="557">
        <v>393700</v>
      </c>
      <c r="AP343" s="557">
        <v>103.18898</v>
      </c>
      <c r="AQ343" s="557">
        <v>475.18525290000002</v>
      </c>
      <c r="AR343" s="557">
        <v>3.3412000000000002</v>
      </c>
    </row>
    <row r="344" spans="39:44">
      <c r="AM344" s="556">
        <v>45593</v>
      </c>
      <c r="AN344" s="557">
        <v>4.6050000000000004</v>
      </c>
      <c r="AO344" s="557">
        <v>393700</v>
      </c>
      <c r="AP344" s="557">
        <v>103.18898</v>
      </c>
      <c r="AQ344" s="557">
        <v>475.18525290000002</v>
      </c>
      <c r="AR344" s="557">
        <v>3.3412000000000002</v>
      </c>
    </row>
    <row r="345" spans="39:44">
      <c r="AM345" s="556">
        <v>45592</v>
      </c>
      <c r="AN345" s="557">
        <v>4.585</v>
      </c>
      <c r="AO345" s="557">
        <v>544200</v>
      </c>
      <c r="AP345" s="557">
        <v>103.18898</v>
      </c>
      <c r="AQ345" s="557">
        <v>473.12147329999999</v>
      </c>
      <c r="AR345" s="557">
        <v>3.3267000000000002</v>
      </c>
    </row>
    <row r="346" spans="39:44">
      <c r="AM346" s="556">
        <v>45591</v>
      </c>
      <c r="AN346" s="557">
        <v>4.7249999999999996</v>
      </c>
      <c r="AO346" s="557">
        <v>755000</v>
      </c>
      <c r="AP346" s="557">
        <v>103.18898</v>
      </c>
      <c r="AQ346" s="557">
        <v>487.56793049999999</v>
      </c>
      <c r="AR346" s="557">
        <v>3.4137</v>
      </c>
    </row>
    <row r="347" spans="39:44">
      <c r="AM347" s="556">
        <v>45590</v>
      </c>
      <c r="AN347" s="557">
        <v>4.7850000000000001</v>
      </c>
      <c r="AO347" s="557">
        <v>437000</v>
      </c>
      <c r="AP347" s="557">
        <v>103.18898</v>
      </c>
      <c r="AQ347" s="557">
        <v>493.75926930000003</v>
      </c>
      <c r="AR347" s="557">
        <v>3.4571999999999998</v>
      </c>
    </row>
    <row r="348" spans="39:44">
      <c r="AM348" s="556">
        <v>45589</v>
      </c>
      <c r="AN348" s="557">
        <v>4.8049999999999997</v>
      </c>
      <c r="AO348" s="557">
        <v>567100</v>
      </c>
      <c r="AP348" s="557">
        <v>103.18898</v>
      </c>
      <c r="AQ348" s="557">
        <v>495.82304889999995</v>
      </c>
      <c r="AR348" s="557">
        <v>3.4933999999999998</v>
      </c>
    </row>
    <row r="349" spans="39:44">
      <c r="AM349" s="556">
        <v>45588</v>
      </c>
      <c r="AN349" s="557">
        <v>4.82</v>
      </c>
      <c r="AO349" s="557">
        <v>677800</v>
      </c>
      <c r="AP349" s="557">
        <v>103.18898</v>
      </c>
      <c r="AQ349" s="557">
        <v>497.37088360000001</v>
      </c>
      <c r="AR349" s="557">
        <v>3.5861999999999998</v>
      </c>
    </row>
    <row r="350" spans="39:44">
      <c r="AM350" s="556">
        <v>45587</v>
      </c>
      <c r="AN350" s="557">
        <v>4.82</v>
      </c>
      <c r="AO350" s="557">
        <v>677800</v>
      </c>
      <c r="AP350" s="557">
        <v>103.18898</v>
      </c>
      <c r="AQ350" s="557">
        <v>497.37088360000001</v>
      </c>
      <c r="AR350" s="557">
        <v>3.5861999999999998</v>
      </c>
    </row>
    <row r="351" spans="39:44">
      <c r="AM351" s="556">
        <v>45586</v>
      </c>
      <c r="AN351" s="557">
        <v>4.82</v>
      </c>
      <c r="AO351" s="557">
        <v>677800</v>
      </c>
      <c r="AP351" s="557">
        <v>103.18898</v>
      </c>
      <c r="AQ351" s="557">
        <v>497.37088360000001</v>
      </c>
      <c r="AR351" s="557">
        <v>3.5861999999999998</v>
      </c>
    </row>
    <row r="352" spans="39:44">
      <c r="AM352" s="556">
        <v>45585</v>
      </c>
      <c r="AN352" s="557">
        <v>4.6449999999999996</v>
      </c>
      <c r="AO352" s="557">
        <v>282200</v>
      </c>
      <c r="AP352" s="557">
        <v>103.18898</v>
      </c>
      <c r="AQ352" s="557">
        <v>479.31281209999997</v>
      </c>
      <c r="AR352" s="557">
        <v>3.4453999999999998</v>
      </c>
    </row>
    <row r="353" spans="39:44">
      <c r="AM353" s="556">
        <v>45584</v>
      </c>
      <c r="AN353" s="557">
        <v>4.54</v>
      </c>
      <c r="AO353" s="557">
        <v>533600</v>
      </c>
      <c r="AP353" s="557">
        <v>103.18898</v>
      </c>
      <c r="AQ353" s="557">
        <v>468.47796920000002</v>
      </c>
      <c r="AR353" s="557">
        <v>3.3565</v>
      </c>
    </row>
    <row r="354" spans="39:44">
      <c r="AM354" s="556">
        <v>45583</v>
      </c>
      <c r="AN354" s="557">
        <v>4.63</v>
      </c>
      <c r="AO354" s="557">
        <v>773200</v>
      </c>
      <c r="AP354" s="557">
        <v>103.18898</v>
      </c>
      <c r="AQ354" s="557">
        <v>477.76497740000002</v>
      </c>
      <c r="AR354" s="557">
        <v>3.4380000000000002</v>
      </c>
    </row>
    <row r="355" spans="39:44">
      <c r="AM355" s="556">
        <v>45582</v>
      </c>
      <c r="AN355" s="557">
        <v>4.67</v>
      </c>
      <c r="AO355" s="557">
        <v>352100</v>
      </c>
      <c r="AP355" s="557">
        <v>103.18898</v>
      </c>
      <c r="AQ355" s="557">
        <v>481.89253659999997</v>
      </c>
      <c r="AR355" s="557">
        <v>3.4453999999999998</v>
      </c>
    </row>
    <row r="356" spans="39:44">
      <c r="AM356" s="556">
        <v>45581</v>
      </c>
      <c r="AN356" s="557">
        <v>4.6550000000000002</v>
      </c>
      <c r="AO356" s="557">
        <v>972600</v>
      </c>
      <c r="AP356" s="557">
        <v>103.18898</v>
      </c>
      <c r="AQ356" s="557">
        <v>480.34470190000002</v>
      </c>
      <c r="AR356" s="557">
        <v>3.4453999999999998</v>
      </c>
    </row>
    <row r="357" spans="39:44">
      <c r="AM357" s="556">
        <v>45580</v>
      </c>
      <c r="AN357" s="557">
        <v>4.6550000000000002</v>
      </c>
      <c r="AO357" s="557">
        <v>972600</v>
      </c>
      <c r="AP357" s="557">
        <v>103.18898</v>
      </c>
      <c r="AQ357" s="557">
        <v>480.34470190000002</v>
      </c>
      <c r="AR357" s="557">
        <v>3.4453999999999998</v>
      </c>
    </row>
    <row r="358" spans="39:44">
      <c r="AM358" s="556">
        <v>45579</v>
      </c>
      <c r="AN358" s="557">
        <v>4.6550000000000002</v>
      </c>
      <c r="AO358" s="557">
        <v>972600</v>
      </c>
      <c r="AP358" s="557">
        <v>103.18898</v>
      </c>
      <c r="AQ358" s="557">
        <v>480.34470190000002</v>
      </c>
      <c r="AR358" s="557">
        <v>3.4453999999999998</v>
      </c>
    </row>
    <row r="359" spans="39:44">
      <c r="AM359" s="556">
        <v>45578</v>
      </c>
      <c r="AN359" s="557">
        <v>4.92</v>
      </c>
      <c r="AO359" s="557">
        <v>406300</v>
      </c>
      <c r="AP359" s="557">
        <v>103.18898</v>
      </c>
      <c r="AQ359" s="557">
        <v>507.6897816</v>
      </c>
      <c r="AR359" s="557">
        <v>3.6602999999999999</v>
      </c>
    </row>
    <row r="360" spans="39:44">
      <c r="AM360" s="556">
        <v>45577</v>
      </c>
      <c r="AN360" s="557">
        <v>5.0049999999999999</v>
      </c>
      <c r="AO360" s="557">
        <v>270400</v>
      </c>
      <c r="AP360" s="557">
        <v>103.18898</v>
      </c>
      <c r="AQ360" s="557">
        <v>516.46084489999998</v>
      </c>
      <c r="AR360" s="557">
        <v>3.7048000000000001</v>
      </c>
    </row>
    <row r="361" spans="39:44">
      <c r="AM361" s="556">
        <v>45576</v>
      </c>
      <c r="AN361" s="557">
        <v>5.0250000000000004</v>
      </c>
      <c r="AO361" s="557">
        <v>210500</v>
      </c>
      <c r="AP361" s="557">
        <v>103.18898</v>
      </c>
      <c r="AQ361" s="557">
        <v>518.52462450000007</v>
      </c>
      <c r="AR361" s="557">
        <v>3.7269999999999999</v>
      </c>
    </row>
    <row r="362" spans="39:44">
      <c r="AM362" s="556">
        <v>45575</v>
      </c>
      <c r="AN362" s="557">
        <v>5.0949999999999998</v>
      </c>
      <c r="AO362" s="557">
        <v>193500</v>
      </c>
      <c r="AP362" s="557">
        <v>103.18898</v>
      </c>
      <c r="AQ362" s="557">
        <v>525.74785309999993</v>
      </c>
      <c r="AR362" s="557">
        <v>3.7566000000000002</v>
      </c>
    </row>
    <row r="363" spans="39:44">
      <c r="AM363" s="556">
        <v>45574</v>
      </c>
      <c r="AN363" s="557">
        <v>5.1150000000000002</v>
      </c>
      <c r="AO363" s="557">
        <v>270100</v>
      </c>
      <c r="AP363" s="557">
        <v>103.18898</v>
      </c>
      <c r="AQ363" s="557">
        <v>527.81163270000002</v>
      </c>
      <c r="AR363" s="557">
        <v>3.7715000000000001</v>
      </c>
    </row>
    <row r="364" spans="39:44">
      <c r="AM364" s="556">
        <v>45573</v>
      </c>
      <c r="AN364" s="557">
        <v>5.1150000000000002</v>
      </c>
      <c r="AO364" s="557">
        <v>270100</v>
      </c>
      <c r="AP364" s="557">
        <v>103.18898</v>
      </c>
      <c r="AQ364" s="557">
        <v>527.81163270000002</v>
      </c>
      <c r="AR364" s="557">
        <v>3.7715000000000001</v>
      </c>
    </row>
    <row r="365" spans="39:44">
      <c r="AM365" s="556">
        <v>45572</v>
      </c>
      <c r="AN365" s="557">
        <v>5.1150000000000002</v>
      </c>
      <c r="AO365" s="557">
        <v>270100</v>
      </c>
      <c r="AP365" s="557">
        <v>103.18898</v>
      </c>
      <c r="AQ365" s="557">
        <v>527.81163270000002</v>
      </c>
      <c r="AR365" s="557">
        <v>3.7715000000000001</v>
      </c>
    </row>
    <row r="366" spans="39:44">
      <c r="AM366" s="556">
        <v>45571</v>
      </c>
      <c r="AN366" s="557">
        <v>4.9400000000000004</v>
      </c>
      <c r="AO366" s="557">
        <v>321100</v>
      </c>
      <c r="AP366" s="557">
        <v>103.18898</v>
      </c>
      <c r="AQ366" s="557">
        <v>509.75356120000004</v>
      </c>
      <c r="AR366" s="557">
        <v>3.6455000000000002</v>
      </c>
    </row>
    <row r="367" spans="39:44">
      <c r="AM367" s="556">
        <v>45570</v>
      </c>
      <c r="AN367" s="557">
        <v>5.0250000000000004</v>
      </c>
      <c r="AO367" s="557">
        <v>144500</v>
      </c>
      <c r="AP367" s="557">
        <v>103.18898</v>
      </c>
      <c r="AQ367" s="557">
        <v>518.52462450000007</v>
      </c>
      <c r="AR367" s="557">
        <v>3.7269999999999999</v>
      </c>
    </row>
    <row r="368" spans="39:44">
      <c r="AM368" s="556">
        <v>45569</v>
      </c>
      <c r="AN368" s="557">
        <v>4.9950000000000001</v>
      </c>
      <c r="AO368" s="557">
        <v>469000</v>
      </c>
      <c r="AP368" s="557">
        <v>103.18898</v>
      </c>
      <c r="AQ368" s="557">
        <v>515.42895510000005</v>
      </c>
      <c r="AR368" s="557">
        <v>3.6974</v>
      </c>
    </row>
    <row r="369" spans="39:44">
      <c r="AM369" s="556">
        <v>45568</v>
      </c>
      <c r="AN369" s="557">
        <v>5.0549999999999997</v>
      </c>
      <c r="AO369" s="557">
        <v>381300</v>
      </c>
      <c r="AP369" s="557">
        <v>103.18898</v>
      </c>
      <c r="AQ369" s="557">
        <v>521.62029389999998</v>
      </c>
      <c r="AR369" s="557">
        <v>3.7418</v>
      </c>
    </row>
    <row r="370" spans="39:44">
      <c r="AM370" s="556">
        <v>45567</v>
      </c>
      <c r="AN370" s="557">
        <v>5.0750000000000002</v>
      </c>
      <c r="AO370" s="557">
        <v>423800</v>
      </c>
      <c r="AP370" s="557">
        <v>103.18898</v>
      </c>
      <c r="AQ370" s="557">
        <v>523.68407350000007</v>
      </c>
      <c r="AR370" s="557">
        <v>3.7639999999999998</v>
      </c>
    </row>
    <row r="371" spans="39:44">
      <c r="AM371" s="556">
        <v>45566</v>
      </c>
      <c r="AN371" s="557">
        <v>5.0750000000000002</v>
      </c>
      <c r="AO371" s="557">
        <v>423800</v>
      </c>
      <c r="AP371" s="557">
        <v>103.18898</v>
      </c>
      <c r="AQ371" s="557">
        <v>523.68407350000007</v>
      </c>
      <c r="AR371" s="557">
        <v>3.7639999999999998</v>
      </c>
    </row>
    <row r="372" spans="39:44">
      <c r="AM372" s="556">
        <v>45565</v>
      </c>
      <c r="AN372" s="557">
        <v>5.0750000000000002</v>
      </c>
      <c r="AO372" s="557">
        <v>423800</v>
      </c>
      <c r="AP372" s="557">
        <v>103.18898</v>
      </c>
      <c r="AQ372" s="557">
        <v>523.68407350000007</v>
      </c>
      <c r="AR372" s="557">
        <v>3.7639999999999998</v>
      </c>
    </row>
    <row r="373" spans="39:44">
      <c r="AM373" s="556">
        <v>45564</v>
      </c>
      <c r="AN373" s="557">
        <v>5.19</v>
      </c>
      <c r="AO373" s="557">
        <v>208700</v>
      </c>
      <c r="AP373" s="557">
        <v>103.18898</v>
      </c>
      <c r="AQ373" s="557">
        <v>535.55080620000001</v>
      </c>
      <c r="AR373" s="557">
        <v>3.8380999999999998</v>
      </c>
    </row>
    <row r="374" spans="39:44">
      <c r="AM374" s="556">
        <v>45563</v>
      </c>
      <c r="AN374" s="557">
        <v>5.17</v>
      </c>
      <c r="AO374" s="557">
        <v>338300</v>
      </c>
      <c r="AP374" s="557">
        <v>103.18898</v>
      </c>
      <c r="AQ374" s="557">
        <v>533.48702660000004</v>
      </c>
      <c r="AR374" s="557">
        <v>3.8456000000000001</v>
      </c>
    </row>
    <row r="375" spans="39:44">
      <c r="AM375" s="556">
        <v>45562</v>
      </c>
      <c r="AN375" s="557">
        <v>5.0650000000000004</v>
      </c>
      <c r="AO375" s="557">
        <v>500500</v>
      </c>
      <c r="AP375" s="557">
        <v>103.18898</v>
      </c>
      <c r="AQ375" s="557">
        <v>522.65218370000002</v>
      </c>
      <c r="AR375" s="557">
        <v>3.7566000000000002</v>
      </c>
    </row>
    <row r="376" spans="39:44">
      <c r="AM376" s="556">
        <v>45561</v>
      </c>
      <c r="AN376" s="557">
        <v>5.2949999999999999</v>
      </c>
      <c r="AO376" s="557">
        <v>260300</v>
      </c>
      <c r="AP376" s="557">
        <v>103.18898</v>
      </c>
      <c r="AQ376" s="557">
        <v>546.38564910000002</v>
      </c>
      <c r="AR376" s="557">
        <v>3.9121999999999999</v>
      </c>
    </row>
    <row r="377" spans="39:44">
      <c r="AM377" s="556">
        <v>45560</v>
      </c>
      <c r="AN377" s="557">
        <v>5.3550000000000004</v>
      </c>
      <c r="AO377" s="557">
        <v>545400</v>
      </c>
      <c r="AP377" s="557">
        <v>103.18898</v>
      </c>
      <c r="AQ377" s="557">
        <v>552.57698790000006</v>
      </c>
      <c r="AR377" s="557">
        <v>3.9788999999999999</v>
      </c>
    </row>
    <row r="378" spans="39:44">
      <c r="AM378" s="556">
        <v>45559</v>
      </c>
      <c r="AN378" s="557">
        <v>5.3550000000000004</v>
      </c>
      <c r="AO378" s="557">
        <v>545400</v>
      </c>
      <c r="AP378" s="557">
        <v>103.18898</v>
      </c>
      <c r="AQ378" s="557">
        <v>552.57698790000006</v>
      </c>
      <c r="AR378" s="557">
        <v>3.9788999999999999</v>
      </c>
    </row>
    <row r="379" spans="39:44">
      <c r="AM379" s="556">
        <v>45558</v>
      </c>
      <c r="AN379" s="557">
        <v>5.3550000000000004</v>
      </c>
      <c r="AO379" s="557">
        <v>545400</v>
      </c>
      <c r="AP379" s="557">
        <v>103.18898</v>
      </c>
      <c r="AQ379" s="557">
        <v>552.57698790000006</v>
      </c>
      <c r="AR379" s="557">
        <v>3.9788999999999999</v>
      </c>
    </row>
    <row r="380" spans="39:44">
      <c r="AM380" s="556">
        <v>45557</v>
      </c>
      <c r="AN380" s="557">
        <v>5.22</v>
      </c>
      <c r="AO380" s="557">
        <v>303300</v>
      </c>
      <c r="AP380" s="557">
        <v>103.18898</v>
      </c>
      <c r="AQ380" s="557">
        <v>538.64647560000003</v>
      </c>
      <c r="AR380" s="557">
        <v>3.8826000000000001</v>
      </c>
    </row>
    <row r="381" spans="39:44">
      <c r="AM381" s="556">
        <v>45556</v>
      </c>
      <c r="AN381" s="557">
        <v>5.27</v>
      </c>
      <c r="AO381" s="557">
        <v>133000</v>
      </c>
      <c r="AP381" s="557">
        <v>103.18898</v>
      </c>
      <c r="AQ381" s="557">
        <v>543.80592459999991</v>
      </c>
      <c r="AR381" s="557">
        <v>3.9196</v>
      </c>
    </row>
    <row r="382" spans="39:44">
      <c r="AM382" s="556">
        <v>45555</v>
      </c>
      <c r="AN382" s="557">
        <v>5.2549999999999999</v>
      </c>
      <c r="AO382" s="557">
        <v>220000</v>
      </c>
      <c r="AP382" s="557">
        <v>103.18898</v>
      </c>
      <c r="AQ382" s="557">
        <v>542.25808989999996</v>
      </c>
      <c r="AR382" s="557">
        <v>3.89</v>
      </c>
    </row>
    <row r="383" spans="39:44">
      <c r="AM383" s="556">
        <v>45554</v>
      </c>
      <c r="AN383" s="557">
        <v>5.2050000000000001</v>
      </c>
      <c r="AO383" s="557">
        <v>258000</v>
      </c>
      <c r="AP383" s="557">
        <v>103.18898</v>
      </c>
      <c r="AQ383" s="557">
        <v>537.09864089999996</v>
      </c>
      <c r="AR383" s="557">
        <v>3.8603999999999998</v>
      </c>
    </row>
    <row r="384" spans="39:44">
      <c r="AM384" s="556">
        <v>45553</v>
      </c>
      <c r="AN384" s="557">
        <v>5.3</v>
      </c>
      <c r="AO384" s="557">
        <v>187300</v>
      </c>
      <c r="AP384" s="557">
        <v>103.18898</v>
      </c>
      <c r="AQ384" s="557">
        <v>546.90159399999993</v>
      </c>
      <c r="AR384" s="557">
        <v>3.9196</v>
      </c>
    </row>
    <row r="385" spans="39:44">
      <c r="AM385" s="556">
        <v>45552</v>
      </c>
      <c r="AN385" s="557">
        <v>5.3</v>
      </c>
      <c r="AO385" s="557">
        <v>187300</v>
      </c>
      <c r="AP385" s="557">
        <v>103.18898</v>
      </c>
      <c r="AQ385" s="557">
        <v>546.90159399999993</v>
      </c>
      <c r="AR385" s="557">
        <v>3.9196</v>
      </c>
    </row>
    <row r="386" spans="39:44">
      <c r="AM386" s="556">
        <v>45551</v>
      </c>
      <c r="AN386" s="557">
        <v>5.3</v>
      </c>
      <c r="AO386" s="557">
        <v>187300</v>
      </c>
      <c r="AP386" s="557">
        <v>103.18898</v>
      </c>
      <c r="AQ386" s="557">
        <v>546.90159399999993</v>
      </c>
      <c r="AR386" s="557">
        <v>3.9196</v>
      </c>
    </row>
    <row r="387" spans="39:44">
      <c r="AM387" s="556">
        <v>45550</v>
      </c>
      <c r="AN387" s="557">
        <v>5.16</v>
      </c>
      <c r="AO387" s="557">
        <v>391300</v>
      </c>
      <c r="AP387" s="557">
        <v>103.18898</v>
      </c>
      <c r="AQ387" s="557">
        <v>532.45513679999999</v>
      </c>
      <c r="AR387" s="557">
        <v>3.8010999999999999</v>
      </c>
    </row>
    <row r="388" spans="39:44">
      <c r="AM388" s="556">
        <v>45549</v>
      </c>
      <c r="AN388" s="557">
        <v>5.2249999999999996</v>
      </c>
      <c r="AO388" s="557">
        <v>167700</v>
      </c>
      <c r="AP388" s="557">
        <v>103.18898</v>
      </c>
      <c r="AQ388" s="557">
        <v>539.16242049999994</v>
      </c>
      <c r="AR388" s="557">
        <v>3.8603999999999998</v>
      </c>
    </row>
    <row r="389" spans="39:44">
      <c r="AM389" s="556">
        <v>45548</v>
      </c>
      <c r="AN389" s="557">
        <v>5.29</v>
      </c>
      <c r="AO389" s="557">
        <v>169900</v>
      </c>
      <c r="AP389" s="557">
        <v>103.18898</v>
      </c>
      <c r="AQ389" s="557">
        <v>545.8697042</v>
      </c>
      <c r="AR389" s="557">
        <v>3.9121999999999999</v>
      </c>
    </row>
    <row r="390" spans="39:44">
      <c r="AM390" s="556">
        <v>45547</v>
      </c>
      <c r="AN390" s="557">
        <v>5.3250000000000002</v>
      </c>
      <c r="AO390" s="557">
        <v>166000</v>
      </c>
      <c r="AP390" s="557">
        <v>103.18898</v>
      </c>
      <c r="AQ390" s="557">
        <v>549.48131850000004</v>
      </c>
      <c r="AR390" s="557">
        <v>3.9493</v>
      </c>
    </row>
    <row r="391" spans="39:44">
      <c r="AM391" s="556">
        <v>45546</v>
      </c>
      <c r="AN391" s="557">
        <v>5.17</v>
      </c>
      <c r="AO391" s="557">
        <v>226100</v>
      </c>
      <c r="AP391" s="557">
        <v>103.18898</v>
      </c>
      <c r="AQ391" s="557">
        <v>533.48702660000004</v>
      </c>
      <c r="AR391" s="557">
        <v>3.8233000000000001</v>
      </c>
    </row>
    <row r="392" spans="39:44">
      <c r="AM392" s="556">
        <v>45545</v>
      </c>
      <c r="AN392" s="557">
        <v>5.17</v>
      </c>
      <c r="AO392" s="557">
        <v>226100</v>
      </c>
      <c r="AP392" s="557">
        <v>103.18898</v>
      </c>
      <c r="AQ392" s="557">
        <v>533.48702660000004</v>
      </c>
      <c r="AR392" s="557">
        <v>3.8233000000000001</v>
      </c>
    </row>
    <row r="393" spans="39:44">
      <c r="AM393" s="556">
        <v>45544</v>
      </c>
      <c r="AN393" s="557">
        <v>5.17</v>
      </c>
      <c r="AO393" s="557">
        <v>226100</v>
      </c>
      <c r="AP393" s="557">
        <v>103.18898</v>
      </c>
      <c r="AQ393" s="557">
        <v>533.48702660000004</v>
      </c>
      <c r="AR393" s="557">
        <v>3.8233000000000001</v>
      </c>
    </row>
    <row r="394" spans="39:44">
      <c r="AM394" s="556">
        <v>45543</v>
      </c>
      <c r="AN394" s="557">
        <v>5.165</v>
      </c>
      <c r="AO394" s="557">
        <v>382600</v>
      </c>
      <c r="AP394" s="557">
        <v>103.18898</v>
      </c>
      <c r="AQ394" s="557">
        <v>532.97108170000001</v>
      </c>
      <c r="AR394" s="557">
        <v>3.8159000000000001</v>
      </c>
    </row>
    <row r="395" spans="39:44">
      <c r="AM395" s="556">
        <v>45542</v>
      </c>
      <c r="AN395" s="557">
        <v>5.1849999999999996</v>
      </c>
      <c r="AO395" s="557">
        <v>298600</v>
      </c>
      <c r="AP395" s="557">
        <v>103.18898</v>
      </c>
      <c r="AQ395" s="557">
        <v>535.03486129999999</v>
      </c>
      <c r="AR395" s="557">
        <v>3.8530000000000002</v>
      </c>
    </row>
    <row r="396" spans="39:44">
      <c r="AM396" s="556">
        <v>45541</v>
      </c>
      <c r="AN396" s="557">
        <v>5.34</v>
      </c>
      <c r="AO396" s="557">
        <v>395900</v>
      </c>
      <c r="AP396" s="557">
        <v>103.18898</v>
      </c>
      <c r="AQ396" s="557">
        <v>551.0291532</v>
      </c>
      <c r="AR396" s="557">
        <v>3.9344999999999999</v>
      </c>
    </row>
    <row r="397" spans="39:44">
      <c r="AM397" s="556">
        <v>45540</v>
      </c>
      <c r="AN397" s="557">
        <v>5.35</v>
      </c>
      <c r="AO397" s="557">
        <v>366500</v>
      </c>
      <c r="AP397" s="557">
        <v>103.18898</v>
      </c>
      <c r="AQ397" s="557">
        <v>552.06104299999993</v>
      </c>
      <c r="AR397" s="557">
        <v>3.9419</v>
      </c>
    </row>
    <row r="398" spans="39:44">
      <c r="AM398" s="556">
        <v>45539</v>
      </c>
      <c r="AN398" s="557">
        <v>5.4050000000000002</v>
      </c>
      <c r="AO398" s="557">
        <v>481600</v>
      </c>
      <c r="AP398" s="557">
        <v>103.18898</v>
      </c>
      <c r="AQ398" s="557">
        <v>557.73643690000006</v>
      </c>
      <c r="AR398" s="557">
        <v>4.0011999999999999</v>
      </c>
    </row>
    <row r="399" spans="39:44">
      <c r="AM399" s="556">
        <v>45538</v>
      </c>
      <c r="AN399" s="557">
        <v>5.4050000000000002</v>
      </c>
      <c r="AO399" s="557">
        <v>481600</v>
      </c>
      <c r="AP399" s="557">
        <v>103.18898</v>
      </c>
      <c r="AQ399" s="557">
        <v>557.73643690000006</v>
      </c>
      <c r="AR399" s="557">
        <v>4.0011999999999999</v>
      </c>
    </row>
    <row r="400" spans="39:44">
      <c r="AM400" s="556">
        <v>45537</v>
      </c>
      <c r="AN400" s="557">
        <v>5.4050000000000002</v>
      </c>
      <c r="AO400" s="557">
        <v>481600</v>
      </c>
      <c r="AP400" s="557">
        <v>103.18898</v>
      </c>
      <c r="AQ400" s="557">
        <v>557.73643690000006</v>
      </c>
      <c r="AR400" s="557">
        <v>4.0011999999999999</v>
      </c>
    </row>
    <row r="401" spans="39:44">
      <c r="AM401" s="556">
        <v>45536</v>
      </c>
      <c r="AN401" s="557">
        <v>5.3049999999999997</v>
      </c>
      <c r="AO401" s="557">
        <v>290400</v>
      </c>
      <c r="AP401" s="557">
        <v>103.18898</v>
      </c>
      <c r="AQ401" s="557">
        <v>547.41753889999995</v>
      </c>
      <c r="AR401" s="557">
        <v>3.9419</v>
      </c>
    </row>
    <row r="402" spans="39:44">
      <c r="AM402" s="556">
        <v>45535</v>
      </c>
      <c r="AN402" s="557">
        <v>5.3449999999999998</v>
      </c>
      <c r="AO402" s="557">
        <v>289400</v>
      </c>
      <c r="AP402" s="557">
        <v>103.18898</v>
      </c>
      <c r="AQ402" s="557">
        <v>551.54509810000002</v>
      </c>
      <c r="AR402" s="557">
        <v>3.9567000000000001</v>
      </c>
    </row>
    <row r="403" spans="39:44">
      <c r="AM403" s="556">
        <v>45534</v>
      </c>
      <c r="AN403" s="557">
        <v>5.2949999999999999</v>
      </c>
      <c r="AO403" s="557">
        <v>71900</v>
      </c>
      <c r="AP403" s="557">
        <v>103.18898</v>
      </c>
      <c r="AQ403" s="557">
        <v>546.38564910000002</v>
      </c>
      <c r="AR403" s="557">
        <v>3.9419</v>
      </c>
    </row>
    <row r="404" spans="39:44">
      <c r="AM404" s="556">
        <v>45533</v>
      </c>
      <c r="AN404" s="557">
        <v>5.2850000000000001</v>
      </c>
      <c r="AO404" s="557">
        <v>470400</v>
      </c>
      <c r="AP404" s="557">
        <v>103.18898</v>
      </c>
      <c r="AQ404" s="557">
        <v>545.35375929999998</v>
      </c>
      <c r="AR404" s="557">
        <v>3.9196</v>
      </c>
    </row>
    <row r="405" spans="39:44">
      <c r="AM405" s="556">
        <v>45532</v>
      </c>
      <c r="AN405" s="557">
        <v>5.3449999999999998</v>
      </c>
      <c r="AO405" s="557">
        <v>302200</v>
      </c>
      <c r="AP405" s="557">
        <v>103.18898</v>
      </c>
      <c r="AQ405" s="557">
        <v>551.54509810000002</v>
      </c>
      <c r="AR405" s="557">
        <v>3.9641000000000002</v>
      </c>
    </row>
    <row r="406" spans="39:44">
      <c r="AM406" s="556">
        <v>45531</v>
      </c>
      <c r="AN406" s="557">
        <v>5.3449999999999998</v>
      </c>
      <c r="AO406" s="557">
        <v>302200</v>
      </c>
      <c r="AP406" s="557">
        <v>103.18898</v>
      </c>
      <c r="AQ406" s="557">
        <v>551.54509810000002</v>
      </c>
      <c r="AR406" s="557">
        <v>3.9641000000000002</v>
      </c>
    </row>
    <row r="407" spans="39:44">
      <c r="AM407" s="556">
        <v>45530</v>
      </c>
      <c r="AN407" s="557">
        <v>5.3449999999999998</v>
      </c>
      <c r="AO407" s="557">
        <v>302200</v>
      </c>
      <c r="AP407" s="557">
        <v>103.18898</v>
      </c>
      <c r="AQ407" s="557">
        <v>551.54509810000002</v>
      </c>
      <c r="AR407" s="557">
        <v>3.9641000000000002</v>
      </c>
    </row>
    <row r="408" spans="39:44">
      <c r="AM408" s="556">
        <v>45529</v>
      </c>
      <c r="AN408" s="557">
        <v>5.38</v>
      </c>
      <c r="AO408" s="557">
        <v>458900</v>
      </c>
      <c r="AP408" s="557">
        <v>103.18898</v>
      </c>
      <c r="AQ408" s="557">
        <v>555.15671239999995</v>
      </c>
      <c r="AR408" s="557">
        <v>3.9788999999999999</v>
      </c>
    </row>
    <row r="409" spans="39:44">
      <c r="AM409" s="556">
        <v>45528</v>
      </c>
      <c r="AN409" s="557">
        <v>5.49</v>
      </c>
      <c r="AO409" s="557">
        <v>471300</v>
      </c>
      <c r="AP409" s="557">
        <v>103.18898</v>
      </c>
      <c r="AQ409" s="557">
        <v>566.50750019999998</v>
      </c>
      <c r="AR409" s="557">
        <v>4.0751999999999997</v>
      </c>
    </row>
    <row r="410" spans="39:44">
      <c r="AM410" s="556">
        <v>45527</v>
      </c>
      <c r="AN410" s="557">
        <v>5.49</v>
      </c>
      <c r="AO410" s="557">
        <v>343800</v>
      </c>
      <c r="AP410" s="557">
        <v>103.18898</v>
      </c>
      <c r="AQ410" s="557">
        <v>566.50750019999998</v>
      </c>
      <c r="AR410" s="557">
        <v>4.0751999999999997</v>
      </c>
    </row>
    <row r="411" spans="39:44">
      <c r="AM411" s="556">
        <v>45526</v>
      </c>
      <c r="AN411" s="557">
        <v>5.43</v>
      </c>
      <c r="AO411" s="557">
        <v>253500</v>
      </c>
      <c r="AP411" s="557">
        <v>103.18898</v>
      </c>
      <c r="AQ411" s="557">
        <v>560.31616139999994</v>
      </c>
      <c r="AR411" s="557">
        <v>4.016</v>
      </c>
    </row>
    <row r="412" spans="39:44">
      <c r="AM412" s="556">
        <v>45525</v>
      </c>
      <c r="AN412" s="557">
        <v>5.54</v>
      </c>
      <c r="AO412" s="557">
        <v>169000</v>
      </c>
      <c r="AP412" s="557">
        <v>103.18898</v>
      </c>
      <c r="AQ412" s="557">
        <v>571.66694919999998</v>
      </c>
      <c r="AR412" s="557">
        <v>4.1196999999999999</v>
      </c>
    </row>
    <row r="413" spans="39:44">
      <c r="AM413" s="556">
        <v>45524</v>
      </c>
      <c r="AN413" s="557">
        <v>5.54</v>
      </c>
      <c r="AO413" s="557">
        <v>169000</v>
      </c>
      <c r="AP413" s="557">
        <v>103.18898</v>
      </c>
      <c r="AQ413" s="557">
        <v>571.66694919999998</v>
      </c>
      <c r="AR413" s="557">
        <v>4.1196999999999999</v>
      </c>
    </row>
    <row r="414" spans="39:44">
      <c r="AM414" s="556">
        <v>45523</v>
      </c>
      <c r="AN414" s="557">
        <v>5.54</v>
      </c>
      <c r="AO414" s="557">
        <v>169000</v>
      </c>
      <c r="AP414" s="557">
        <v>103.18898</v>
      </c>
      <c r="AQ414" s="557">
        <v>571.66694919999998</v>
      </c>
      <c r="AR414" s="557">
        <v>4.1196999999999999</v>
      </c>
    </row>
    <row r="415" spans="39:44">
      <c r="AM415" s="556">
        <v>45522</v>
      </c>
      <c r="AN415" s="557">
        <v>5.4649999999999999</v>
      </c>
      <c r="AO415" s="557">
        <v>183200</v>
      </c>
      <c r="AP415" s="557">
        <v>103.18898</v>
      </c>
      <c r="AQ415" s="557">
        <v>563.92777569999998</v>
      </c>
      <c r="AR415" s="557">
        <v>4.0529999999999999</v>
      </c>
    </row>
    <row r="416" spans="39:44">
      <c r="AM416" s="556">
        <v>45521</v>
      </c>
      <c r="AN416" s="557">
        <v>5.5250000000000004</v>
      </c>
      <c r="AO416" s="557">
        <v>327100</v>
      </c>
      <c r="AP416" s="557">
        <v>103.18898</v>
      </c>
      <c r="AQ416" s="557">
        <v>570.11911450000002</v>
      </c>
      <c r="AR416" s="557">
        <v>4.0900999999999996</v>
      </c>
    </row>
    <row r="417" spans="39:44">
      <c r="AM417" s="556">
        <v>45520</v>
      </c>
      <c r="AN417" s="557">
        <v>5.6950000000000003</v>
      </c>
      <c r="AO417" s="557">
        <v>302000</v>
      </c>
      <c r="AP417" s="557">
        <v>103.18898</v>
      </c>
      <c r="AQ417" s="557">
        <v>587.66124109999998</v>
      </c>
      <c r="AR417" s="557">
        <v>4.2160000000000002</v>
      </c>
    </row>
    <row r="418" spans="39:44">
      <c r="AM418" s="556">
        <v>45519</v>
      </c>
      <c r="AN418" s="557">
        <v>5.7549999999999999</v>
      </c>
      <c r="AO418" s="557">
        <v>210400</v>
      </c>
      <c r="AP418" s="557">
        <v>103.18898</v>
      </c>
      <c r="AQ418" s="557">
        <v>593.85257990000002</v>
      </c>
      <c r="AR418" s="557">
        <v>4.2605000000000004</v>
      </c>
    </row>
    <row r="419" spans="39:44">
      <c r="AM419" s="556">
        <v>45518</v>
      </c>
      <c r="AN419" s="557">
        <v>5.585</v>
      </c>
      <c r="AO419" s="557">
        <v>277500</v>
      </c>
      <c r="AP419" s="557">
        <v>103.18898</v>
      </c>
      <c r="AQ419" s="557">
        <v>576.31045329999995</v>
      </c>
      <c r="AR419" s="557">
        <v>4.1493000000000002</v>
      </c>
    </row>
    <row r="420" spans="39:44">
      <c r="AM420" s="556">
        <v>45517</v>
      </c>
      <c r="AN420" s="557">
        <v>5.585</v>
      </c>
      <c r="AO420" s="557">
        <v>277500</v>
      </c>
      <c r="AP420" s="557">
        <v>103.18898</v>
      </c>
      <c r="AQ420" s="557">
        <v>576.31045329999995</v>
      </c>
      <c r="AR420" s="557">
        <v>4.1493000000000002</v>
      </c>
    </row>
    <row r="421" spans="39:44">
      <c r="AM421" s="556">
        <v>45516</v>
      </c>
      <c r="AN421" s="557">
        <v>5.585</v>
      </c>
      <c r="AO421" s="557">
        <v>277500</v>
      </c>
      <c r="AP421" s="557">
        <v>103.18898</v>
      </c>
      <c r="AQ421" s="557">
        <v>576.31045329999995</v>
      </c>
      <c r="AR421" s="557">
        <v>4.1493000000000002</v>
      </c>
    </row>
    <row r="422" spans="39:44">
      <c r="AM422" s="556">
        <v>45515</v>
      </c>
      <c r="AN422" s="557">
        <v>5.6449999999999996</v>
      </c>
      <c r="AO422" s="557">
        <v>483300</v>
      </c>
      <c r="AP422" s="557">
        <v>103.18898</v>
      </c>
      <c r="AQ422" s="557">
        <v>582.50179209999999</v>
      </c>
      <c r="AR422" s="557">
        <v>4.1863999999999999</v>
      </c>
    </row>
    <row r="423" spans="39:44">
      <c r="AM423" s="556">
        <v>45514</v>
      </c>
      <c r="AN423" s="557">
        <v>5.71</v>
      </c>
      <c r="AO423" s="557">
        <v>301500</v>
      </c>
      <c r="AP423" s="557">
        <v>103.18898</v>
      </c>
      <c r="AQ423" s="557">
        <v>589.20907580000005</v>
      </c>
      <c r="AR423" s="557">
        <v>4.2382999999999997</v>
      </c>
    </row>
    <row r="424" spans="39:44">
      <c r="AM424" s="556">
        <v>45513</v>
      </c>
      <c r="AN424" s="557">
        <v>5.7949999999999999</v>
      </c>
      <c r="AO424" s="557">
        <v>282100</v>
      </c>
      <c r="AP424" s="557">
        <v>103.18898</v>
      </c>
      <c r="AQ424" s="557">
        <v>597.98013909999997</v>
      </c>
      <c r="AR424" s="557">
        <v>4.2900999999999998</v>
      </c>
    </row>
    <row r="425" spans="39:44">
      <c r="AM425" s="556">
        <v>45512</v>
      </c>
      <c r="AN425" s="557">
        <v>5.92</v>
      </c>
      <c r="AO425" s="557">
        <v>384500</v>
      </c>
      <c r="AP425" s="557">
        <v>103.18898</v>
      </c>
      <c r="AQ425" s="557">
        <v>610.87876159999996</v>
      </c>
      <c r="AR425" s="557">
        <v>4.3789999999999996</v>
      </c>
    </row>
    <row r="426" spans="39:44">
      <c r="AM426" s="556">
        <v>45511</v>
      </c>
      <c r="AN426" s="557">
        <v>6.02</v>
      </c>
      <c r="AO426" s="557">
        <v>970800</v>
      </c>
      <c r="AP426" s="557">
        <v>103.18898</v>
      </c>
      <c r="AQ426" s="557">
        <v>621.19765959999995</v>
      </c>
      <c r="AR426" s="557">
        <v>4.4457000000000004</v>
      </c>
    </row>
    <row r="427" spans="39:44">
      <c r="AM427" s="556">
        <v>45510</v>
      </c>
      <c r="AN427" s="557">
        <v>6.02</v>
      </c>
      <c r="AO427" s="557">
        <v>970800</v>
      </c>
      <c r="AP427" s="557">
        <v>103.18898</v>
      </c>
      <c r="AQ427" s="557">
        <v>621.19765959999995</v>
      </c>
      <c r="AR427" s="557">
        <v>4.4457000000000004</v>
      </c>
    </row>
    <row r="428" spans="39:44">
      <c r="AM428" s="556">
        <v>45509</v>
      </c>
      <c r="AN428" s="557">
        <v>6.02</v>
      </c>
      <c r="AO428" s="557">
        <v>970800</v>
      </c>
      <c r="AP428" s="557">
        <v>103.18898</v>
      </c>
      <c r="AQ428" s="557">
        <v>621.19765959999995</v>
      </c>
      <c r="AR428" s="557">
        <v>4.4457000000000004</v>
      </c>
    </row>
    <row r="429" spans="39:44">
      <c r="AM429" s="556">
        <v>45508</v>
      </c>
      <c r="AN429" s="557">
        <v>5.7750000000000004</v>
      </c>
      <c r="AO429" s="557">
        <v>217400</v>
      </c>
      <c r="AP429" s="557">
        <v>103.18898</v>
      </c>
      <c r="AQ429" s="557">
        <v>595.9163595</v>
      </c>
      <c r="AR429" s="557">
        <v>4.2827000000000002</v>
      </c>
    </row>
    <row r="430" spans="39:44">
      <c r="AM430" s="556">
        <v>45507</v>
      </c>
      <c r="AN430" s="557">
        <v>5.71</v>
      </c>
      <c r="AO430" s="557">
        <v>230700</v>
      </c>
      <c r="AP430" s="557">
        <v>103.18898</v>
      </c>
      <c r="AQ430" s="557">
        <v>589.20907580000005</v>
      </c>
      <c r="AR430" s="557">
        <v>4.2457000000000003</v>
      </c>
    </row>
    <row r="431" spans="39:44">
      <c r="AM431" s="556">
        <v>45506</v>
      </c>
      <c r="AN431" s="557">
        <v>5.6050000000000004</v>
      </c>
      <c r="AO431" s="557">
        <v>397200</v>
      </c>
      <c r="AP431" s="557">
        <v>103.18898</v>
      </c>
      <c r="AQ431" s="557">
        <v>578.37423290000004</v>
      </c>
      <c r="AR431" s="557">
        <v>4.1493000000000002</v>
      </c>
    </row>
    <row r="432" spans="39:44">
      <c r="AM432" s="556">
        <v>45505</v>
      </c>
      <c r="AN432" s="557">
        <v>5.44</v>
      </c>
      <c r="AO432" s="557">
        <v>275100</v>
      </c>
      <c r="AP432" s="557">
        <v>103.18898</v>
      </c>
      <c r="AQ432" s="557">
        <v>561.3480512000001</v>
      </c>
      <c r="AR432" s="557">
        <v>4.0233999999999996</v>
      </c>
    </row>
    <row r="433" spans="39:44">
      <c r="AM433" s="556">
        <v>45504</v>
      </c>
      <c r="AN433" s="557">
        <v>5.6150000000000002</v>
      </c>
      <c r="AO433" s="557">
        <v>438200</v>
      </c>
      <c r="AP433" s="557">
        <v>103.18898</v>
      </c>
      <c r="AQ433" s="557">
        <v>579.40612270000008</v>
      </c>
      <c r="AR433" s="557">
        <v>4.1345000000000001</v>
      </c>
    </row>
    <row r="434" spans="39:44">
      <c r="AM434" s="556">
        <v>45503</v>
      </c>
      <c r="AN434" s="557">
        <v>5.6150000000000002</v>
      </c>
      <c r="AO434" s="557">
        <v>438200</v>
      </c>
      <c r="AP434" s="557">
        <v>103.18898</v>
      </c>
      <c r="AQ434" s="557">
        <v>579.40612270000008</v>
      </c>
      <c r="AR434" s="557">
        <v>4.1345000000000001</v>
      </c>
    </row>
    <row r="435" spans="39:44">
      <c r="AM435" s="556">
        <v>45502</v>
      </c>
      <c r="AN435" s="557">
        <v>5.6150000000000002</v>
      </c>
      <c r="AO435" s="557">
        <v>438200</v>
      </c>
      <c r="AP435" s="557">
        <v>103.18898</v>
      </c>
      <c r="AQ435" s="557">
        <v>579.40612270000008</v>
      </c>
      <c r="AR435" s="557">
        <v>4.1345000000000001</v>
      </c>
    </row>
    <row r="436" spans="39:44">
      <c r="AM436" s="556">
        <v>45501</v>
      </c>
      <c r="AN436" s="557">
        <v>5.3449999999999998</v>
      </c>
      <c r="AO436" s="557">
        <v>555900</v>
      </c>
      <c r="AP436" s="557">
        <v>103.18898</v>
      </c>
      <c r="AQ436" s="557">
        <v>551.54509810000002</v>
      </c>
      <c r="AR436" s="557">
        <v>3.9641000000000002</v>
      </c>
    </row>
    <row r="437" spans="39:44">
      <c r="AM437" s="556">
        <v>45500</v>
      </c>
      <c r="AN437" s="557">
        <v>5.22</v>
      </c>
      <c r="AO437" s="557">
        <v>329800</v>
      </c>
      <c r="AP437" s="557">
        <v>103.18898</v>
      </c>
      <c r="AQ437" s="557">
        <v>538.64647560000003</v>
      </c>
      <c r="AR437" s="557">
        <v>3.8603999999999998</v>
      </c>
    </row>
    <row r="438" spans="39:44">
      <c r="AM438" s="556">
        <v>45499</v>
      </c>
      <c r="AN438" s="557">
        <v>5.1050000000000004</v>
      </c>
      <c r="AO438" s="557">
        <v>220700</v>
      </c>
      <c r="AP438" s="557">
        <v>103.18898</v>
      </c>
      <c r="AQ438" s="557">
        <v>526.77974290000009</v>
      </c>
      <c r="AR438" s="557">
        <v>3.7639999999999998</v>
      </c>
    </row>
    <row r="439" spans="39:44">
      <c r="AM439" s="556">
        <v>45498</v>
      </c>
      <c r="AN439" s="557">
        <v>5.14</v>
      </c>
      <c r="AO439" s="557">
        <v>335200</v>
      </c>
      <c r="AP439" s="557">
        <v>103.18898</v>
      </c>
      <c r="AQ439" s="557">
        <v>530.39135720000002</v>
      </c>
      <c r="AR439" s="557">
        <v>3.7936999999999999</v>
      </c>
    </row>
    <row r="440" spans="39:44">
      <c r="AM440" s="556">
        <v>45497</v>
      </c>
      <c r="AN440" s="557">
        <v>5.1050000000000004</v>
      </c>
      <c r="AO440" s="557">
        <v>178800</v>
      </c>
      <c r="AP440" s="557">
        <v>103.18898</v>
      </c>
      <c r="AQ440" s="557">
        <v>526.77974290000009</v>
      </c>
      <c r="AR440" s="557">
        <v>3.7894999999999999</v>
      </c>
    </row>
    <row r="441" spans="39:44">
      <c r="AM441" s="556">
        <v>45496</v>
      </c>
      <c r="AN441" s="557">
        <v>5.1050000000000004</v>
      </c>
      <c r="AO441" s="557">
        <v>178800</v>
      </c>
      <c r="AP441" s="557">
        <v>103.18898</v>
      </c>
      <c r="AQ441" s="557">
        <v>526.77974290000009</v>
      </c>
      <c r="AR441" s="557">
        <v>3.7894999999999999</v>
      </c>
    </row>
    <row r="442" spans="39:44">
      <c r="AM442" s="556">
        <v>45495</v>
      </c>
      <c r="AN442" s="557">
        <v>5.1050000000000004</v>
      </c>
      <c r="AO442" s="557">
        <v>178800</v>
      </c>
      <c r="AP442" s="557">
        <v>103.18898</v>
      </c>
      <c r="AQ442" s="557">
        <v>526.77974290000009</v>
      </c>
      <c r="AR442" s="557">
        <v>3.7894999999999999</v>
      </c>
    </row>
    <row r="443" spans="39:44">
      <c r="AM443" s="556">
        <v>45494</v>
      </c>
      <c r="AN443" s="557">
        <v>5.2350000000000003</v>
      </c>
      <c r="AO443" s="557">
        <v>253800</v>
      </c>
      <c r="AP443" s="557">
        <v>103.18898</v>
      </c>
      <c r="AQ443" s="557">
        <v>540.19431029999998</v>
      </c>
      <c r="AR443" s="557">
        <v>3.9011</v>
      </c>
    </row>
    <row r="444" spans="39:44">
      <c r="AM444" s="556">
        <v>45493</v>
      </c>
      <c r="AN444" s="557">
        <v>5.12</v>
      </c>
      <c r="AO444" s="557">
        <v>259400</v>
      </c>
      <c r="AP444" s="557">
        <v>103.18898</v>
      </c>
      <c r="AQ444" s="557">
        <v>528.32757760000004</v>
      </c>
      <c r="AR444" s="557">
        <v>3.7968999999999999</v>
      </c>
    </row>
    <row r="445" spans="39:44">
      <c r="AM445" s="556">
        <v>45492</v>
      </c>
      <c r="AN445" s="557">
        <v>5.2149999999999999</v>
      </c>
      <c r="AO445" s="557">
        <v>615200</v>
      </c>
      <c r="AP445" s="557">
        <v>103.18898</v>
      </c>
      <c r="AQ445" s="557">
        <v>538.13053070000001</v>
      </c>
      <c r="AR445" s="557">
        <v>3.8788</v>
      </c>
    </row>
    <row r="446" spans="39:44">
      <c r="AM446" s="556">
        <v>45491</v>
      </c>
      <c r="AN446" s="557">
        <v>5.23</v>
      </c>
      <c r="AO446" s="557">
        <v>431500</v>
      </c>
      <c r="AP446" s="557">
        <v>103.18898</v>
      </c>
      <c r="AQ446" s="557">
        <v>539.67836540000008</v>
      </c>
      <c r="AR446" s="557">
        <v>3.9011</v>
      </c>
    </row>
    <row r="447" spans="39:44">
      <c r="AM447" s="556">
        <v>45490</v>
      </c>
      <c r="AN447" s="557">
        <v>5.165</v>
      </c>
      <c r="AO447" s="557">
        <v>455500</v>
      </c>
      <c r="AP447" s="557">
        <v>103.18898</v>
      </c>
      <c r="AQ447" s="557">
        <v>532.97108170000001</v>
      </c>
      <c r="AR447" s="557">
        <v>3.8416000000000001</v>
      </c>
    </row>
    <row r="448" spans="39:44">
      <c r="AM448" s="556">
        <v>45489</v>
      </c>
      <c r="AN448" s="557">
        <v>5.165</v>
      </c>
      <c r="AO448" s="557">
        <v>455500</v>
      </c>
      <c r="AP448" s="557">
        <v>103.18898</v>
      </c>
      <c r="AQ448" s="557">
        <v>532.97108170000001</v>
      </c>
      <c r="AR448" s="557">
        <v>3.8416000000000001</v>
      </c>
    </row>
    <row r="449" spans="39:44">
      <c r="AM449" s="556">
        <v>45488</v>
      </c>
      <c r="AN449" s="557">
        <v>5.165</v>
      </c>
      <c r="AO449" s="557">
        <v>455500</v>
      </c>
      <c r="AP449" s="557">
        <v>103.18898</v>
      </c>
      <c r="AQ449" s="557">
        <v>532.97108170000001</v>
      </c>
      <c r="AR449" s="557">
        <v>3.8416000000000001</v>
      </c>
    </row>
    <row r="450" spans="39:44">
      <c r="AM450" s="556">
        <v>45487</v>
      </c>
      <c r="AN450" s="557">
        <v>5</v>
      </c>
      <c r="AO450" s="557">
        <v>556300</v>
      </c>
      <c r="AP450" s="557">
        <v>103.18898</v>
      </c>
      <c r="AQ450" s="557">
        <v>515.94489999999996</v>
      </c>
      <c r="AR450" s="557">
        <v>3.7374000000000001</v>
      </c>
    </row>
    <row r="451" spans="39:44">
      <c r="AM451" s="556">
        <v>45486</v>
      </c>
      <c r="AN451" s="557">
        <v>4.9550000000000001</v>
      </c>
      <c r="AO451" s="557">
        <v>294500</v>
      </c>
      <c r="AP451" s="557">
        <v>103.18898</v>
      </c>
      <c r="AQ451" s="557">
        <v>511.30139589999999</v>
      </c>
      <c r="AR451" s="557">
        <v>3.7000999999999999</v>
      </c>
    </row>
    <row r="452" spans="39:44">
      <c r="AM452" s="556">
        <v>45485</v>
      </c>
      <c r="AN452" s="557">
        <v>4.82</v>
      </c>
      <c r="AO452" s="557">
        <v>390600</v>
      </c>
      <c r="AP452" s="557">
        <v>103.18898</v>
      </c>
      <c r="AQ452" s="557">
        <v>497.37088360000001</v>
      </c>
      <c r="AR452" s="557">
        <v>3.5958999999999999</v>
      </c>
    </row>
    <row r="453" spans="39:44">
      <c r="AM453" s="556">
        <v>45484</v>
      </c>
      <c r="AN453" s="557">
        <v>4.5750000000000002</v>
      </c>
      <c r="AO453" s="557">
        <v>334000</v>
      </c>
      <c r="AP453" s="557">
        <v>103.18898</v>
      </c>
      <c r="AQ453" s="557">
        <v>472.0895835</v>
      </c>
      <c r="AR453" s="557">
        <v>3.4022999999999999</v>
      </c>
    </row>
    <row r="454" spans="39:44">
      <c r="AM454" s="556">
        <v>45483</v>
      </c>
      <c r="AN454" s="557">
        <v>4.7750000000000004</v>
      </c>
      <c r="AO454" s="557">
        <v>272200</v>
      </c>
      <c r="AP454" s="557">
        <v>103.18898</v>
      </c>
      <c r="AQ454" s="557">
        <v>492.72737950000004</v>
      </c>
      <c r="AR454" s="557">
        <v>3.5512000000000001</v>
      </c>
    </row>
    <row r="455" spans="39:44">
      <c r="AM455" s="556">
        <v>45482</v>
      </c>
      <c r="AN455" s="557">
        <v>4.7750000000000004</v>
      </c>
      <c r="AO455" s="557">
        <v>272200</v>
      </c>
      <c r="AP455" s="557">
        <v>103.18898</v>
      </c>
      <c r="AQ455" s="557">
        <v>492.72737950000004</v>
      </c>
      <c r="AR455" s="557">
        <v>3.5512000000000001</v>
      </c>
    </row>
    <row r="456" spans="39:44">
      <c r="AM456" s="556">
        <v>45481</v>
      </c>
      <c r="AN456" s="557">
        <v>4.7750000000000004</v>
      </c>
      <c r="AO456" s="557">
        <v>272200</v>
      </c>
      <c r="AP456" s="557">
        <v>103.18898</v>
      </c>
      <c r="AQ456" s="557">
        <v>492.72737950000004</v>
      </c>
      <c r="AR456" s="557">
        <v>3.5512000000000001</v>
      </c>
    </row>
    <row r="457" spans="39:44">
      <c r="AM457" s="556">
        <v>45480</v>
      </c>
      <c r="AN457" s="557">
        <v>4.75</v>
      </c>
      <c r="AO457" s="557">
        <v>583100</v>
      </c>
      <c r="AP457" s="557">
        <v>103.18898</v>
      </c>
      <c r="AQ457" s="557">
        <v>490.14765499999999</v>
      </c>
      <c r="AR457" s="557">
        <v>3.5215000000000001</v>
      </c>
    </row>
    <row r="458" spans="39:44">
      <c r="AM458" s="556">
        <v>45479</v>
      </c>
      <c r="AN458" s="557">
        <v>4.7750000000000004</v>
      </c>
      <c r="AO458" s="557">
        <v>291600</v>
      </c>
      <c r="AP458" s="557">
        <v>103.18898</v>
      </c>
      <c r="AQ458" s="557">
        <v>492.72737950000004</v>
      </c>
      <c r="AR458" s="557">
        <v>3.5512000000000001</v>
      </c>
    </row>
    <row r="459" spans="39:44">
      <c r="AM459" s="556">
        <v>45478</v>
      </c>
      <c r="AN459" s="557">
        <v>4.9050000000000002</v>
      </c>
      <c r="AO459" s="557">
        <v>409600</v>
      </c>
      <c r="AP459" s="557">
        <v>103.18898</v>
      </c>
      <c r="AQ459" s="557">
        <v>506.14194690000005</v>
      </c>
      <c r="AR459" s="557">
        <v>3.6555</v>
      </c>
    </row>
    <row r="460" spans="39:44">
      <c r="AM460" s="556">
        <v>45477</v>
      </c>
      <c r="AN460" s="557">
        <v>4.835</v>
      </c>
      <c r="AO460" s="557">
        <v>1342700</v>
      </c>
      <c r="AP460" s="557">
        <v>103.18898</v>
      </c>
      <c r="AQ460" s="557">
        <v>498.91871830000002</v>
      </c>
      <c r="AR460" s="557">
        <v>3.6032999999999999</v>
      </c>
    </row>
    <row r="461" spans="39:44">
      <c r="AM461" s="556">
        <v>45476</v>
      </c>
      <c r="AN461" s="557">
        <v>4.415</v>
      </c>
      <c r="AO461" s="557">
        <v>395900</v>
      </c>
      <c r="AP461" s="557">
        <v>103.18898</v>
      </c>
      <c r="AQ461" s="557">
        <v>455.57934670000003</v>
      </c>
      <c r="AR461" s="557">
        <v>3.2757999999999998</v>
      </c>
    </row>
    <row r="462" spans="39:44">
      <c r="AM462" s="556">
        <v>45475</v>
      </c>
      <c r="AN462" s="557">
        <v>4.415</v>
      </c>
      <c r="AO462" s="557">
        <v>395900</v>
      </c>
      <c r="AP462" s="557">
        <v>103.18898</v>
      </c>
      <c r="AQ462" s="557">
        <v>455.57934670000003</v>
      </c>
      <c r="AR462" s="557">
        <v>3.2757999999999998</v>
      </c>
    </row>
    <row r="463" spans="39:44">
      <c r="AM463" s="556">
        <v>45474</v>
      </c>
      <c r="AN463" s="557">
        <v>4.415</v>
      </c>
      <c r="AO463" s="557">
        <v>395900</v>
      </c>
      <c r="AP463" s="557">
        <v>103.18898</v>
      </c>
      <c r="AQ463" s="557">
        <v>455.57934670000003</v>
      </c>
      <c r="AR463" s="557">
        <v>3.2757999999999998</v>
      </c>
    </row>
    <row r="464" spans="39:44">
      <c r="AM464" s="556">
        <v>45473</v>
      </c>
      <c r="AN464" s="557">
        <v>4.5250000000000004</v>
      </c>
      <c r="AO464" s="557">
        <v>1071000</v>
      </c>
      <c r="AP464" s="557">
        <v>103.18898</v>
      </c>
      <c r="AQ464" s="557">
        <v>466.93013450000007</v>
      </c>
      <c r="AR464" s="557">
        <v>3.3651</v>
      </c>
    </row>
    <row r="465" spans="39:44">
      <c r="AM465" s="556">
        <v>45472</v>
      </c>
      <c r="AN465" s="557">
        <v>4.47</v>
      </c>
      <c r="AO465" s="557">
        <v>235800</v>
      </c>
      <c r="AP465" s="557">
        <v>103.18898</v>
      </c>
      <c r="AQ465" s="557">
        <v>461.25474059999999</v>
      </c>
      <c r="AR465" s="557">
        <v>3.3203999999999998</v>
      </c>
    </row>
    <row r="466" spans="39:44">
      <c r="AM466" s="556">
        <v>45471</v>
      </c>
      <c r="AN466" s="557">
        <v>4.51</v>
      </c>
      <c r="AO466" s="557">
        <v>1248200</v>
      </c>
      <c r="AP466" s="557">
        <v>103.18898</v>
      </c>
      <c r="AQ466" s="557">
        <v>465.3822998</v>
      </c>
      <c r="AR466" s="557">
        <v>3.3651</v>
      </c>
    </row>
    <row r="467" spans="39:44">
      <c r="AM467" s="556">
        <v>45470</v>
      </c>
      <c r="AN467" s="557">
        <v>4.6349999999999998</v>
      </c>
      <c r="AO467" s="557">
        <v>689000</v>
      </c>
      <c r="AP467" s="557">
        <v>103.18898</v>
      </c>
      <c r="AQ467" s="557">
        <v>478.28092229999999</v>
      </c>
      <c r="AR467" s="557">
        <v>3.4619</v>
      </c>
    </row>
    <row r="468" spans="39:44">
      <c r="AM468" s="556">
        <v>45469</v>
      </c>
      <c r="AN468" s="557">
        <v>4.5650000000000004</v>
      </c>
      <c r="AO468" s="557">
        <v>334400</v>
      </c>
      <c r="AP468" s="557">
        <v>103.18898</v>
      </c>
      <c r="AQ468" s="557">
        <v>471.05769370000002</v>
      </c>
      <c r="AR468" s="557">
        <v>3.4022999999999999</v>
      </c>
    </row>
    <row r="469" spans="39:44">
      <c r="AM469" s="556">
        <v>45468</v>
      </c>
      <c r="AN469" s="557">
        <v>4.5650000000000004</v>
      </c>
      <c r="AO469" s="557">
        <v>334400</v>
      </c>
      <c r="AP469" s="557">
        <v>103.18898</v>
      </c>
      <c r="AQ469" s="557">
        <v>471.05769370000002</v>
      </c>
      <c r="AR469" s="557">
        <v>3.4022999999999999</v>
      </c>
    </row>
    <row r="470" spans="39:44">
      <c r="AM470" s="556">
        <v>45467</v>
      </c>
      <c r="AN470" s="557">
        <v>4.5650000000000004</v>
      </c>
      <c r="AO470" s="557">
        <v>334400</v>
      </c>
      <c r="AP470" s="557">
        <v>103.18898</v>
      </c>
      <c r="AQ470" s="557">
        <v>471.05769370000002</v>
      </c>
      <c r="AR470" s="557">
        <v>3.4022999999999999</v>
      </c>
    </row>
    <row r="471" spans="39:44">
      <c r="AM471" s="556">
        <v>45466</v>
      </c>
      <c r="AN471" s="557">
        <v>4.63</v>
      </c>
      <c r="AO471" s="557">
        <v>342100</v>
      </c>
      <c r="AP471" s="557">
        <v>103.18898</v>
      </c>
      <c r="AQ471" s="557">
        <v>477.76497740000002</v>
      </c>
      <c r="AR471" s="557">
        <v>3.4396</v>
      </c>
    </row>
    <row r="472" spans="39:44">
      <c r="AM472" s="556">
        <v>45465</v>
      </c>
      <c r="AN472" s="557">
        <v>4.63</v>
      </c>
      <c r="AO472" s="557">
        <v>342100</v>
      </c>
      <c r="AP472" s="557">
        <v>103.18898</v>
      </c>
      <c r="AQ472" s="557">
        <v>477.76497740000002</v>
      </c>
      <c r="AR472" s="557">
        <v>3.4396</v>
      </c>
    </row>
    <row r="473" spans="39:44">
      <c r="AM473" s="556">
        <v>45464</v>
      </c>
      <c r="AN473" s="557">
        <v>4.66</v>
      </c>
      <c r="AO473" s="557">
        <v>665300</v>
      </c>
      <c r="AP473" s="557">
        <v>103.18898</v>
      </c>
      <c r="AQ473" s="557">
        <v>480.86064680000004</v>
      </c>
      <c r="AR473" s="557">
        <v>3.4619</v>
      </c>
    </row>
    <row r="474" spans="39:44">
      <c r="AM474" s="556">
        <v>45463</v>
      </c>
      <c r="AN474" s="557">
        <v>4.88</v>
      </c>
      <c r="AO474" s="557">
        <v>159100</v>
      </c>
      <c r="AP474" s="557">
        <v>103.18898</v>
      </c>
      <c r="AQ474" s="557">
        <v>503.5622224</v>
      </c>
      <c r="AR474" s="557">
        <v>3.6480000000000001</v>
      </c>
    </row>
    <row r="475" spans="39:44">
      <c r="AM475" s="556">
        <v>45462</v>
      </c>
      <c r="AN475" s="557">
        <v>4.7949999999999999</v>
      </c>
      <c r="AO475" s="557">
        <v>278700</v>
      </c>
      <c r="AP475" s="557">
        <v>103.18898</v>
      </c>
      <c r="AQ475" s="557">
        <v>494.79115910000002</v>
      </c>
      <c r="AR475" s="557">
        <v>3.5587</v>
      </c>
    </row>
    <row r="476" spans="39:44">
      <c r="AM476" s="556">
        <v>45461</v>
      </c>
      <c r="AN476" s="557">
        <v>4.7949999999999999</v>
      </c>
      <c r="AO476" s="557">
        <v>278700</v>
      </c>
      <c r="AP476" s="557">
        <v>103.18898</v>
      </c>
      <c r="AQ476" s="557">
        <v>494.79115910000002</v>
      </c>
      <c r="AR476" s="557">
        <v>3.5587</v>
      </c>
    </row>
    <row r="477" spans="39:44">
      <c r="AM477" s="556">
        <v>45460</v>
      </c>
      <c r="AN477" s="557">
        <v>4.7949999999999999</v>
      </c>
      <c r="AO477" s="557">
        <v>278700</v>
      </c>
      <c r="AP477" s="557">
        <v>103.18898</v>
      </c>
      <c r="AQ477" s="557">
        <v>494.79115910000002</v>
      </c>
      <c r="AR477" s="557">
        <v>3.5587</v>
      </c>
    </row>
    <row r="478" spans="39:44">
      <c r="AM478" s="556">
        <v>45459</v>
      </c>
      <c r="AN478" s="557">
        <v>4.875</v>
      </c>
      <c r="AO478" s="557">
        <v>556700</v>
      </c>
      <c r="AP478" s="557">
        <v>103.18898</v>
      </c>
      <c r="AQ478" s="557">
        <v>503.04627750000003</v>
      </c>
      <c r="AR478" s="557">
        <v>3.6555</v>
      </c>
    </row>
    <row r="479" spans="39:44">
      <c r="AM479" s="556">
        <v>45458</v>
      </c>
      <c r="AN479" s="557">
        <v>4.7750000000000004</v>
      </c>
      <c r="AO479" s="557">
        <v>1104300</v>
      </c>
      <c r="AP479" s="557">
        <v>103.18898</v>
      </c>
      <c r="AQ479" s="557">
        <v>492.72737950000004</v>
      </c>
      <c r="AR479" s="557">
        <v>3.5587</v>
      </c>
    </row>
    <row r="480" spans="39:44">
      <c r="AM480" s="556">
        <v>45457</v>
      </c>
      <c r="AN480" s="557">
        <v>5.09</v>
      </c>
      <c r="AO480" s="557">
        <v>271900</v>
      </c>
      <c r="AP480" s="557">
        <v>103.18898</v>
      </c>
      <c r="AQ480" s="557">
        <v>525.23190820000002</v>
      </c>
      <c r="AR480" s="557">
        <v>3.782</v>
      </c>
    </row>
    <row r="481" spans="39:44">
      <c r="AM481" s="556">
        <v>45456</v>
      </c>
      <c r="AN481" s="557">
        <v>5.1749999999999998</v>
      </c>
      <c r="AO481" s="557">
        <v>289600</v>
      </c>
      <c r="AP481" s="557">
        <v>103.18898</v>
      </c>
      <c r="AQ481" s="557">
        <v>534.00297149999994</v>
      </c>
      <c r="AR481" s="557">
        <v>3.8565</v>
      </c>
    </row>
    <row r="482" spans="39:44">
      <c r="AM482" s="556">
        <v>45455</v>
      </c>
      <c r="AN482" s="557">
        <v>5.0250000000000004</v>
      </c>
      <c r="AO482" s="557">
        <v>89200</v>
      </c>
      <c r="AP482" s="557">
        <v>103.18898</v>
      </c>
      <c r="AQ482" s="557">
        <v>518.52462450000007</v>
      </c>
      <c r="AR482" s="557">
        <v>3.7448000000000001</v>
      </c>
    </row>
    <row r="483" spans="39:44">
      <c r="AM483" s="556">
        <v>45454</v>
      </c>
      <c r="AN483" s="557">
        <v>5.0250000000000004</v>
      </c>
      <c r="AO483" s="557">
        <v>89200</v>
      </c>
      <c r="AP483" s="557">
        <v>103.18898</v>
      </c>
      <c r="AQ483" s="557">
        <v>518.52462450000007</v>
      </c>
      <c r="AR483" s="557">
        <v>3.7448000000000001</v>
      </c>
    </row>
    <row r="484" spans="39:44">
      <c r="AM484" s="556">
        <v>45453</v>
      </c>
      <c r="AN484" s="557">
        <v>5.0250000000000004</v>
      </c>
      <c r="AO484" s="557">
        <v>89200</v>
      </c>
      <c r="AP484" s="557">
        <v>103.18898</v>
      </c>
      <c r="AQ484" s="557">
        <v>518.52462450000007</v>
      </c>
      <c r="AR484" s="557">
        <v>3.7448000000000001</v>
      </c>
    </row>
    <row r="485" spans="39:44">
      <c r="AM485" s="556">
        <v>45452</v>
      </c>
      <c r="AN485" s="557">
        <v>5.0599999999999996</v>
      </c>
      <c r="AO485" s="557">
        <v>411300</v>
      </c>
      <c r="AP485" s="557">
        <v>103.18898</v>
      </c>
      <c r="AQ485" s="557">
        <v>522.1362388</v>
      </c>
      <c r="AR485" s="557">
        <v>3.7522000000000002</v>
      </c>
    </row>
    <row r="486" spans="39:44">
      <c r="AM486" s="556">
        <v>45451</v>
      </c>
      <c r="AN486" s="557">
        <v>5.0250000000000004</v>
      </c>
      <c r="AO486" s="557">
        <v>339500</v>
      </c>
      <c r="AP486" s="557">
        <v>103.18898</v>
      </c>
      <c r="AQ486" s="557">
        <v>518.52462450000007</v>
      </c>
      <c r="AR486" s="557">
        <v>3.7448000000000001</v>
      </c>
    </row>
    <row r="487" spans="39:44">
      <c r="AM487" s="556">
        <v>45450</v>
      </c>
      <c r="AN487" s="557">
        <v>5.0999999999999996</v>
      </c>
      <c r="AO487" s="557">
        <v>632800</v>
      </c>
      <c r="AP487" s="557">
        <v>103.18898</v>
      </c>
      <c r="AQ487" s="557">
        <v>526.26379799999995</v>
      </c>
      <c r="AR487" s="557">
        <v>3.7894999999999999</v>
      </c>
    </row>
    <row r="488" spans="39:44">
      <c r="AM488" s="556">
        <v>45449</v>
      </c>
      <c r="AN488" s="557">
        <v>5.0650000000000004</v>
      </c>
      <c r="AO488" s="557">
        <v>535800</v>
      </c>
      <c r="AP488" s="557">
        <v>103.18898</v>
      </c>
      <c r="AQ488" s="557">
        <v>522.65218370000002</v>
      </c>
      <c r="AR488" s="557">
        <v>3.7522000000000002</v>
      </c>
    </row>
    <row r="489" spans="39:44">
      <c r="AM489" s="556">
        <v>45448</v>
      </c>
      <c r="AN489" s="557">
        <v>4.9800000000000004</v>
      </c>
      <c r="AO489" s="557">
        <v>432900</v>
      </c>
      <c r="AP489" s="557">
        <v>103.18898</v>
      </c>
      <c r="AQ489" s="557">
        <v>513.8811204000001</v>
      </c>
      <c r="AR489" s="557">
        <v>3.7149999999999999</v>
      </c>
    </row>
    <row r="490" spans="39:44">
      <c r="AM490" s="556">
        <v>45447</v>
      </c>
      <c r="AN490" s="557">
        <v>4.9800000000000004</v>
      </c>
      <c r="AO490" s="557">
        <v>432900</v>
      </c>
      <c r="AP490" s="557">
        <v>103.18898</v>
      </c>
      <c r="AQ490" s="557">
        <v>513.8811204000001</v>
      </c>
      <c r="AR490" s="557">
        <v>3.7149999999999999</v>
      </c>
    </row>
    <row r="491" spans="39:44">
      <c r="AM491" s="556">
        <v>45446</v>
      </c>
      <c r="AN491" s="557">
        <v>4.9800000000000004</v>
      </c>
      <c r="AO491" s="557">
        <v>432900</v>
      </c>
      <c r="AP491" s="557">
        <v>103.18898</v>
      </c>
      <c r="AQ491" s="557">
        <v>513.8811204000001</v>
      </c>
      <c r="AR491" s="557">
        <v>3.7149999999999999</v>
      </c>
    </row>
    <row r="492" spans="39:44">
      <c r="AM492" s="556">
        <v>45445</v>
      </c>
      <c r="AN492" s="557">
        <v>5.16</v>
      </c>
      <c r="AO492" s="557">
        <v>1084700</v>
      </c>
      <c r="AP492" s="557">
        <v>103.18898</v>
      </c>
      <c r="AQ492" s="557">
        <v>532.45513679999999</v>
      </c>
      <c r="AR492" s="557">
        <v>3.8565</v>
      </c>
    </row>
    <row r="493" spans="39:44">
      <c r="AM493" s="556">
        <v>45444</v>
      </c>
      <c r="AN493" s="557">
        <v>5.125</v>
      </c>
      <c r="AO493" s="557">
        <v>529100</v>
      </c>
      <c r="AP493" s="557">
        <v>103.18898</v>
      </c>
      <c r="AQ493" s="557">
        <v>528.84352249999995</v>
      </c>
      <c r="AR493" s="557">
        <v>3.8191999999999999</v>
      </c>
    </row>
    <row r="494" spans="39:44">
      <c r="AM494" s="556">
        <v>45443</v>
      </c>
      <c r="AN494" s="557">
        <v>5.2750000000000004</v>
      </c>
      <c r="AO494" s="557">
        <v>204800</v>
      </c>
      <c r="AP494" s="557">
        <v>103.18898</v>
      </c>
      <c r="AQ494" s="557">
        <v>544.32186950000005</v>
      </c>
      <c r="AR494" s="557">
        <v>3.9159999999999999</v>
      </c>
    </row>
    <row r="495" spans="39:44">
      <c r="AM495" s="556">
        <v>45442</v>
      </c>
      <c r="AN495" s="557">
        <v>5.31</v>
      </c>
      <c r="AO495" s="557">
        <v>343200</v>
      </c>
      <c r="AP495" s="557">
        <v>103.18898</v>
      </c>
      <c r="AQ495" s="557">
        <v>547.93348379999998</v>
      </c>
      <c r="AR495" s="557">
        <v>3.9384000000000001</v>
      </c>
    </row>
    <row r="496" spans="39:44">
      <c r="AM496" s="556">
        <v>45441</v>
      </c>
      <c r="AN496" s="557">
        <v>5.41</v>
      </c>
      <c r="AO496" s="557">
        <v>437500</v>
      </c>
      <c r="AP496" s="557">
        <v>103.18898</v>
      </c>
      <c r="AQ496" s="557">
        <v>558.25238179999997</v>
      </c>
      <c r="AR496" s="557">
        <v>4.0128000000000004</v>
      </c>
    </row>
    <row r="497" spans="39:44">
      <c r="AM497" s="556">
        <v>45440</v>
      </c>
      <c r="AN497" s="557">
        <v>5.41</v>
      </c>
      <c r="AO497" s="557">
        <v>437500</v>
      </c>
      <c r="AP497" s="557">
        <v>103.18898</v>
      </c>
      <c r="AQ497" s="557">
        <v>558.25238179999997</v>
      </c>
      <c r="AR497" s="557">
        <v>4.0128000000000004</v>
      </c>
    </row>
    <row r="498" spans="39:44">
      <c r="AM498" s="556">
        <v>45439</v>
      </c>
      <c r="AN498" s="557">
        <v>5.41</v>
      </c>
      <c r="AO498" s="557">
        <v>437500</v>
      </c>
      <c r="AP498" s="557">
        <v>103.18898</v>
      </c>
      <c r="AQ498" s="557">
        <v>558.25238179999997</v>
      </c>
      <c r="AR498" s="557">
        <v>4.0128000000000004</v>
      </c>
    </row>
    <row r="499" spans="39:44">
      <c r="AM499" s="556">
        <v>45438</v>
      </c>
      <c r="AN499" s="557">
        <v>5.165</v>
      </c>
      <c r="AO499" s="557">
        <v>353300</v>
      </c>
      <c r="AP499" s="557">
        <v>103.18898</v>
      </c>
      <c r="AQ499" s="557">
        <v>532.97108170000001</v>
      </c>
      <c r="AR499" s="557">
        <v>3.8565</v>
      </c>
    </row>
    <row r="500" spans="39:44">
      <c r="AM500" s="556">
        <v>45437</v>
      </c>
      <c r="AN500" s="557">
        <v>5.125</v>
      </c>
      <c r="AO500" s="557">
        <v>397300</v>
      </c>
      <c r="AP500" s="557">
        <v>103.18898</v>
      </c>
      <c r="AQ500" s="557">
        <v>528.84352249999995</v>
      </c>
      <c r="AR500" s="557">
        <v>3.8267000000000002</v>
      </c>
    </row>
    <row r="501" spans="39:44">
      <c r="AM501" s="556">
        <v>45436</v>
      </c>
      <c r="AN501" s="557">
        <v>5.125</v>
      </c>
      <c r="AO501" s="557">
        <v>397300</v>
      </c>
      <c r="AP501" s="557">
        <v>103.18898</v>
      </c>
      <c r="AQ501" s="557">
        <v>528.84352249999995</v>
      </c>
      <c r="AR501" s="557">
        <v>3.8267000000000002</v>
      </c>
    </row>
    <row r="502" spans="39:44">
      <c r="AM502" s="556">
        <v>45435</v>
      </c>
      <c r="AN502" s="557">
        <v>5.37</v>
      </c>
      <c r="AO502" s="557">
        <v>809200</v>
      </c>
      <c r="AP502" s="557">
        <v>103.18898</v>
      </c>
      <c r="AQ502" s="557">
        <v>554.12482260000002</v>
      </c>
      <c r="AR502" s="557">
        <v>3.9979</v>
      </c>
    </row>
    <row r="503" spans="39:44">
      <c r="AM503" s="556">
        <v>45434</v>
      </c>
      <c r="AN503" s="557">
        <v>5.4</v>
      </c>
      <c r="AO503" s="557">
        <v>337700</v>
      </c>
      <c r="AP503" s="557">
        <v>103.18898</v>
      </c>
      <c r="AQ503" s="557">
        <v>557.22049200000004</v>
      </c>
      <c r="AR503" s="557">
        <v>4.0277000000000003</v>
      </c>
    </row>
    <row r="504" spans="39:44">
      <c r="AM504" s="556">
        <v>45433</v>
      </c>
      <c r="AN504" s="557">
        <v>5.4</v>
      </c>
      <c r="AO504" s="557">
        <v>337700</v>
      </c>
      <c r="AP504" s="557">
        <v>103.18898</v>
      </c>
      <c r="AQ504" s="557">
        <v>557.22049200000004</v>
      </c>
      <c r="AR504" s="557">
        <v>4.0277000000000003</v>
      </c>
    </row>
    <row r="505" spans="39:44">
      <c r="AM505" s="556">
        <v>45432</v>
      </c>
      <c r="AN505" s="557">
        <v>5.4</v>
      </c>
      <c r="AO505" s="557">
        <v>337700</v>
      </c>
      <c r="AP505" s="557">
        <v>103.18898</v>
      </c>
      <c r="AQ505" s="557">
        <v>557.22049200000004</v>
      </c>
      <c r="AR505" s="557">
        <v>4.0277000000000003</v>
      </c>
    </row>
    <row r="506" spans="39:44">
      <c r="AM506" s="556">
        <v>45431</v>
      </c>
      <c r="AN506" s="557">
        <v>5.22</v>
      </c>
      <c r="AO506" s="557">
        <v>254200</v>
      </c>
      <c r="AP506" s="557">
        <v>103.18898</v>
      </c>
      <c r="AQ506" s="557">
        <v>538.64647560000003</v>
      </c>
      <c r="AR506" s="557">
        <v>3.8714</v>
      </c>
    </row>
    <row r="507" spans="39:44">
      <c r="AM507" s="556">
        <v>45430</v>
      </c>
      <c r="AN507" s="557">
        <v>5.3</v>
      </c>
      <c r="AO507" s="557">
        <v>442600</v>
      </c>
      <c r="AP507" s="557">
        <v>103.18898</v>
      </c>
      <c r="AQ507" s="557">
        <v>546.90159399999993</v>
      </c>
      <c r="AR507" s="557">
        <v>3.9308999999999998</v>
      </c>
    </row>
    <row r="508" spans="39:44">
      <c r="AM508" s="556">
        <v>45429</v>
      </c>
      <c r="AN508" s="557">
        <v>5.31</v>
      </c>
      <c r="AO508" s="557">
        <v>507100</v>
      </c>
      <c r="AP508" s="557">
        <v>103.18898</v>
      </c>
      <c r="AQ508" s="557">
        <v>547.93348379999998</v>
      </c>
      <c r="AR508" s="557">
        <v>3.9458000000000002</v>
      </c>
    </row>
    <row r="509" spans="39:44">
      <c r="AM509" s="556">
        <v>45428</v>
      </c>
      <c r="AN509" s="557">
        <v>5.1550000000000002</v>
      </c>
      <c r="AO509" s="557">
        <v>896900</v>
      </c>
      <c r="AP509" s="557">
        <v>103.18898</v>
      </c>
      <c r="AQ509" s="557">
        <v>531.93919190000008</v>
      </c>
      <c r="AR509" s="557">
        <v>3.8267000000000002</v>
      </c>
    </row>
    <row r="510" spans="39:44">
      <c r="AM510" s="556">
        <v>45427</v>
      </c>
      <c r="AN510" s="557">
        <v>5.3150000000000004</v>
      </c>
      <c r="AO510" s="557">
        <v>674900</v>
      </c>
      <c r="AP510" s="557">
        <v>103.18898</v>
      </c>
      <c r="AQ510" s="557">
        <v>548.4494287</v>
      </c>
      <c r="AR510" s="557">
        <v>3.9458000000000002</v>
      </c>
    </row>
    <row r="511" spans="39:44">
      <c r="AM511" s="556">
        <v>45426</v>
      </c>
      <c r="AN511" s="557">
        <v>5.3150000000000004</v>
      </c>
      <c r="AO511" s="557">
        <v>674900</v>
      </c>
      <c r="AP511" s="557">
        <v>103.18898</v>
      </c>
      <c r="AQ511" s="557">
        <v>548.4494287</v>
      </c>
      <c r="AR511" s="557">
        <v>3.9458000000000002</v>
      </c>
    </row>
    <row r="512" spans="39:44">
      <c r="AM512" s="556">
        <v>45425</v>
      </c>
      <c r="AN512" s="557">
        <v>5.3150000000000004</v>
      </c>
      <c r="AO512" s="557">
        <v>674900</v>
      </c>
      <c r="AP512" s="557">
        <v>103.18898</v>
      </c>
      <c r="AQ512" s="557">
        <v>548.4494287</v>
      </c>
      <c r="AR512" s="557">
        <v>3.9458000000000002</v>
      </c>
    </row>
    <row r="513" spans="39:44">
      <c r="AM513" s="556">
        <v>45424</v>
      </c>
      <c r="AN513" s="557">
        <v>5.17</v>
      </c>
      <c r="AO513" s="557">
        <v>386700</v>
      </c>
      <c r="AP513" s="557">
        <v>103.18898</v>
      </c>
      <c r="AQ513" s="557">
        <v>533.48702660000004</v>
      </c>
      <c r="AR513" s="557">
        <v>3.8416000000000001</v>
      </c>
    </row>
    <row r="514" spans="39:44">
      <c r="AM514" s="556">
        <v>45423</v>
      </c>
      <c r="AN514" s="557">
        <v>5.25</v>
      </c>
      <c r="AO514" s="557">
        <v>815100</v>
      </c>
      <c r="AP514" s="557">
        <v>103.18898</v>
      </c>
      <c r="AQ514" s="557">
        <v>541.74214500000005</v>
      </c>
      <c r="AR514" s="557">
        <v>3.9085999999999999</v>
      </c>
    </row>
    <row r="515" spans="39:44">
      <c r="AM515" s="556">
        <v>45422</v>
      </c>
      <c r="AN515" s="557">
        <v>5.23</v>
      </c>
      <c r="AO515" s="557">
        <v>1001100</v>
      </c>
      <c r="AP515" s="557">
        <v>103.18898</v>
      </c>
      <c r="AQ515" s="557">
        <v>539.67836540000008</v>
      </c>
      <c r="AR515" s="557">
        <v>3.8936999999999999</v>
      </c>
    </row>
    <row r="516" spans="39:44">
      <c r="AM516" s="556">
        <v>45421</v>
      </c>
      <c r="AN516" s="557">
        <v>5.45</v>
      </c>
      <c r="AO516" s="557">
        <v>706700</v>
      </c>
      <c r="AP516" s="557">
        <v>103.18898</v>
      </c>
      <c r="AQ516" s="557">
        <v>562.37994100000003</v>
      </c>
      <c r="AR516" s="557">
        <v>4.05</v>
      </c>
    </row>
    <row r="517" spans="39:44">
      <c r="AM517" s="556">
        <v>45420</v>
      </c>
      <c r="AN517" s="557">
        <v>5.6</v>
      </c>
      <c r="AO517" s="557">
        <v>1000700</v>
      </c>
      <c r="AP517" s="557">
        <v>103.18898</v>
      </c>
      <c r="AQ517" s="557">
        <v>577.85828800000002</v>
      </c>
      <c r="AR517" s="557">
        <v>4.1840999999999999</v>
      </c>
    </row>
    <row r="518" spans="39:44">
      <c r="AM518" s="556">
        <v>45419</v>
      </c>
      <c r="AN518" s="557">
        <v>5.6</v>
      </c>
      <c r="AO518" s="557">
        <v>1000700</v>
      </c>
      <c r="AP518" s="557">
        <v>103.18898</v>
      </c>
      <c r="AQ518" s="557">
        <v>577.85828800000002</v>
      </c>
      <c r="AR518" s="557">
        <v>4.1840999999999999</v>
      </c>
    </row>
    <row r="519" spans="39:44">
      <c r="AM519" s="556">
        <v>45418</v>
      </c>
      <c r="AN519" s="557">
        <v>5.6</v>
      </c>
      <c r="AO519" s="557">
        <v>1000700</v>
      </c>
      <c r="AP519" s="557">
        <v>103.18898</v>
      </c>
      <c r="AQ519" s="557">
        <v>577.85828800000002</v>
      </c>
      <c r="AR519" s="557">
        <v>4.1840999999999999</v>
      </c>
    </row>
    <row r="520" spans="39:44">
      <c r="AM520" s="556">
        <v>45417</v>
      </c>
      <c r="AN520" s="557">
        <v>5.87</v>
      </c>
      <c r="AO520" s="557">
        <v>989700</v>
      </c>
      <c r="AP520" s="557">
        <v>103.18898</v>
      </c>
      <c r="AQ520" s="557">
        <v>605.71931259999997</v>
      </c>
      <c r="AR520" s="557">
        <v>4.3776000000000002</v>
      </c>
    </row>
    <row r="521" spans="39:44">
      <c r="AM521" s="556">
        <v>45416</v>
      </c>
      <c r="AN521" s="557">
        <v>5.82</v>
      </c>
      <c r="AO521" s="557">
        <v>568700</v>
      </c>
      <c r="AP521" s="557">
        <v>103.18898</v>
      </c>
      <c r="AQ521" s="557">
        <v>600.55986360000009</v>
      </c>
      <c r="AR521" s="557">
        <v>4.3403999999999998</v>
      </c>
    </row>
    <row r="522" spans="39:44">
      <c r="AM522" s="556">
        <v>45415</v>
      </c>
      <c r="AN522" s="557">
        <v>5.99</v>
      </c>
      <c r="AO522" s="557">
        <v>370700</v>
      </c>
      <c r="AP522" s="557">
        <v>103.18898</v>
      </c>
      <c r="AQ522" s="557">
        <v>618.10199020000005</v>
      </c>
      <c r="AR522" s="557">
        <v>4.4520999999999997</v>
      </c>
    </row>
    <row r="523" spans="39:44">
      <c r="AM523" s="556">
        <v>45414</v>
      </c>
      <c r="AN523" s="557">
        <v>5.9850000000000003</v>
      </c>
      <c r="AO523" s="557">
        <v>835400</v>
      </c>
      <c r="AP523" s="557">
        <v>103.18898</v>
      </c>
      <c r="AQ523" s="557">
        <v>617.58604530000002</v>
      </c>
      <c r="AR523" s="557">
        <v>4.4520999999999997</v>
      </c>
    </row>
    <row r="524" spans="39:44">
      <c r="AM524" s="556">
        <v>45413</v>
      </c>
      <c r="AN524" s="557">
        <v>6.0949999999999998</v>
      </c>
      <c r="AO524" s="557">
        <v>863000</v>
      </c>
      <c r="AP524" s="557">
        <v>103.18898</v>
      </c>
      <c r="AQ524" s="557">
        <v>628.93683309999994</v>
      </c>
      <c r="AR524" s="557">
        <v>4.5563000000000002</v>
      </c>
    </row>
    <row r="525" spans="39:44">
      <c r="AM525" s="556">
        <v>45412</v>
      </c>
      <c r="AN525" s="557">
        <v>6.0949999999999998</v>
      </c>
      <c r="AO525" s="557">
        <v>863000</v>
      </c>
      <c r="AP525" s="557">
        <v>103.18898</v>
      </c>
      <c r="AQ525" s="557">
        <v>628.93683309999994</v>
      </c>
      <c r="AR525" s="557">
        <v>4.5563000000000002</v>
      </c>
    </row>
    <row r="526" spans="39:44">
      <c r="AM526" s="556">
        <v>45411</v>
      </c>
      <c r="AN526" s="557">
        <v>6.0949999999999998</v>
      </c>
      <c r="AO526" s="557">
        <v>863000</v>
      </c>
      <c r="AP526" s="557">
        <v>103.18898</v>
      </c>
      <c r="AQ526" s="557">
        <v>628.93683309999994</v>
      </c>
      <c r="AR526" s="557">
        <v>4.5563000000000002</v>
      </c>
    </row>
    <row r="527" spans="39:44">
      <c r="AM527" s="556">
        <v>45410</v>
      </c>
      <c r="AN527" s="557">
        <v>5.8150000000000004</v>
      </c>
      <c r="AO527" s="557">
        <v>572900</v>
      </c>
      <c r="AP527" s="557">
        <v>103.18898</v>
      </c>
      <c r="AQ527" s="557">
        <v>600.04391870000006</v>
      </c>
      <c r="AR527" s="557">
        <v>4.3330000000000002</v>
      </c>
    </row>
    <row r="528" spans="39:44">
      <c r="AM528" s="556">
        <v>45409</v>
      </c>
      <c r="AN528" s="557">
        <v>5.8949999999999996</v>
      </c>
      <c r="AO528" s="557">
        <v>1016500</v>
      </c>
      <c r="AP528" s="557">
        <v>103.18898</v>
      </c>
      <c r="AQ528" s="557">
        <v>608.29903709999996</v>
      </c>
      <c r="AR528" s="557">
        <v>4.3851000000000004</v>
      </c>
    </row>
    <row r="529" spans="39:44">
      <c r="AM529" s="556">
        <v>45408</v>
      </c>
      <c r="AN529" s="557">
        <v>6.165</v>
      </c>
      <c r="AO529" s="557">
        <v>854400</v>
      </c>
      <c r="AP529" s="557">
        <v>103.18898</v>
      </c>
      <c r="AQ529" s="557">
        <v>636.16006170000003</v>
      </c>
      <c r="AR529" s="557">
        <v>4.5861000000000001</v>
      </c>
    </row>
    <row r="530" spans="39:44">
      <c r="AM530" s="556">
        <v>45407</v>
      </c>
      <c r="AN530" s="557">
        <v>6.125</v>
      </c>
      <c r="AO530" s="557">
        <v>1156200</v>
      </c>
      <c r="AP530" s="557">
        <v>103.18898</v>
      </c>
      <c r="AQ530" s="557">
        <v>632.03250249999996</v>
      </c>
      <c r="AR530" s="557">
        <v>4.5488999999999997</v>
      </c>
    </row>
    <row r="531" spans="39:44">
      <c r="AM531" s="556">
        <v>45406</v>
      </c>
      <c r="AN531" s="557">
        <v>6.36</v>
      </c>
      <c r="AO531" s="557">
        <v>739800</v>
      </c>
      <c r="AP531" s="557">
        <v>103.18898</v>
      </c>
      <c r="AQ531" s="557">
        <v>656.28191279999999</v>
      </c>
      <c r="AR531" s="557">
        <v>4.2720000000000002</v>
      </c>
    </row>
    <row r="532" spans="39:44">
      <c r="AM532" s="556">
        <v>45405</v>
      </c>
      <c r="AN532" s="557">
        <v>6.36</v>
      </c>
      <c r="AO532" s="557">
        <v>739800</v>
      </c>
      <c r="AP532" s="557">
        <v>103.18898</v>
      </c>
      <c r="AQ532" s="557">
        <v>656.28191279999999</v>
      </c>
      <c r="AR532" s="557">
        <v>4.2720000000000002</v>
      </c>
    </row>
    <row r="533" spans="39:44">
      <c r="AM533" s="556">
        <v>45404</v>
      </c>
      <c r="AN533" s="557">
        <v>6.36</v>
      </c>
      <c r="AO533" s="557">
        <v>739800</v>
      </c>
      <c r="AP533" s="557">
        <v>103.18898</v>
      </c>
      <c r="AQ533" s="557">
        <v>656.28191279999999</v>
      </c>
      <c r="AR533" s="557">
        <v>4.2720000000000002</v>
      </c>
    </row>
    <row r="534" spans="39:44">
      <c r="AM534" s="556">
        <v>45403</v>
      </c>
      <c r="AN534" s="557">
        <v>6.36</v>
      </c>
      <c r="AO534" s="557">
        <v>739800</v>
      </c>
      <c r="AP534" s="557">
        <v>103.18898</v>
      </c>
      <c r="AQ534" s="557">
        <v>656.28191279999999</v>
      </c>
      <c r="AR534" s="557">
        <v>4.2720000000000002</v>
      </c>
    </row>
    <row r="535" spans="39:44">
      <c r="AM535" s="556">
        <v>45402</v>
      </c>
      <c r="AN535" s="557">
        <v>6.415</v>
      </c>
      <c r="AO535" s="557">
        <v>1498900</v>
      </c>
      <c r="AP535" s="557">
        <v>103.18898</v>
      </c>
      <c r="AQ535" s="557">
        <v>661.9573067</v>
      </c>
      <c r="AR535" s="557">
        <v>4.3056999999999999</v>
      </c>
    </row>
    <row r="536" spans="39:44">
      <c r="AM536" s="556">
        <v>45401</v>
      </c>
      <c r="AN536" s="557">
        <v>6.3849999999999998</v>
      </c>
      <c r="AO536" s="557">
        <v>876400</v>
      </c>
      <c r="AP536" s="557">
        <v>103.18898</v>
      </c>
      <c r="AQ536" s="557">
        <v>658.86163729999998</v>
      </c>
      <c r="AR536" s="557">
        <v>4.2854999999999999</v>
      </c>
    </row>
    <row r="537" spans="39:44">
      <c r="AM537" s="556">
        <v>45400</v>
      </c>
      <c r="AN537" s="557">
        <v>6.5750000000000002</v>
      </c>
      <c r="AO537" s="557">
        <v>1810500</v>
      </c>
      <c r="AP537" s="557">
        <v>103.18898</v>
      </c>
      <c r="AQ537" s="557">
        <v>678.46754350000003</v>
      </c>
      <c r="AR537" s="557">
        <v>4.4335000000000004</v>
      </c>
    </row>
    <row r="538" spans="39:44">
      <c r="AM538" s="556">
        <v>45399</v>
      </c>
      <c r="AN538" s="557">
        <v>6.875</v>
      </c>
      <c r="AO538" s="557">
        <v>903100</v>
      </c>
      <c r="AP538" s="557">
        <v>103.18898</v>
      </c>
      <c r="AQ538" s="557">
        <v>709.4242375</v>
      </c>
      <c r="AR538" s="557">
        <v>4.6218000000000004</v>
      </c>
    </row>
    <row r="539" spans="39:44">
      <c r="AM539" s="556">
        <v>45398</v>
      </c>
      <c r="AN539" s="557">
        <v>6.875</v>
      </c>
      <c r="AO539" s="557">
        <v>903100</v>
      </c>
      <c r="AP539" s="557">
        <v>103.18898</v>
      </c>
      <c r="AQ539" s="557">
        <v>709.4242375</v>
      </c>
      <c r="AR539" s="557">
        <v>4.6218000000000004</v>
      </c>
    </row>
    <row r="540" spans="39:44">
      <c r="AM540" s="556">
        <v>45397</v>
      </c>
      <c r="AN540" s="557">
        <v>6.875</v>
      </c>
      <c r="AO540" s="557">
        <v>903100</v>
      </c>
      <c r="AP540" s="557">
        <v>103.18898</v>
      </c>
      <c r="AQ540" s="557">
        <v>709.4242375</v>
      </c>
      <c r="AR540" s="557">
        <v>4.6218000000000004</v>
      </c>
    </row>
    <row r="541" spans="39:44">
      <c r="AM541" s="556">
        <v>45396</v>
      </c>
      <c r="AN541" s="557">
        <v>6.7249999999999996</v>
      </c>
      <c r="AO541" s="557">
        <v>775900</v>
      </c>
      <c r="AP541" s="557">
        <v>103.18898</v>
      </c>
      <c r="AQ541" s="557">
        <v>693.94589050000002</v>
      </c>
      <c r="AR541" s="557">
        <v>4.5411000000000001</v>
      </c>
    </row>
    <row r="542" spans="39:44">
      <c r="AM542" s="556">
        <v>45395</v>
      </c>
      <c r="AN542" s="557">
        <v>6.4349999999999996</v>
      </c>
      <c r="AO542" s="557">
        <v>2909800</v>
      </c>
      <c r="AP542" s="557">
        <v>103.18898</v>
      </c>
      <c r="AQ542" s="557">
        <v>664.02108629999998</v>
      </c>
      <c r="AR542" s="557">
        <v>4.3258000000000001</v>
      </c>
    </row>
    <row r="543" spans="39:44">
      <c r="AM543" s="556">
        <v>45394</v>
      </c>
      <c r="AN543" s="557">
        <v>5.9450000000000003</v>
      </c>
      <c r="AO543" s="557">
        <v>1130000</v>
      </c>
      <c r="AP543" s="557">
        <v>103.18898</v>
      </c>
      <c r="AQ543" s="557">
        <v>613.45848610000007</v>
      </c>
      <c r="AR543" s="557">
        <v>3.9962</v>
      </c>
    </row>
    <row r="544" spans="39:44">
      <c r="AM544" s="556">
        <v>45393</v>
      </c>
      <c r="AN544" s="557">
        <v>5.3049999999999997</v>
      </c>
      <c r="AO544" s="557">
        <v>969900</v>
      </c>
      <c r="AP544" s="557">
        <v>103.18898</v>
      </c>
      <c r="AQ544" s="557">
        <v>547.41753889999995</v>
      </c>
      <c r="AR544" s="557">
        <v>3.5655999999999999</v>
      </c>
    </row>
    <row r="545" spans="39:44">
      <c r="AM545" s="556">
        <v>45392</v>
      </c>
      <c r="AN545" s="557">
        <v>5.4050000000000002</v>
      </c>
      <c r="AO545" s="557">
        <v>1091900</v>
      </c>
      <c r="AP545" s="557">
        <v>103.18898</v>
      </c>
      <c r="AQ545" s="557">
        <v>557.73643690000006</v>
      </c>
      <c r="AR545" s="557">
        <v>3.6328999999999998</v>
      </c>
    </row>
    <row r="546" spans="39:44">
      <c r="AM546" s="556">
        <v>45391</v>
      </c>
      <c r="AN546" s="557">
        <v>5.4050000000000002</v>
      </c>
      <c r="AO546" s="557">
        <v>1091900</v>
      </c>
      <c r="AP546" s="557">
        <v>103.18898</v>
      </c>
      <c r="AQ546" s="557">
        <v>557.73643690000006</v>
      </c>
      <c r="AR546" s="557">
        <v>3.6328999999999998</v>
      </c>
    </row>
    <row r="547" spans="39:44">
      <c r="AM547" s="556">
        <v>45390</v>
      </c>
      <c r="AN547" s="557">
        <v>5.4050000000000002</v>
      </c>
      <c r="AO547" s="557">
        <v>1091900</v>
      </c>
      <c r="AP547" s="557">
        <v>103.18898</v>
      </c>
      <c r="AQ547" s="557">
        <v>557.73643690000006</v>
      </c>
      <c r="AR547" s="557">
        <v>3.6328999999999998</v>
      </c>
    </row>
    <row r="548" spans="39:44">
      <c r="AM548" s="556">
        <v>45389</v>
      </c>
      <c r="AN548" s="557">
        <v>5.5949999999999998</v>
      </c>
      <c r="AO548" s="557">
        <v>913200</v>
      </c>
      <c r="AP548" s="557">
        <v>103.18898</v>
      </c>
      <c r="AQ548" s="557">
        <v>577.34234309999999</v>
      </c>
      <c r="AR548" s="557">
        <v>3.7673999999999999</v>
      </c>
    </row>
    <row r="549" spans="39:44">
      <c r="AM549" s="556">
        <v>45388</v>
      </c>
      <c r="AN549" s="557">
        <v>5.8449999999999998</v>
      </c>
      <c r="AO549" s="557">
        <v>3907800</v>
      </c>
      <c r="AP549" s="557">
        <v>103.18898</v>
      </c>
      <c r="AQ549" s="557">
        <v>603.13958809999997</v>
      </c>
      <c r="AR549" s="557">
        <v>3.9356</v>
      </c>
    </row>
    <row r="550" spans="39:44">
      <c r="AM550" s="556">
        <v>45387</v>
      </c>
      <c r="AN550" s="557">
        <v>5.5350000000000001</v>
      </c>
      <c r="AO550" s="557">
        <v>710400</v>
      </c>
      <c r="AP550" s="557">
        <v>103.18898</v>
      </c>
      <c r="AQ550" s="557">
        <v>571.15100430000007</v>
      </c>
      <c r="AR550" s="557">
        <v>3.7338</v>
      </c>
    </row>
    <row r="551" spans="39:44">
      <c r="AM551" s="556">
        <v>45386</v>
      </c>
      <c r="AN551" s="557">
        <v>5.375</v>
      </c>
      <c r="AO551" s="557">
        <v>359100</v>
      </c>
      <c r="AP551" s="557">
        <v>103.18898</v>
      </c>
      <c r="AQ551" s="557">
        <v>554.64076750000004</v>
      </c>
      <c r="AR551" s="557">
        <v>3.6194000000000002</v>
      </c>
    </row>
    <row r="552" spans="39:44">
      <c r="AM552" s="556">
        <v>45385</v>
      </c>
      <c r="AN552" s="557">
        <v>5.33</v>
      </c>
      <c r="AO552" s="557">
        <v>274300</v>
      </c>
      <c r="AP552" s="557">
        <v>103.18898</v>
      </c>
      <c r="AQ552" s="557">
        <v>549.99726340000007</v>
      </c>
      <c r="AR552" s="557">
        <v>3.5992999999999999</v>
      </c>
    </row>
    <row r="553" spans="39:44">
      <c r="AM553" s="556">
        <v>45384</v>
      </c>
      <c r="AN553" s="557">
        <v>5.33</v>
      </c>
      <c r="AO553" s="557">
        <v>274300</v>
      </c>
      <c r="AP553" s="557">
        <v>103.18898</v>
      </c>
      <c r="AQ553" s="557">
        <v>549.99726340000007</v>
      </c>
      <c r="AR553" s="557">
        <v>3.5992999999999999</v>
      </c>
    </row>
    <row r="554" spans="39:44">
      <c r="AM554" s="556">
        <v>45383</v>
      </c>
      <c r="AN554" s="557">
        <v>5.33</v>
      </c>
      <c r="AO554" s="557">
        <v>274300</v>
      </c>
      <c r="AP554" s="557">
        <v>103.18898</v>
      </c>
      <c r="AQ554" s="557">
        <v>549.99726340000007</v>
      </c>
      <c r="AR554" s="557">
        <v>3.5992999999999999</v>
      </c>
    </row>
    <row r="555" spans="39:44">
      <c r="AM555" s="556">
        <v>45382</v>
      </c>
      <c r="AN555" s="557">
        <v>5.2850000000000001</v>
      </c>
      <c r="AO555" s="557">
        <v>537700</v>
      </c>
      <c r="AP555" s="557">
        <v>103.18898</v>
      </c>
      <c r="AQ555" s="557">
        <v>545.35375929999998</v>
      </c>
      <c r="AR555" s="557">
        <v>3.5722999999999998</v>
      </c>
    </row>
    <row r="556" spans="39:44">
      <c r="AM556" s="556">
        <v>45381</v>
      </c>
      <c r="AN556" s="557">
        <v>5.2050000000000001</v>
      </c>
      <c r="AO556" s="557">
        <v>513100</v>
      </c>
      <c r="AP556" s="557">
        <v>103.18898</v>
      </c>
      <c r="AQ556" s="557">
        <v>537.09864089999996</v>
      </c>
      <c r="AR556" s="557">
        <v>3.5118</v>
      </c>
    </row>
    <row r="557" spans="39:44">
      <c r="AM557" s="556">
        <v>45380</v>
      </c>
      <c r="AN557" s="557">
        <v>5.35</v>
      </c>
      <c r="AO557" s="557">
        <v>718500</v>
      </c>
      <c r="AP557" s="557">
        <v>103.18898</v>
      </c>
      <c r="AQ557" s="557">
        <v>552.06104299999993</v>
      </c>
      <c r="AR557" s="557">
        <v>3.5924999999999998</v>
      </c>
    </row>
    <row r="558" spans="39:44">
      <c r="AM558" s="556">
        <v>45379</v>
      </c>
      <c r="AN558" s="557">
        <v>5.5750000000000002</v>
      </c>
      <c r="AO558" s="557">
        <v>1414300</v>
      </c>
      <c r="AP558" s="557">
        <v>103.18898</v>
      </c>
      <c r="AQ558" s="557">
        <v>575.27856350000002</v>
      </c>
      <c r="AR558" s="557">
        <v>3.7204000000000002</v>
      </c>
    </row>
    <row r="559" spans="39:44">
      <c r="AM559" s="556">
        <v>45378</v>
      </c>
      <c r="AN559" s="557">
        <v>5.51</v>
      </c>
      <c r="AO559" s="557">
        <v>998400</v>
      </c>
      <c r="AP559" s="557">
        <v>103.18898</v>
      </c>
      <c r="AQ559" s="557">
        <v>568.57127979999996</v>
      </c>
      <c r="AR559" s="557">
        <v>3.7271000000000001</v>
      </c>
    </row>
    <row r="560" spans="39:44">
      <c r="AM560" s="556">
        <v>45377</v>
      </c>
      <c r="AN560" s="557">
        <v>5.51</v>
      </c>
      <c r="AO560" s="557">
        <v>998400</v>
      </c>
      <c r="AP560" s="557">
        <v>103.18898</v>
      </c>
      <c r="AQ560" s="557">
        <v>568.57127979999996</v>
      </c>
      <c r="AR560" s="557">
        <v>3.7271000000000001</v>
      </c>
    </row>
    <row r="561" spans="39:44">
      <c r="AM561" s="556">
        <v>45376</v>
      </c>
      <c r="AN561" s="557">
        <v>5.51</v>
      </c>
      <c r="AO561" s="557">
        <v>998400</v>
      </c>
      <c r="AP561" s="557">
        <v>103.18898</v>
      </c>
      <c r="AQ561" s="557">
        <v>568.57127979999996</v>
      </c>
      <c r="AR561" s="557">
        <v>3.7271000000000001</v>
      </c>
    </row>
    <row r="562" spans="39:44">
      <c r="AM562" s="556">
        <v>45375</v>
      </c>
      <c r="AN562" s="557">
        <v>5.3849999999999998</v>
      </c>
      <c r="AO562" s="557">
        <v>654800</v>
      </c>
      <c r="AP562" s="557">
        <v>103.18898</v>
      </c>
      <c r="AQ562" s="557">
        <v>555.67265729999997</v>
      </c>
      <c r="AR562" s="557">
        <v>3.6261999999999999</v>
      </c>
    </row>
    <row r="563" spans="39:44">
      <c r="AM563" s="556">
        <v>45374</v>
      </c>
      <c r="AN563" s="557">
        <v>5.4</v>
      </c>
      <c r="AO563" s="557">
        <v>1900000</v>
      </c>
      <c r="AP563" s="557">
        <v>103.18898</v>
      </c>
      <c r="AQ563" s="557">
        <v>557.22049200000004</v>
      </c>
      <c r="AR563" s="557">
        <v>3.6261999999999999</v>
      </c>
    </row>
    <row r="564" spans="39:44">
      <c r="AM564" s="556">
        <v>45373</v>
      </c>
      <c r="AN564" s="557">
        <v>5.03</v>
      </c>
      <c r="AO564" s="557">
        <v>928400</v>
      </c>
      <c r="AP564" s="557">
        <v>103.18898</v>
      </c>
      <c r="AQ564" s="557">
        <v>519.04056939999998</v>
      </c>
      <c r="AR564" s="557">
        <v>3.3906999999999998</v>
      </c>
    </row>
    <row r="565" spans="39:44">
      <c r="AM565" s="556">
        <v>45372</v>
      </c>
      <c r="AN565" s="557">
        <v>4.8099999999999996</v>
      </c>
      <c r="AO565" s="557">
        <v>99700</v>
      </c>
      <c r="AP565" s="557">
        <v>103.18898</v>
      </c>
      <c r="AQ565" s="557">
        <v>496.33899379999997</v>
      </c>
      <c r="AR565" s="557">
        <v>3.2023000000000001</v>
      </c>
    </row>
    <row r="566" spans="39:44">
      <c r="AM566" s="556">
        <v>45371</v>
      </c>
      <c r="AN566" s="557">
        <v>4.8449999999999998</v>
      </c>
      <c r="AO566" s="557">
        <v>216600</v>
      </c>
      <c r="AP566" s="557">
        <v>103.18898</v>
      </c>
      <c r="AQ566" s="557">
        <v>499.95060809999995</v>
      </c>
      <c r="AR566" s="557">
        <v>3.2831000000000001</v>
      </c>
    </row>
    <row r="567" spans="39:44">
      <c r="AM567" s="556">
        <v>45370</v>
      </c>
      <c r="AN567" s="557">
        <v>4.8449999999999998</v>
      </c>
      <c r="AO567" s="557">
        <v>216600</v>
      </c>
      <c r="AP567" s="557">
        <v>103.18898</v>
      </c>
      <c r="AQ567" s="557">
        <v>499.95060809999995</v>
      </c>
      <c r="AR567" s="557">
        <v>3.2831000000000001</v>
      </c>
    </row>
    <row r="568" spans="39:44">
      <c r="AM568" s="556">
        <v>45369</v>
      </c>
      <c r="AN568" s="557">
        <v>4.8449999999999998</v>
      </c>
      <c r="AO568" s="557">
        <v>216600</v>
      </c>
      <c r="AP568" s="557">
        <v>103.18898</v>
      </c>
      <c r="AQ568" s="557">
        <v>499.95060809999995</v>
      </c>
      <c r="AR568" s="557">
        <v>3.2831000000000001</v>
      </c>
    </row>
    <row r="569" spans="39:44">
      <c r="AM569" s="556">
        <v>45368</v>
      </c>
      <c r="AN569" s="557">
        <v>4.84</v>
      </c>
      <c r="AO569" s="557">
        <v>202400</v>
      </c>
      <c r="AP569" s="557">
        <v>103.18898</v>
      </c>
      <c r="AQ569" s="557">
        <v>499.43466319999999</v>
      </c>
      <c r="AR569" s="557">
        <v>3.2494000000000001</v>
      </c>
    </row>
    <row r="570" spans="39:44">
      <c r="AM570" s="556">
        <v>45367</v>
      </c>
      <c r="AN570" s="557">
        <v>4.8</v>
      </c>
      <c r="AO570" s="557">
        <v>802500</v>
      </c>
      <c r="AP570" s="557">
        <v>103.18898</v>
      </c>
      <c r="AQ570" s="557">
        <v>495.30710399999998</v>
      </c>
      <c r="AR570" s="557">
        <v>3.2225000000000001</v>
      </c>
    </row>
    <row r="571" spans="39:44">
      <c r="AM571" s="556">
        <v>45366</v>
      </c>
      <c r="AN571" s="557">
        <v>4.9800000000000004</v>
      </c>
      <c r="AO571" s="557">
        <v>117400</v>
      </c>
      <c r="AP571" s="557">
        <v>103.18898</v>
      </c>
      <c r="AQ571" s="557">
        <v>513.8811204000001</v>
      </c>
      <c r="AR571" s="557">
        <v>3.3502999999999998</v>
      </c>
    </row>
    <row r="572" spans="39:44">
      <c r="AM572" s="556">
        <v>45365</v>
      </c>
      <c r="AN572" s="557">
        <v>4.8499999999999996</v>
      </c>
      <c r="AO572" s="557">
        <v>104800</v>
      </c>
      <c r="AP572" s="557">
        <v>103.18898</v>
      </c>
      <c r="AQ572" s="557">
        <v>500.46655299999998</v>
      </c>
      <c r="AR572" s="557">
        <v>3.2696000000000001</v>
      </c>
    </row>
    <row r="573" spans="39:44">
      <c r="AM573" s="556">
        <v>45364</v>
      </c>
      <c r="AN573" s="557">
        <v>4.83</v>
      </c>
      <c r="AO573" s="557">
        <v>446100</v>
      </c>
      <c r="AP573" s="557">
        <v>103.18898</v>
      </c>
      <c r="AQ573" s="557">
        <v>498.4027734</v>
      </c>
      <c r="AR573" s="557">
        <v>3.2427000000000001</v>
      </c>
    </row>
    <row r="574" spans="39:44">
      <c r="AM574" s="556">
        <v>45363</v>
      </c>
      <c r="AN574" s="557">
        <v>4.83</v>
      </c>
      <c r="AO574" s="557">
        <v>446100</v>
      </c>
      <c r="AP574" s="557">
        <v>103.18898</v>
      </c>
      <c r="AQ574" s="557">
        <v>498.4027734</v>
      </c>
      <c r="AR574" s="557">
        <v>3.2427000000000001</v>
      </c>
    </row>
    <row r="575" spans="39:44">
      <c r="AM575" s="556">
        <v>45362</v>
      </c>
      <c r="AN575" s="557">
        <v>4.83</v>
      </c>
      <c r="AO575" s="557">
        <v>446100</v>
      </c>
      <c r="AP575" s="557">
        <v>103.18898</v>
      </c>
      <c r="AQ575" s="557">
        <v>498.4027734</v>
      </c>
      <c r="AR575" s="557">
        <v>3.2427000000000001</v>
      </c>
    </row>
    <row r="576" spans="39:44">
      <c r="AM576" s="556">
        <v>45361</v>
      </c>
      <c r="AN576" s="557">
        <v>4.79</v>
      </c>
      <c r="AO576" s="557">
        <v>130400</v>
      </c>
      <c r="AP576" s="557">
        <v>103.18898</v>
      </c>
      <c r="AQ576" s="557">
        <v>494.27521419999999</v>
      </c>
      <c r="AR576" s="557">
        <v>3.1956000000000002</v>
      </c>
    </row>
    <row r="577" spans="39:44">
      <c r="AM577" s="556">
        <v>45360</v>
      </c>
      <c r="AN577" s="557">
        <v>4.7450000000000001</v>
      </c>
      <c r="AO577" s="557">
        <v>128900</v>
      </c>
      <c r="AP577" s="557">
        <v>103.18898</v>
      </c>
      <c r="AQ577" s="557">
        <v>489.63171010000002</v>
      </c>
      <c r="AR577" s="557">
        <v>3.1956000000000002</v>
      </c>
    </row>
    <row r="578" spans="39:44">
      <c r="AM578" s="556">
        <v>45359</v>
      </c>
      <c r="AN578" s="557">
        <v>4.7249999999999996</v>
      </c>
      <c r="AO578" s="557">
        <v>225600</v>
      </c>
      <c r="AP578" s="557">
        <v>103.18898</v>
      </c>
      <c r="AQ578" s="557">
        <v>487.56793049999999</v>
      </c>
      <c r="AR578" s="557">
        <v>3.1686999999999999</v>
      </c>
    </row>
    <row r="579" spans="39:44">
      <c r="AM579" s="556">
        <v>45358</v>
      </c>
      <c r="AN579" s="557">
        <v>4.7249999999999996</v>
      </c>
      <c r="AO579" s="557">
        <v>225600</v>
      </c>
      <c r="AP579" s="557">
        <v>103.18898</v>
      </c>
      <c r="AQ579" s="557">
        <v>487.56793049999999</v>
      </c>
      <c r="AR579" s="557">
        <v>3.1686999999999999</v>
      </c>
    </row>
    <row r="580" spans="39:44">
      <c r="AM580" s="556">
        <v>45357</v>
      </c>
      <c r="AN580" s="557">
        <v>4.7249999999999996</v>
      </c>
      <c r="AO580" s="557">
        <v>225600</v>
      </c>
      <c r="AP580" s="557">
        <v>103.18898</v>
      </c>
      <c r="AQ580" s="557">
        <v>487.56793049999999</v>
      </c>
      <c r="AR580" s="557">
        <v>3.1686999999999999</v>
      </c>
    </row>
    <row r="581" spans="39:44">
      <c r="AM581" s="556">
        <v>45356</v>
      </c>
      <c r="AN581" s="557">
        <v>4.7249999999999996</v>
      </c>
      <c r="AO581" s="557">
        <v>225600</v>
      </c>
      <c r="AP581" s="557">
        <v>103.18898</v>
      </c>
      <c r="AQ581" s="557">
        <v>487.56793049999999</v>
      </c>
      <c r="AR581" s="557">
        <v>3.1686999999999999</v>
      </c>
    </row>
    <row r="582" spans="39:44">
      <c r="AM582" s="556">
        <v>45355</v>
      </c>
      <c r="AN582" s="557">
        <v>4.7249999999999996</v>
      </c>
      <c r="AO582" s="557">
        <v>225600</v>
      </c>
      <c r="AP582" s="557">
        <v>103.18898</v>
      </c>
      <c r="AQ582" s="557">
        <v>487.56793049999999</v>
      </c>
      <c r="AR582" s="557">
        <v>3.1686999999999999</v>
      </c>
    </row>
    <row r="583" spans="39:44">
      <c r="AM583" s="556">
        <v>45354</v>
      </c>
      <c r="AN583" s="557">
        <v>4.6550000000000002</v>
      </c>
      <c r="AO583" s="557">
        <v>528800</v>
      </c>
      <c r="AP583" s="557">
        <v>103.18898</v>
      </c>
      <c r="AQ583" s="557">
        <v>480.34470190000002</v>
      </c>
      <c r="AR583" s="557">
        <v>3.1215999999999999</v>
      </c>
    </row>
    <row r="584" spans="39:44">
      <c r="AM584" s="556">
        <v>45353</v>
      </c>
      <c r="AN584" s="557">
        <v>4.8849999999999998</v>
      </c>
      <c r="AO584" s="557">
        <v>230400</v>
      </c>
      <c r="AP584" s="557">
        <v>103.18898</v>
      </c>
      <c r="AQ584" s="557">
        <v>504.07816729999996</v>
      </c>
      <c r="AR584" s="557">
        <v>3.2763</v>
      </c>
    </row>
    <row r="585" spans="39:44">
      <c r="AM585" s="556">
        <v>45352</v>
      </c>
      <c r="AN585" s="557">
        <v>4.7750000000000004</v>
      </c>
      <c r="AO585" s="557">
        <v>392400</v>
      </c>
      <c r="AP585" s="557">
        <v>103.18898</v>
      </c>
      <c r="AQ585" s="557">
        <v>492.72737950000004</v>
      </c>
      <c r="AR585" s="557">
        <v>3.2090999999999998</v>
      </c>
    </row>
    <row r="586" spans="39:44">
      <c r="AM586" s="556">
        <v>45351</v>
      </c>
      <c r="AN586" s="557">
        <v>4.76</v>
      </c>
      <c r="AO586" s="557">
        <v>406300</v>
      </c>
      <c r="AP586" s="557">
        <v>103.18898</v>
      </c>
      <c r="AQ586" s="557">
        <v>491.17954479999997</v>
      </c>
      <c r="AR586" s="557">
        <v>3.1956000000000002</v>
      </c>
    </row>
    <row r="587" spans="39:44">
      <c r="AM587" s="556">
        <v>45350</v>
      </c>
      <c r="AN587" s="557">
        <v>4.9800000000000004</v>
      </c>
      <c r="AO587" s="557">
        <v>1002900</v>
      </c>
      <c r="AP587" s="557">
        <v>103.18898</v>
      </c>
      <c r="AQ587" s="557">
        <v>513.8811204000001</v>
      </c>
      <c r="AR587" s="557">
        <v>3.3637999999999999</v>
      </c>
    </row>
    <row r="588" spans="39:44">
      <c r="AM588" s="556">
        <v>45349</v>
      </c>
      <c r="AN588" s="557">
        <v>4.9800000000000004</v>
      </c>
      <c r="AO588" s="557">
        <v>1002900</v>
      </c>
      <c r="AP588" s="557">
        <v>103.18898</v>
      </c>
      <c r="AQ588" s="557">
        <v>513.8811204000001</v>
      </c>
      <c r="AR588" s="557">
        <v>3.3637999999999999</v>
      </c>
    </row>
    <row r="589" spans="39:44">
      <c r="AM589" s="556">
        <v>45348</v>
      </c>
      <c r="AN589" s="557">
        <v>4.9800000000000004</v>
      </c>
      <c r="AO589" s="557">
        <v>1002900</v>
      </c>
      <c r="AP589" s="557">
        <v>103.18898</v>
      </c>
      <c r="AQ589" s="557">
        <v>513.8811204000001</v>
      </c>
      <c r="AR589" s="557">
        <v>3.3637999999999999</v>
      </c>
    </row>
    <row r="590" spans="39:44">
      <c r="AM590" s="556">
        <v>45347</v>
      </c>
      <c r="AN590" s="557">
        <v>4.82</v>
      </c>
      <c r="AO590" s="557">
        <v>715600</v>
      </c>
      <c r="AP590" s="557">
        <v>103.18898</v>
      </c>
      <c r="AQ590" s="557">
        <v>497.37088360000001</v>
      </c>
      <c r="AR590" s="557">
        <v>3.2360000000000002</v>
      </c>
    </row>
    <row r="591" spans="39:44">
      <c r="AM591" s="556">
        <v>45346</v>
      </c>
      <c r="AN591" s="557">
        <v>4.7249999999999996</v>
      </c>
      <c r="AO591" s="557">
        <v>404600</v>
      </c>
      <c r="AP591" s="557">
        <v>103.18898</v>
      </c>
      <c r="AQ591" s="557">
        <v>487.56793049999999</v>
      </c>
      <c r="AR591" s="557">
        <v>3.1888999999999998</v>
      </c>
    </row>
    <row r="592" spans="39:44">
      <c r="AM592" s="556">
        <v>45345</v>
      </c>
      <c r="AN592" s="557">
        <v>4.62</v>
      </c>
      <c r="AO592" s="557">
        <v>495800</v>
      </c>
      <c r="AP592" s="557">
        <v>103.18898</v>
      </c>
      <c r="AQ592" s="557">
        <v>476.73308760000003</v>
      </c>
      <c r="AR592" s="557">
        <v>3.1013999999999999</v>
      </c>
    </row>
    <row r="593" spans="39:44">
      <c r="AM593" s="556">
        <v>45344</v>
      </c>
      <c r="AN593" s="557">
        <v>4.7249999999999996</v>
      </c>
      <c r="AO593" s="557">
        <v>492200</v>
      </c>
      <c r="AP593" s="557">
        <v>103.18898</v>
      </c>
      <c r="AQ593" s="557">
        <v>487.56793049999999</v>
      </c>
      <c r="AR593" s="557">
        <v>3.1686999999999999</v>
      </c>
    </row>
    <row r="594" spans="39:44">
      <c r="AM594" s="556">
        <v>45343</v>
      </c>
      <c r="AN594" s="557">
        <v>4.875</v>
      </c>
      <c r="AO594" s="557">
        <v>772400</v>
      </c>
      <c r="AP594" s="557">
        <v>103.18898</v>
      </c>
      <c r="AQ594" s="557">
        <v>503.04627750000003</v>
      </c>
      <c r="AR594" s="557">
        <v>3.2763</v>
      </c>
    </row>
    <row r="595" spans="39:44">
      <c r="AM595" s="556">
        <v>45342</v>
      </c>
      <c r="AN595" s="557">
        <v>4.875</v>
      </c>
      <c r="AO595" s="557">
        <v>772400</v>
      </c>
      <c r="AP595" s="557">
        <v>103.18898</v>
      </c>
      <c r="AQ595" s="557">
        <v>503.04627750000003</v>
      </c>
      <c r="AR595" s="557">
        <v>3.2763</v>
      </c>
    </row>
    <row r="596" spans="39:44">
      <c r="AM596" s="556">
        <v>45341</v>
      </c>
      <c r="AN596" s="557">
        <v>4.875</v>
      </c>
      <c r="AO596" s="557">
        <v>772400</v>
      </c>
      <c r="AP596" s="557">
        <v>103.18898</v>
      </c>
      <c r="AQ596" s="557">
        <v>503.04627750000003</v>
      </c>
      <c r="AR596" s="557">
        <v>3.2763</v>
      </c>
    </row>
    <row r="597" spans="39:44">
      <c r="AM597" s="556">
        <v>45340</v>
      </c>
      <c r="AN597" s="557">
        <v>5.03</v>
      </c>
      <c r="AO597" s="557">
        <v>338000</v>
      </c>
      <c r="AP597" s="557">
        <v>103.18898</v>
      </c>
      <c r="AQ597" s="557">
        <v>519.04056939999998</v>
      </c>
      <c r="AR597" s="557">
        <v>3.3974000000000002</v>
      </c>
    </row>
    <row r="598" spans="39:44">
      <c r="AM598" s="556">
        <v>45339</v>
      </c>
      <c r="AN598" s="557">
        <v>4.9950000000000001</v>
      </c>
      <c r="AO598" s="557">
        <v>249600</v>
      </c>
      <c r="AP598" s="557">
        <v>103.18898</v>
      </c>
      <c r="AQ598" s="557">
        <v>515.42895510000005</v>
      </c>
      <c r="AR598" s="557">
        <v>3.3637999999999999</v>
      </c>
    </row>
    <row r="599" spans="39:44">
      <c r="AM599" s="556">
        <v>45338</v>
      </c>
      <c r="AN599" s="557">
        <v>5.1100000000000003</v>
      </c>
      <c r="AO599" s="557">
        <v>229800</v>
      </c>
      <c r="AP599" s="557">
        <v>103.18898</v>
      </c>
      <c r="AQ599" s="557">
        <v>527.2956878</v>
      </c>
      <c r="AR599" s="557">
        <v>3.4310999999999998</v>
      </c>
    </row>
    <row r="600" spans="39:44">
      <c r="AM600" s="556">
        <v>45337</v>
      </c>
      <c r="AN600" s="557">
        <v>4.9550000000000001</v>
      </c>
      <c r="AO600" s="557">
        <v>694400</v>
      </c>
      <c r="AP600" s="557">
        <v>103.18898</v>
      </c>
      <c r="AQ600" s="557">
        <v>511.30139589999999</v>
      </c>
      <c r="AR600" s="557">
        <v>3.3302</v>
      </c>
    </row>
    <row r="601" spans="39:44">
      <c r="AM601" s="556">
        <v>45336</v>
      </c>
      <c r="AN601" s="557">
        <v>5.1950000000000003</v>
      </c>
      <c r="AO601" s="557">
        <v>262000</v>
      </c>
      <c r="AP601" s="557">
        <v>103.18898</v>
      </c>
      <c r="AQ601" s="557">
        <v>536.06675110000003</v>
      </c>
      <c r="AR601" s="557">
        <v>3.5253000000000001</v>
      </c>
    </row>
    <row r="602" spans="39:44">
      <c r="AM602" s="556">
        <v>45335</v>
      </c>
      <c r="AN602" s="557">
        <v>5.1950000000000003</v>
      </c>
      <c r="AO602" s="557">
        <v>262000</v>
      </c>
      <c r="AP602" s="557">
        <v>103.18898</v>
      </c>
      <c r="AQ602" s="557">
        <v>536.06675110000003</v>
      </c>
      <c r="AR602" s="557">
        <v>3.5253000000000001</v>
      </c>
    </row>
    <row r="603" spans="39:44">
      <c r="AM603" s="556">
        <v>45334</v>
      </c>
      <c r="AN603" s="557">
        <v>5.1950000000000003</v>
      </c>
      <c r="AO603" s="557">
        <v>262000</v>
      </c>
      <c r="AP603" s="557">
        <v>103.18898</v>
      </c>
      <c r="AQ603" s="557">
        <v>536.06675110000003</v>
      </c>
      <c r="AR603" s="557">
        <v>3.5253000000000001</v>
      </c>
    </row>
    <row r="604" spans="39:44">
      <c r="AM604" s="556">
        <v>45333</v>
      </c>
      <c r="AN604" s="557">
        <v>5.1050000000000004</v>
      </c>
      <c r="AO604" s="557">
        <v>267500</v>
      </c>
      <c r="AP604" s="557">
        <v>103.18898</v>
      </c>
      <c r="AQ604" s="557">
        <v>526.77974290000009</v>
      </c>
      <c r="AR604" s="557">
        <v>3.4243000000000001</v>
      </c>
    </row>
    <row r="605" spans="39:44">
      <c r="AM605" s="556">
        <v>45332</v>
      </c>
      <c r="AN605" s="557">
        <v>5.23</v>
      </c>
      <c r="AO605" s="557">
        <v>139700</v>
      </c>
      <c r="AP605" s="557">
        <v>103.18898</v>
      </c>
      <c r="AQ605" s="557">
        <v>539.67836540000008</v>
      </c>
      <c r="AR605" s="557">
        <v>3.5185</v>
      </c>
    </row>
    <row r="606" spans="39:44">
      <c r="AM606" s="556">
        <v>45331</v>
      </c>
      <c r="AN606" s="557">
        <v>5.3049999999999997</v>
      </c>
      <c r="AO606" s="557">
        <v>207600</v>
      </c>
      <c r="AP606" s="557">
        <v>103.18898</v>
      </c>
      <c r="AQ606" s="557">
        <v>547.41753889999995</v>
      </c>
      <c r="AR606" s="557">
        <v>3.532</v>
      </c>
    </row>
    <row r="607" spans="39:44">
      <c r="AM607" s="556">
        <v>45330</v>
      </c>
      <c r="AN607" s="557">
        <v>5.4249999999999998</v>
      </c>
      <c r="AO607" s="557">
        <v>425900</v>
      </c>
      <c r="AP607" s="557">
        <v>103.18898</v>
      </c>
      <c r="AQ607" s="557">
        <v>559.80021650000003</v>
      </c>
      <c r="AR607" s="557">
        <v>3.6261999999999999</v>
      </c>
    </row>
    <row r="608" spans="39:44">
      <c r="AM608" s="556">
        <v>45329</v>
      </c>
      <c r="AN608" s="557">
        <v>5.29</v>
      </c>
      <c r="AO608" s="557">
        <v>422200</v>
      </c>
      <c r="AP608" s="557">
        <v>103.18898</v>
      </c>
      <c r="AQ608" s="557">
        <v>545.8697042</v>
      </c>
      <c r="AR608" s="557">
        <v>3.5655999999999999</v>
      </c>
    </row>
    <row r="609" spans="39:44">
      <c r="AM609" s="556">
        <v>45328</v>
      </c>
      <c r="AN609" s="557">
        <v>5.29</v>
      </c>
      <c r="AO609" s="557">
        <v>422200</v>
      </c>
      <c r="AP609" s="557">
        <v>103.18898</v>
      </c>
      <c r="AQ609" s="557">
        <v>545.8697042</v>
      </c>
      <c r="AR609" s="557">
        <v>3.5655999999999999</v>
      </c>
    </row>
    <row r="610" spans="39:44">
      <c r="AM610" s="556">
        <v>45327</v>
      </c>
      <c r="AN610" s="557">
        <v>5.29</v>
      </c>
      <c r="AO610" s="557">
        <v>422200</v>
      </c>
      <c r="AP610" s="557">
        <v>103.18898</v>
      </c>
      <c r="AQ610" s="557">
        <v>545.8697042</v>
      </c>
      <c r="AR610" s="557">
        <v>3.5655999999999999</v>
      </c>
    </row>
    <row r="611" spans="39:44">
      <c r="AM611" s="556">
        <v>45326</v>
      </c>
      <c r="AN611" s="557">
        <v>5.3449999999999998</v>
      </c>
      <c r="AO611" s="557">
        <v>244100</v>
      </c>
      <c r="AP611" s="557">
        <v>103.18898</v>
      </c>
      <c r="AQ611" s="557">
        <v>551.54509810000002</v>
      </c>
      <c r="AR611" s="557">
        <v>3.5790999999999999</v>
      </c>
    </row>
    <row r="612" spans="39:44">
      <c r="AM612" s="556">
        <v>45325</v>
      </c>
      <c r="AN612" s="557">
        <v>5.33</v>
      </c>
      <c r="AO612" s="557">
        <v>280600</v>
      </c>
      <c r="AP612" s="557">
        <v>103.18898</v>
      </c>
      <c r="AQ612" s="557">
        <v>549.99726340000007</v>
      </c>
      <c r="AR612" s="557">
        <v>3.5924999999999998</v>
      </c>
    </row>
    <row r="613" spans="39:44">
      <c r="AM613" s="556">
        <v>45324</v>
      </c>
      <c r="AN613" s="557">
        <v>5.44</v>
      </c>
      <c r="AO613" s="557">
        <v>255200</v>
      </c>
      <c r="AP613" s="557">
        <v>103.18898</v>
      </c>
      <c r="AQ613" s="557">
        <v>561.3480512000001</v>
      </c>
      <c r="AR613" s="557">
        <v>3.6530999999999998</v>
      </c>
    </row>
    <row r="614" spans="39:44">
      <c r="AM614" s="556">
        <v>45323</v>
      </c>
      <c r="AN614" s="557">
        <v>5.55</v>
      </c>
      <c r="AO614" s="557">
        <v>590800</v>
      </c>
      <c r="AP614" s="557">
        <v>103.18898</v>
      </c>
      <c r="AQ614" s="557">
        <v>572.69883900000002</v>
      </c>
      <c r="AR614" s="557">
        <v>3.7404999999999999</v>
      </c>
    </row>
    <row r="615" spans="39:44">
      <c r="AM615" s="556">
        <v>45322</v>
      </c>
      <c r="AN615" s="557">
        <v>5.5949999999999998</v>
      </c>
      <c r="AO615" s="557">
        <v>356400</v>
      </c>
      <c r="AP615" s="557">
        <v>103.18898</v>
      </c>
      <c r="AQ615" s="557">
        <v>577.34234309999999</v>
      </c>
      <c r="AR615" s="557">
        <v>3.754</v>
      </c>
    </row>
    <row r="616" spans="39:44">
      <c r="AM616" s="556">
        <v>45321</v>
      </c>
      <c r="AN616" s="557">
        <v>5.5949999999999998</v>
      </c>
      <c r="AO616" s="557">
        <v>356400</v>
      </c>
      <c r="AP616" s="557">
        <v>103.18898</v>
      </c>
      <c r="AQ616" s="557">
        <v>577.34234309999999</v>
      </c>
      <c r="AR616" s="557">
        <v>3.754</v>
      </c>
    </row>
    <row r="617" spans="39:44">
      <c r="AM617" s="556">
        <v>45320</v>
      </c>
      <c r="AN617" s="557">
        <v>5.5949999999999998</v>
      </c>
      <c r="AO617" s="557">
        <v>356400</v>
      </c>
      <c r="AP617" s="557">
        <v>103.18898</v>
      </c>
      <c r="AQ617" s="557">
        <v>577.34234309999999</v>
      </c>
      <c r="AR617" s="557">
        <v>3.754</v>
      </c>
    </row>
    <row r="618" spans="39:44">
      <c r="AM618" s="556">
        <v>45319</v>
      </c>
      <c r="AN618" s="557">
        <v>5.57</v>
      </c>
      <c r="AO618" s="557">
        <v>234400</v>
      </c>
      <c r="AP618" s="557">
        <v>103.18898</v>
      </c>
      <c r="AQ618" s="557">
        <v>574.7626186</v>
      </c>
      <c r="AR618" s="557">
        <v>3.754</v>
      </c>
    </row>
    <row r="619" spans="39:44">
      <c r="AM619" s="556">
        <v>45318</v>
      </c>
      <c r="AN619" s="557">
        <v>5.7149999999999999</v>
      </c>
      <c r="AO619" s="557">
        <v>527000</v>
      </c>
      <c r="AP619" s="557">
        <v>103.18898</v>
      </c>
      <c r="AQ619" s="557">
        <v>589.72502069999996</v>
      </c>
      <c r="AR619" s="557">
        <v>3.7875999999999999</v>
      </c>
    </row>
    <row r="620" spans="39:44">
      <c r="AM620" s="556">
        <v>45317</v>
      </c>
      <c r="AN620" s="557">
        <v>5.6849999999999996</v>
      </c>
      <c r="AO620" s="557">
        <v>527000</v>
      </c>
      <c r="AP620" s="557">
        <v>103.18898</v>
      </c>
      <c r="AQ620" s="557">
        <v>586.62935129999994</v>
      </c>
      <c r="AR620" s="557">
        <v>3.8212999999999999</v>
      </c>
    </row>
    <row r="621" spans="39:44">
      <c r="AM621" s="556">
        <v>45316</v>
      </c>
      <c r="AN621" s="557">
        <v>6.04</v>
      </c>
      <c r="AO621" s="557">
        <v>384200</v>
      </c>
      <c r="AP621" s="557">
        <v>103.18898</v>
      </c>
      <c r="AQ621" s="557">
        <v>623.26143920000004</v>
      </c>
      <c r="AR621" s="557">
        <v>3.734</v>
      </c>
    </row>
    <row r="622" spans="39:44">
      <c r="AM622" s="556">
        <v>45315</v>
      </c>
      <c r="AN622" s="557">
        <v>6.04</v>
      </c>
      <c r="AO622" s="557">
        <v>384200</v>
      </c>
      <c r="AP622" s="557">
        <v>103.18898</v>
      </c>
      <c r="AQ622" s="557">
        <v>623.26143920000004</v>
      </c>
      <c r="AR622" s="557">
        <v>3.734</v>
      </c>
    </row>
    <row r="623" spans="39:44">
      <c r="AM623" s="556">
        <v>45314</v>
      </c>
      <c r="AN623" s="557">
        <v>6.04</v>
      </c>
      <c r="AO623" s="557">
        <v>384200</v>
      </c>
      <c r="AP623" s="557">
        <v>103.18898</v>
      </c>
      <c r="AQ623" s="557">
        <v>623.26143920000004</v>
      </c>
      <c r="AR623" s="557">
        <v>3.734</v>
      </c>
    </row>
    <row r="624" spans="39:44">
      <c r="AM624" s="556">
        <v>45313</v>
      </c>
      <c r="AN624" s="557">
        <v>6.04</v>
      </c>
      <c r="AO624" s="557">
        <v>384200</v>
      </c>
      <c r="AP624" s="557">
        <v>103.18898</v>
      </c>
      <c r="AQ624" s="557">
        <v>623.26143920000004</v>
      </c>
      <c r="AR624" s="557">
        <v>3.734</v>
      </c>
    </row>
    <row r="625" spans="39:44">
      <c r="AM625" s="556">
        <v>45312</v>
      </c>
      <c r="AN625" s="557">
        <v>6.04</v>
      </c>
      <c r="AO625" s="557">
        <v>384200</v>
      </c>
      <c r="AP625" s="557">
        <v>103.18898</v>
      </c>
      <c r="AQ625" s="557">
        <v>623.26143920000004</v>
      </c>
      <c r="AR625" s="557">
        <v>3.734</v>
      </c>
    </row>
    <row r="626" spans="39:44">
      <c r="AM626" s="556">
        <v>45311</v>
      </c>
      <c r="AN626" s="557">
        <v>6.0750000000000002</v>
      </c>
      <c r="AO626" s="557">
        <v>1158700</v>
      </c>
      <c r="AP626" s="557">
        <v>103.18898</v>
      </c>
      <c r="AQ626" s="557">
        <v>626.87305349999997</v>
      </c>
      <c r="AR626" s="557">
        <v>3.7646999999999999</v>
      </c>
    </row>
    <row r="627" spans="39:44">
      <c r="AM627" s="556">
        <v>45310</v>
      </c>
      <c r="AN627" s="557">
        <v>5.875</v>
      </c>
      <c r="AO627" s="557">
        <v>333600</v>
      </c>
      <c r="AP627" s="557">
        <v>103.18898</v>
      </c>
      <c r="AQ627" s="557">
        <v>606.23525749999999</v>
      </c>
      <c r="AR627" s="557">
        <v>3.6233</v>
      </c>
    </row>
    <row r="628" spans="39:44">
      <c r="AM628" s="556">
        <v>45309</v>
      </c>
      <c r="AN628" s="557">
        <v>6.01</v>
      </c>
      <c r="AO628" s="557">
        <v>1412500</v>
      </c>
      <c r="AP628" s="557">
        <v>103.18898</v>
      </c>
      <c r="AQ628" s="557">
        <v>620.16576980000002</v>
      </c>
      <c r="AR628" s="557">
        <v>3.6848000000000001</v>
      </c>
    </row>
    <row r="629" spans="39:44">
      <c r="AM629" s="556">
        <v>45308</v>
      </c>
      <c r="AN629" s="557">
        <v>6.01</v>
      </c>
      <c r="AO629" s="557">
        <v>1412500</v>
      </c>
      <c r="AP629" s="557">
        <v>103.18898</v>
      </c>
      <c r="AQ629" s="557">
        <v>620.16576980000002</v>
      </c>
      <c r="AR629" s="557">
        <v>3.6848000000000001</v>
      </c>
    </row>
    <row r="630" spans="39:44">
      <c r="AM630" s="556">
        <v>45307</v>
      </c>
      <c r="AN630" s="557">
        <v>6.01</v>
      </c>
      <c r="AO630" s="557">
        <v>1412500</v>
      </c>
      <c r="AP630" s="557">
        <v>103.18898</v>
      </c>
      <c r="AQ630" s="557">
        <v>620.16576980000002</v>
      </c>
      <c r="AR630" s="557">
        <v>3.6848000000000001</v>
      </c>
    </row>
    <row r="631" spans="39:44">
      <c r="AM631" s="556">
        <v>45306</v>
      </c>
      <c r="AN631" s="557">
        <v>6.01</v>
      </c>
      <c r="AO631" s="557">
        <v>1412500</v>
      </c>
      <c r="AP631" s="557">
        <v>103.18898</v>
      </c>
      <c r="AQ631" s="557">
        <v>620.16576980000002</v>
      </c>
      <c r="AR631" s="557">
        <v>3.6848000000000001</v>
      </c>
    </row>
    <row r="632" spans="39:44">
      <c r="AM632" s="556">
        <v>45305</v>
      </c>
      <c r="AN632" s="557">
        <v>5.7649999999999997</v>
      </c>
      <c r="AO632" s="557">
        <v>1135100</v>
      </c>
      <c r="AP632" s="557">
        <v>103.18898</v>
      </c>
      <c r="AQ632" s="557">
        <v>594.88446969999995</v>
      </c>
      <c r="AR632" s="557">
        <v>3.5556000000000001</v>
      </c>
    </row>
    <row r="633" spans="39:44">
      <c r="AM633" s="556">
        <v>45304</v>
      </c>
      <c r="AN633" s="557">
        <v>5.4950000000000001</v>
      </c>
      <c r="AO633" s="557">
        <v>247500</v>
      </c>
      <c r="AP633" s="557">
        <v>103.18898</v>
      </c>
      <c r="AQ633" s="557">
        <v>567.0234451</v>
      </c>
      <c r="AR633" s="557">
        <v>3.3772000000000002</v>
      </c>
    </row>
    <row r="634" spans="39:44">
      <c r="AM634" s="556">
        <v>45303</v>
      </c>
      <c r="AN634" s="557">
        <v>5.5949999999999998</v>
      </c>
      <c r="AO634" s="557">
        <v>1552100</v>
      </c>
      <c r="AP634" s="557">
        <v>103.18898</v>
      </c>
      <c r="AQ634" s="557">
        <v>577.34234309999999</v>
      </c>
      <c r="AR634" s="557">
        <v>3.3956</v>
      </c>
    </row>
    <row r="635" spans="39:44">
      <c r="AM635" s="556">
        <v>45302</v>
      </c>
      <c r="AN635" s="557">
        <v>5.44</v>
      </c>
      <c r="AO635" s="557">
        <v>865000</v>
      </c>
      <c r="AP635" s="557">
        <v>103.18898</v>
      </c>
      <c r="AQ635" s="557">
        <v>561.3480512000001</v>
      </c>
      <c r="AR635" s="557">
        <v>3.4018000000000002</v>
      </c>
    </row>
    <row r="636" spans="39:44">
      <c r="AM636" s="556">
        <v>45301</v>
      </c>
      <c r="AN636" s="557">
        <v>5.28</v>
      </c>
      <c r="AO636" s="557">
        <v>461500</v>
      </c>
      <c r="AP636" s="557">
        <v>103.18898</v>
      </c>
      <c r="AQ636" s="557">
        <v>544.83781440000007</v>
      </c>
      <c r="AR636" s="557">
        <v>3.2233999999999998</v>
      </c>
    </row>
    <row r="637" spans="39:44">
      <c r="AM637" s="556">
        <v>45300</v>
      </c>
      <c r="AN637" s="557">
        <v>5.28</v>
      </c>
      <c r="AO637" s="557">
        <v>461500</v>
      </c>
      <c r="AP637" s="557">
        <v>103.18898</v>
      </c>
      <c r="AQ637" s="557">
        <v>544.83781440000007</v>
      </c>
      <c r="AR637" s="557">
        <v>3.2233999999999998</v>
      </c>
    </row>
    <row r="638" spans="39:44">
      <c r="AM638" s="556">
        <v>45299</v>
      </c>
      <c r="AN638" s="557">
        <v>5.28</v>
      </c>
      <c r="AO638" s="557">
        <v>461500</v>
      </c>
      <c r="AP638" s="557">
        <v>103.18898</v>
      </c>
      <c r="AQ638" s="557">
        <v>544.83781440000007</v>
      </c>
      <c r="AR638" s="557">
        <v>3.2233999999999998</v>
      </c>
    </row>
    <row r="639" spans="39:44">
      <c r="AM639" s="556">
        <v>45298</v>
      </c>
      <c r="AN639" s="557">
        <v>5.2350000000000003</v>
      </c>
      <c r="AO639" s="557">
        <v>1191600</v>
      </c>
      <c r="AP639" s="557">
        <v>103.18898</v>
      </c>
      <c r="AQ639" s="557">
        <v>540.19431029999998</v>
      </c>
      <c r="AR639" s="557">
        <v>3.2418999999999998</v>
      </c>
    </row>
    <row r="640" spans="39:44">
      <c r="AM640" s="556">
        <v>45297</v>
      </c>
      <c r="AN640" s="557">
        <v>5.125</v>
      </c>
      <c r="AO640" s="557">
        <v>458800</v>
      </c>
      <c r="AP640" s="557">
        <v>103.18898</v>
      </c>
      <c r="AQ640" s="557">
        <v>528.84352249999995</v>
      </c>
      <c r="AR640" s="557">
        <v>3.1865000000000001</v>
      </c>
    </row>
    <row r="641" spans="39:44">
      <c r="AM641" s="556">
        <v>45296</v>
      </c>
      <c r="AN641" s="557">
        <v>4.9800000000000004</v>
      </c>
      <c r="AO641" s="557">
        <v>339900</v>
      </c>
      <c r="AP641" s="557">
        <v>103.18898</v>
      </c>
      <c r="AQ641" s="557">
        <v>513.8811204000001</v>
      </c>
      <c r="AR641" s="557">
        <v>3.0941999999999998</v>
      </c>
    </row>
    <row r="642" spans="39:44">
      <c r="AM642" s="556">
        <v>45295</v>
      </c>
      <c r="AN642" s="557">
        <v>5.03</v>
      </c>
      <c r="AO642" s="557">
        <v>75100</v>
      </c>
      <c r="AP642" s="557">
        <v>103.18898</v>
      </c>
      <c r="AQ642" s="557">
        <v>519.04056939999998</v>
      </c>
      <c r="AR642" s="557">
        <v>3.1004</v>
      </c>
    </row>
    <row r="643" spans="39:44">
      <c r="AM643" s="556">
        <v>45294</v>
      </c>
      <c r="AN643" s="557">
        <v>5.0250000000000004</v>
      </c>
      <c r="AO643" s="557">
        <v>287300</v>
      </c>
      <c r="AP643" s="557">
        <v>103.18898</v>
      </c>
      <c r="AQ643" s="557">
        <v>518.52462450000007</v>
      </c>
      <c r="AR643" s="557">
        <v>3.0941999999999998</v>
      </c>
    </row>
    <row r="644" spans="39:44">
      <c r="AM644" s="556">
        <v>45293</v>
      </c>
      <c r="AN644" s="557">
        <v>5.0250000000000004</v>
      </c>
      <c r="AO644" s="557">
        <v>287300</v>
      </c>
      <c r="AP644" s="557">
        <v>103.18898</v>
      </c>
      <c r="AQ644" s="557">
        <v>518.52462450000007</v>
      </c>
      <c r="AR644" s="557">
        <v>3.0941999999999998</v>
      </c>
    </row>
    <row r="645" spans="39:44">
      <c r="AM645" s="556">
        <v>45292</v>
      </c>
      <c r="AN645" s="557">
        <v>5.0250000000000004</v>
      </c>
      <c r="AO645" s="557">
        <v>287300</v>
      </c>
      <c r="AP645" s="557">
        <v>103.18898</v>
      </c>
      <c r="AQ645" s="557">
        <v>518.52462450000007</v>
      </c>
      <c r="AR645" s="557">
        <v>3.0941999999999998</v>
      </c>
    </row>
    <row r="646" spans="39:44">
      <c r="AM646" s="556">
        <v>45291</v>
      </c>
      <c r="AN646" s="557">
        <v>5.1100000000000003</v>
      </c>
      <c r="AO646" s="557">
        <v>312100</v>
      </c>
      <c r="AP646" s="557">
        <v>103.18898</v>
      </c>
      <c r="AQ646" s="557">
        <v>527.2956878</v>
      </c>
      <c r="AR646" s="557">
        <v>3.1373000000000002</v>
      </c>
    </row>
    <row r="647" spans="39:44">
      <c r="AM647" s="556">
        <v>45290</v>
      </c>
      <c r="AN647" s="557">
        <v>4.9349999999999996</v>
      </c>
      <c r="AO647" s="557">
        <v>359700</v>
      </c>
      <c r="AP647" s="557">
        <v>103.18898</v>
      </c>
      <c r="AQ647" s="557">
        <v>509.23761629999996</v>
      </c>
      <c r="AR647" s="557">
        <v>3.0266000000000002</v>
      </c>
    </row>
    <row r="648" spans="39:44">
      <c r="AM648" s="556">
        <v>45289</v>
      </c>
      <c r="AN648" s="557">
        <v>4.9850000000000003</v>
      </c>
      <c r="AO648" s="557">
        <v>393600</v>
      </c>
      <c r="AP648" s="557">
        <v>103.18898</v>
      </c>
      <c r="AQ648" s="557">
        <v>514.39706530000001</v>
      </c>
      <c r="AR648" s="557">
        <v>3.0695999999999999</v>
      </c>
    </row>
    <row r="649" spans="39:44">
      <c r="AM649" s="556">
        <v>45288</v>
      </c>
      <c r="AN649" s="557">
        <v>4.99</v>
      </c>
      <c r="AO649" s="557">
        <v>200700</v>
      </c>
      <c r="AP649" s="557">
        <v>103.18898</v>
      </c>
      <c r="AQ649" s="557">
        <v>514.91301020000003</v>
      </c>
      <c r="AR649" s="557">
        <v>3.0758000000000001</v>
      </c>
    </row>
    <row r="650" spans="39:44">
      <c r="AM650" s="556">
        <v>45287</v>
      </c>
      <c r="AN650" s="557">
        <v>5.0199999999999996</v>
      </c>
      <c r="AO650" s="557">
        <v>474300</v>
      </c>
      <c r="AP650" s="557">
        <v>103.18898</v>
      </c>
      <c r="AQ650" s="557">
        <v>518.00867959999994</v>
      </c>
      <c r="AR650" s="557">
        <v>3.0819000000000001</v>
      </c>
    </row>
    <row r="651" spans="39:44">
      <c r="AM651" s="556">
        <v>45286</v>
      </c>
      <c r="AN651" s="557">
        <v>5.0199999999999996</v>
      </c>
      <c r="AO651" s="557">
        <v>474300</v>
      </c>
      <c r="AP651" s="557">
        <v>103.18898</v>
      </c>
      <c r="AQ651" s="557">
        <v>518.00867959999994</v>
      </c>
      <c r="AR651" s="557">
        <v>3.0819000000000001</v>
      </c>
    </row>
    <row r="652" spans="39:44">
      <c r="AM652" s="556">
        <v>45285</v>
      </c>
      <c r="AN652" s="557">
        <v>5.0199999999999996</v>
      </c>
      <c r="AO652" s="557">
        <v>474300</v>
      </c>
      <c r="AP652" s="557">
        <v>103.18898</v>
      </c>
      <c r="AQ652" s="557">
        <v>518.00867959999994</v>
      </c>
      <c r="AR652" s="557">
        <v>3.0819000000000001</v>
      </c>
    </row>
    <row r="653" spans="39:44">
      <c r="AM653" s="556">
        <v>45284</v>
      </c>
      <c r="AN653" s="557">
        <v>5.0149999999999997</v>
      </c>
      <c r="AO653" s="557">
        <v>265400</v>
      </c>
      <c r="AP653" s="557">
        <v>103.18898</v>
      </c>
      <c r="AQ653" s="557">
        <v>517.49273469999991</v>
      </c>
      <c r="AR653" s="557">
        <v>3.0695999999999999</v>
      </c>
    </row>
    <row r="654" spans="39:44">
      <c r="AM654" s="556">
        <v>45283</v>
      </c>
      <c r="AN654" s="557">
        <v>5.0449999999999999</v>
      </c>
      <c r="AO654" s="557">
        <v>422200</v>
      </c>
      <c r="AP654" s="557">
        <v>103.18898</v>
      </c>
      <c r="AQ654" s="557">
        <v>520.58840410000005</v>
      </c>
      <c r="AR654" s="557">
        <v>3.1004</v>
      </c>
    </row>
    <row r="655" spans="39:44">
      <c r="AM655" s="556">
        <v>45282</v>
      </c>
      <c r="AN655" s="557">
        <v>5.1749999999999998</v>
      </c>
      <c r="AO655" s="557">
        <v>107700</v>
      </c>
      <c r="AP655" s="557">
        <v>103.18898</v>
      </c>
      <c r="AQ655" s="557">
        <v>534.00297149999994</v>
      </c>
      <c r="AR655" s="557">
        <v>3.1987999999999999</v>
      </c>
    </row>
    <row r="656" spans="39:44">
      <c r="AM656" s="556">
        <v>45281</v>
      </c>
      <c r="AN656" s="557">
        <v>5.1449999999999996</v>
      </c>
      <c r="AO656" s="557">
        <v>249800</v>
      </c>
      <c r="AP656" s="557">
        <v>103.18898</v>
      </c>
      <c r="AQ656" s="557">
        <v>530.90730209999992</v>
      </c>
      <c r="AR656" s="557">
        <v>3.1434000000000002</v>
      </c>
    </row>
    <row r="657" spans="39:44">
      <c r="AM657" s="556">
        <v>45280</v>
      </c>
      <c r="AN657" s="557">
        <v>5.0949999999999998</v>
      </c>
      <c r="AO657" s="557">
        <v>220500</v>
      </c>
      <c r="AP657" s="557">
        <v>103.18898</v>
      </c>
      <c r="AQ657" s="557">
        <v>525.74785309999993</v>
      </c>
      <c r="AR657" s="557">
        <v>3.125</v>
      </c>
    </row>
    <row r="658" spans="39:44">
      <c r="AM658" s="556">
        <v>45279</v>
      </c>
      <c r="AN658" s="557">
        <v>5.0949999999999998</v>
      </c>
      <c r="AO658" s="557">
        <v>220500</v>
      </c>
      <c r="AP658" s="557">
        <v>103.18898</v>
      </c>
      <c r="AQ658" s="557">
        <v>525.74785309999993</v>
      </c>
      <c r="AR658" s="557">
        <v>3.125</v>
      </c>
    </row>
    <row r="659" spans="39:44">
      <c r="AM659" s="556">
        <v>45278</v>
      </c>
      <c r="AN659" s="557">
        <v>5.0949999999999998</v>
      </c>
      <c r="AO659" s="557">
        <v>220500</v>
      </c>
      <c r="AP659" s="557">
        <v>103.18898</v>
      </c>
      <c r="AQ659" s="557">
        <v>525.74785309999993</v>
      </c>
      <c r="AR659" s="557">
        <v>3.125</v>
      </c>
    </row>
    <row r="660" spans="39:44">
      <c r="AM660" s="556">
        <v>45277</v>
      </c>
      <c r="AN660" s="557">
        <v>5.14</v>
      </c>
      <c r="AO660" s="557">
        <v>151000</v>
      </c>
      <c r="AP660" s="557">
        <v>103.18898</v>
      </c>
      <c r="AQ660" s="557">
        <v>530.39135720000002</v>
      </c>
      <c r="AR660" s="557">
        <v>3.1556999999999999</v>
      </c>
    </row>
    <row r="661" spans="39:44">
      <c r="AM661" s="556">
        <v>45276</v>
      </c>
      <c r="AN661" s="557">
        <v>5.1749999999999998</v>
      </c>
      <c r="AO661" s="557">
        <v>155500</v>
      </c>
      <c r="AP661" s="557">
        <v>103.18898</v>
      </c>
      <c r="AQ661" s="557">
        <v>534.00297149999994</v>
      </c>
      <c r="AR661" s="557">
        <v>3.1926000000000001</v>
      </c>
    </row>
    <row r="662" spans="39:44">
      <c r="AM662" s="556">
        <v>45275</v>
      </c>
      <c r="AN662" s="557">
        <v>5.14</v>
      </c>
      <c r="AO662" s="557">
        <v>381000</v>
      </c>
      <c r="AP662" s="557">
        <v>103.18898</v>
      </c>
      <c r="AQ662" s="557">
        <v>530.39135720000002</v>
      </c>
      <c r="AR662" s="557">
        <v>3.1556999999999999</v>
      </c>
    </row>
    <row r="663" spans="39:44">
      <c r="AM663" s="556">
        <v>45274</v>
      </c>
      <c r="AN663" s="557">
        <v>5.2649999999999997</v>
      </c>
      <c r="AO663" s="557">
        <v>470200</v>
      </c>
      <c r="AP663" s="557">
        <v>103.18898</v>
      </c>
      <c r="AQ663" s="557">
        <v>543.2899797</v>
      </c>
      <c r="AR663" s="557">
        <v>3.2296</v>
      </c>
    </row>
    <row r="664" spans="39:44">
      <c r="AM664" s="556">
        <v>45273</v>
      </c>
      <c r="AN664" s="557">
        <v>5.1050000000000004</v>
      </c>
      <c r="AO664" s="557">
        <v>323200</v>
      </c>
      <c r="AP664" s="557">
        <v>103.18898</v>
      </c>
      <c r="AQ664" s="557">
        <v>526.77974290000009</v>
      </c>
      <c r="AR664" s="557">
        <v>3.1556999999999999</v>
      </c>
    </row>
    <row r="665" spans="39:44">
      <c r="AM665" s="556">
        <v>45272</v>
      </c>
      <c r="AN665" s="557">
        <v>5.1050000000000004</v>
      </c>
      <c r="AO665" s="557">
        <v>323200</v>
      </c>
      <c r="AP665" s="557">
        <v>103.18898</v>
      </c>
      <c r="AQ665" s="557">
        <v>526.77974290000009</v>
      </c>
      <c r="AR665" s="557">
        <v>3.1556999999999999</v>
      </c>
    </row>
    <row r="666" spans="39:44">
      <c r="AM666" s="556">
        <v>45271</v>
      </c>
      <c r="AN666" s="557">
        <v>5.1050000000000004</v>
      </c>
      <c r="AO666" s="557">
        <v>323200</v>
      </c>
      <c r="AP666" s="557">
        <v>103.18898</v>
      </c>
      <c r="AQ666" s="557">
        <v>526.77974290000009</v>
      </c>
      <c r="AR666" s="557">
        <v>3.1556999999999999</v>
      </c>
    </row>
    <row r="667" spans="39:44">
      <c r="AM667" s="556">
        <v>45270</v>
      </c>
      <c r="AN667" s="557">
        <v>5.2350000000000003</v>
      </c>
      <c r="AO667" s="557">
        <v>381800</v>
      </c>
      <c r="AP667" s="557">
        <v>103.18898</v>
      </c>
      <c r="AQ667" s="557">
        <v>540.19431029999998</v>
      </c>
      <c r="AR667" s="557">
        <v>3.2233999999999998</v>
      </c>
    </row>
    <row r="668" spans="39:44">
      <c r="AM668" s="556">
        <v>45269</v>
      </c>
      <c r="AN668" s="557">
        <v>5.2450000000000001</v>
      </c>
      <c r="AO668" s="557">
        <v>390900</v>
      </c>
      <c r="AP668" s="557">
        <v>103.18898</v>
      </c>
      <c r="AQ668" s="557">
        <v>541.22620010000003</v>
      </c>
      <c r="AR668" s="557">
        <v>3.2233999999999998</v>
      </c>
    </row>
    <row r="669" spans="39:44">
      <c r="AM669" s="556">
        <v>45268</v>
      </c>
      <c r="AN669" s="557">
        <v>5.2450000000000001</v>
      </c>
      <c r="AO669" s="557">
        <v>390900</v>
      </c>
      <c r="AP669" s="557">
        <v>103.18898</v>
      </c>
      <c r="AQ669" s="557">
        <v>541.22620010000003</v>
      </c>
      <c r="AR669" s="557">
        <v>3.2233999999999998</v>
      </c>
    </row>
    <row r="670" spans="39:44">
      <c r="AM670" s="556">
        <v>45267</v>
      </c>
      <c r="AN670" s="557">
        <v>5.04</v>
      </c>
      <c r="AO670" s="557">
        <v>194400</v>
      </c>
      <c r="AP670" s="557">
        <v>103.18898</v>
      </c>
      <c r="AQ670" s="557">
        <v>520.07245920000003</v>
      </c>
      <c r="AR670" s="557">
        <v>3.1065</v>
      </c>
    </row>
    <row r="671" spans="39:44">
      <c r="AM671" s="556">
        <v>45266</v>
      </c>
      <c r="AN671" s="557">
        <v>4.9550000000000001</v>
      </c>
      <c r="AO671" s="557">
        <v>325100</v>
      </c>
      <c r="AP671" s="557">
        <v>103.18898</v>
      </c>
      <c r="AQ671" s="557">
        <v>511.30139589999999</v>
      </c>
      <c r="AR671" s="557">
        <v>3.0634999999999999</v>
      </c>
    </row>
    <row r="672" spans="39:44">
      <c r="AM672" s="556">
        <v>45265</v>
      </c>
      <c r="AN672" s="557">
        <v>4.9550000000000001</v>
      </c>
      <c r="AO672" s="557">
        <v>325100</v>
      </c>
      <c r="AP672" s="557">
        <v>103.18898</v>
      </c>
      <c r="AQ672" s="557">
        <v>511.30139589999999</v>
      </c>
      <c r="AR672" s="557">
        <v>3.0634999999999999</v>
      </c>
    </row>
    <row r="673" spans="39:44">
      <c r="AM673" s="556">
        <v>45264</v>
      </c>
      <c r="AN673" s="557">
        <v>4.9550000000000001</v>
      </c>
      <c r="AO673" s="557">
        <v>325100</v>
      </c>
      <c r="AP673" s="557">
        <v>103.18898</v>
      </c>
      <c r="AQ673" s="557">
        <v>511.30139589999999</v>
      </c>
      <c r="AR673" s="557">
        <v>3.0634999999999999</v>
      </c>
    </row>
    <row r="674" spans="39:44">
      <c r="AM674" s="556">
        <v>45263</v>
      </c>
      <c r="AN674" s="557">
        <v>4.87</v>
      </c>
      <c r="AO674" s="557">
        <v>162800</v>
      </c>
      <c r="AP674" s="557">
        <v>103.18898</v>
      </c>
      <c r="AQ674" s="557">
        <v>502.53033260000001</v>
      </c>
      <c r="AR674" s="557">
        <v>2.9895999999999998</v>
      </c>
    </row>
    <row r="675" spans="39:44">
      <c r="AM675" s="556">
        <v>45262</v>
      </c>
      <c r="AN675" s="557">
        <v>4.8949999999999996</v>
      </c>
      <c r="AO675" s="557">
        <v>291000</v>
      </c>
      <c r="AP675" s="557">
        <v>103.18898</v>
      </c>
      <c r="AQ675" s="557">
        <v>505.11005709999995</v>
      </c>
      <c r="AR675" s="557">
        <v>3.0143</v>
      </c>
    </row>
    <row r="676" spans="39:44">
      <c r="AM676" s="556">
        <v>45261</v>
      </c>
      <c r="AN676" s="557">
        <v>5.0250000000000004</v>
      </c>
      <c r="AO676" s="557">
        <v>159400</v>
      </c>
      <c r="AP676" s="557">
        <v>103.18898</v>
      </c>
      <c r="AQ676" s="557">
        <v>518.52462450000007</v>
      </c>
      <c r="AR676" s="557">
        <v>3.0941999999999998</v>
      </c>
    </row>
    <row r="677" spans="39:44">
      <c r="AM677" s="556">
        <v>45260</v>
      </c>
      <c r="AN677" s="557">
        <v>4.95</v>
      </c>
      <c r="AO677" s="557">
        <v>138300</v>
      </c>
      <c r="AP677" s="557">
        <v>103.18898</v>
      </c>
      <c r="AQ677" s="557">
        <v>510.78545100000002</v>
      </c>
      <c r="AR677" s="557">
        <v>3.0634999999999999</v>
      </c>
    </row>
    <row r="678" spans="39:44">
      <c r="AM678" s="556">
        <v>45259</v>
      </c>
      <c r="AN678" s="557">
        <v>5.1150000000000002</v>
      </c>
      <c r="AO678" s="557">
        <v>299800</v>
      </c>
      <c r="AP678" s="557">
        <v>103.18898</v>
      </c>
      <c r="AQ678" s="557">
        <v>527.81163270000002</v>
      </c>
      <c r="AR678" s="557">
        <v>3.1556999999999999</v>
      </c>
    </row>
    <row r="679" spans="39:44">
      <c r="AM679" s="556">
        <v>45258</v>
      </c>
      <c r="AN679" s="557">
        <v>5.1150000000000002</v>
      </c>
      <c r="AO679" s="557">
        <v>299800</v>
      </c>
      <c r="AP679" s="557">
        <v>103.18898</v>
      </c>
      <c r="AQ679" s="557">
        <v>527.81163270000002</v>
      </c>
      <c r="AR679" s="557">
        <v>3.1556999999999999</v>
      </c>
    </row>
    <row r="680" spans="39:44">
      <c r="AM680" s="556">
        <v>45257</v>
      </c>
      <c r="AN680" s="557">
        <v>5.1150000000000002</v>
      </c>
      <c r="AO680" s="557">
        <v>299800</v>
      </c>
      <c r="AP680" s="557">
        <v>103.18898</v>
      </c>
      <c r="AQ680" s="557">
        <v>527.81163270000002</v>
      </c>
      <c r="AR680" s="557">
        <v>3.1556999999999999</v>
      </c>
    </row>
    <row r="681" spans="39:44">
      <c r="AM681" s="556">
        <v>45256</v>
      </c>
      <c r="AN681" s="557">
        <v>4.91</v>
      </c>
      <c r="AO681" s="557">
        <v>99400</v>
      </c>
      <c r="AP681" s="557">
        <v>103.18898</v>
      </c>
      <c r="AQ681" s="557">
        <v>506.65789180000002</v>
      </c>
      <c r="AR681" s="557">
        <v>3.0327000000000002</v>
      </c>
    </row>
    <row r="682" spans="39:44">
      <c r="AM682" s="556">
        <v>45255</v>
      </c>
      <c r="AN682" s="557">
        <v>4.91</v>
      </c>
      <c r="AO682" s="557">
        <v>99400</v>
      </c>
      <c r="AP682" s="557">
        <v>103.18898</v>
      </c>
      <c r="AQ682" s="557">
        <v>506.65789180000002</v>
      </c>
      <c r="AR682" s="557">
        <v>3.0327000000000002</v>
      </c>
    </row>
    <row r="683" spans="39:44">
      <c r="AM683" s="556">
        <v>45254</v>
      </c>
      <c r="AN683" s="557">
        <v>4.84</v>
      </c>
      <c r="AO683" s="557">
        <v>243600</v>
      </c>
      <c r="AP683" s="557">
        <v>103.18898</v>
      </c>
      <c r="AQ683" s="557">
        <v>499.43466319999999</v>
      </c>
      <c r="AR683" s="557">
        <v>2.9834999999999998</v>
      </c>
    </row>
    <row r="684" spans="39:44">
      <c r="AM684" s="556">
        <v>45253</v>
      </c>
      <c r="AN684" s="557">
        <v>4.66</v>
      </c>
      <c r="AO684" s="557">
        <v>109000</v>
      </c>
      <c r="AP684" s="557">
        <v>103.18898</v>
      </c>
      <c r="AQ684" s="557">
        <v>480.86064680000004</v>
      </c>
      <c r="AR684" s="557">
        <v>2.8605</v>
      </c>
    </row>
    <row r="685" spans="39:44">
      <c r="AM685" s="556">
        <v>45252</v>
      </c>
      <c r="AN685" s="557">
        <v>4.7</v>
      </c>
      <c r="AO685" s="557">
        <v>127000</v>
      </c>
      <c r="AP685" s="557">
        <v>103.18898</v>
      </c>
      <c r="AQ685" s="557">
        <v>484.98820600000005</v>
      </c>
      <c r="AR685" s="557">
        <v>2.9035000000000002</v>
      </c>
    </row>
    <row r="686" spans="39:44">
      <c r="AM686" s="556">
        <v>45251</v>
      </c>
      <c r="AN686" s="557">
        <v>4.7</v>
      </c>
      <c r="AO686" s="557">
        <v>127000</v>
      </c>
      <c r="AP686" s="557">
        <v>103.18898</v>
      </c>
      <c r="AQ686" s="557">
        <v>484.98820600000005</v>
      </c>
      <c r="AR686" s="557">
        <v>2.9035000000000002</v>
      </c>
    </row>
    <row r="687" spans="39:44">
      <c r="AM687" s="556">
        <v>45250</v>
      </c>
      <c r="AN687" s="557">
        <v>4.7</v>
      </c>
      <c r="AO687" s="557">
        <v>127000</v>
      </c>
      <c r="AP687" s="557">
        <v>103.18898</v>
      </c>
      <c r="AQ687" s="557">
        <v>484.98820600000005</v>
      </c>
      <c r="AR687" s="557">
        <v>2.9035000000000002</v>
      </c>
    </row>
    <row r="688" spans="39:44">
      <c r="AM688" s="556">
        <v>45249</v>
      </c>
      <c r="AN688" s="557">
        <v>4.84</v>
      </c>
      <c r="AO688" s="557">
        <v>112500</v>
      </c>
      <c r="AP688" s="557">
        <v>103.18898</v>
      </c>
      <c r="AQ688" s="557">
        <v>499.43466319999999</v>
      </c>
      <c r="AR688" s="557">
        <v>2.9958</v>
      </c>
    </row>
    <row r="689" spans="39:44">
      <c r="AM689" s="556">
        <v>45248</v>
      </c>
      <c r="AN689" s="557">
        <v>4.7050000000000001</v>
      </c>
      <c r="AO689" s="557">
        <v>89800</v>
      </c>
      <c r="AP689" s="557">
        <v>103.18898</v>
      </c>
      <c r="AQ689" s="557">
        <v>485.50415090000001</v>
      </c>
      <c r="AR689" s="557">
        <v>2.8912</v>
      </c>
    </row>
    <row r="690" spans="39:44">
      <c r="AM690" s="556">
        <v>45247</v>
      </c>
      <c r="AN690" s="557">
        <v>4.7649999999999997</v>
      </c>
      <c r="AO690" s="557">
        <v>87300</v>
      </c>
      <c r="AP690" s="557">
        <v>103.18898</v>
      </c>
      <c r="AQ690" s="557">
        <v>491.6954897</v>
      </c>
      <c r="AR690" s="557">
        <v>2.9403999999999999</v>
      </c>
    </row>
    <row r="691" spans="39:44">
      <c r="AM691" s="556">
        <v>45246</v>
      </c>
      <c r="AN691" s="557">
        <v>4.6749999999999998</v>
      </c>
      <c r="AO691" s="557">
        <v>180500</v>
      </c>
      <c r="AP691" s="557">
        <v>103.18898</v>
      </c>
      <c r="AQ691" s="557">
        <v>482.40848149999999</v>
      </c>
      <c r="AR691" s="557">
        <v>2.8912</v>
      </c>
    </row>
    <row r="692" spans="39:44">
      <c r="AM692" s="556">
        <v>45245</v>
      </c>
      <c r="AN692" s="557">
        <v>4.57</v>
      </c>
      <c r="AO692" s="557">
        <v>117800</v>
      </c>
      <c r="AP692" s="557">
        <v>103.18898</v>
      </c>
      <c r="AQ692" s="557">
        <v>471.57363860000004</v>
      </c>
      <c r="AR692" s="557">
        <v>2.8235999999999999</v>
      </c>
    </row>
    <row r="693" spans="39:44">
      <c r="AM693" s="556">
        <v>45244</v>
      </c>
      <c r="AN693" s="557">
        <v>4.57</v>
      </c>
      <c r="AO693" s="557">
        <v>117800</v>
      </c>
      <c r="AP693" s="557">
        <v>103.18898</v>
      </c>
      <c r="AQ693" s="557">
        <v>471.57363860000004</v>
      </c>
      <c r="AR693" s="557">
        <v>2.8235999999999999</v>
      </c>
    </row>
    <row r="694" spans="39:44">
      <c r="AM694" s="556">
        <v>45243</v>
      </c>
      <c r="AN694" s="557">
        <v>4.57</v>
      </c>
      <c r="AO694" s="557">
        <v>117800</v>
      </c>
      <c r="AP694" s="557">
        <v>103.18898</v>
      </c>
      <c r="AQ694" s="557">
        <v>471.57363860000004</v>
      </c>
      <c r="AR694" s="557">
        <v>2.8235999999999999</v>
      </c>
    </row>
    <row r="695" spans="39:44">
      <c r="AM695" s="556">
        <v>45242</v>
      </c>
      <c r="AN695" s="557">
        <v>4.6050000000000004</v>
      </c>
      <c r="AO695" s="557">
        <v>401700</v>
      </c>
      <c r="AP695" s="557">
        <v>103.18898</v>
      </c>
      <c r="AQ695" s="557">
        <v>475.18525290000002</v>
      </c>
      <c r="AR695" s="557">
        <v>2.8296999999999999</v>
      </c>
    </row>
    <row r="696" spans="39:44">
      <c r="AM696" s="556">
        <v>45241</v>
      </c>
      <c r="AN696" s="557">
        <v>4.5750000000000002</v>
      </c>
      <c r="AO696" s="557">
        <v>198800</v>
      </c>
      <c r="AP696" s="557">
        <v>103.18898</v>
      </c>
      <c r="AQ696" s="557">
        <v>472.0895835</v>
      </c>
      <c r="AR696" s="557">
        <v>2.7989000000000002</v>
      </c>
    </row>
    <row r="697" spans="39:44">
      <c r="AM697" s="556">
        <v>45240</v>
      </c>
      <c r="AN697" s="557">
        <v>4.71</v>
      </c>
      <c r="AO697" s="557">
        <v>137100</v>
      </c>
      <c r="AP697" s="557">
        <v>103.18898</v>
      </c>
      <c r="AQ697" s="557">
        <v>486.02009579999998</v>
      </c>
      <c r="AR697" s="557">
        <v>2.8851</v>
      </c>
    </row>
    <row r="698" spans="39:44">
      <c r="AM698" s="556">
        <v>45239</v>
      </c>
      <c r="AN698" s="557">
        <v>4.78</v>
      </c>
      <c r="AO698" s="557">
        <v>165100</v>
      </c>
      <c r="AP698" s="557">
        <v>103.18898</v>
      </c>
      <c r="AQ698" s="557">
        <v>493.24332440000001</v>
      </c>
      <c r="AR698" s="557">
        <v>2.9588999999999999</v>
      </c>
    </row>
    <row r="699" spans="39:44">
      <c r="AM699" s="556">
        <v>45238</v>
      </c>
      <c r="AN699" s="557">
        <v>4.835</v>
      </c>
      <c r="AO699" s="557">
        <v>151200</v>
      </c>
      <c r="AP699" s="557">
        <v>103.18898</v>
      </c>
      <c r="AQ699" s="557">
        <v>498.91871830000002</v>
      </c>
      <c r="AR699" s="557">
        <v>2.9649999999999999</v>
      </c>
    </row>
    <row r="700" spans="39:44">
      <c r="AM700" s="556">
        <v>45237</v>
      </c>
      <c r="AN700" s="557">
        <v>4.835</v>
      </c>
      <c r="AO700" s="557">
        <v>151200</v>
      </c>
      <c r="AP700" s="557">
        <v>103.18898</v>
      </c>
      <c r="AQ700" s="557">
        <v>498.91871830000002</v>
      </c>
      <c r="AR700" s="557">
        <v>2.9649999999999999</v>
      </c>
    </row>
    <row r="701" spans="39:44">
      <c r="AM701" s="556">
        <v>45236</v>
      </c>
      <c r="AN701" s="557">
        <v>4.835</v>
      </c>
      <c r="AO701" s="557">
        <v>151200</v>
      </c>
      <c r="AP701" s="557">
        <v>103.18898</v>
      </c>
      <c r="AQ701" s="557">
        <v>498.91871830000002</v>
      </c>
      <c r="AR701" s="557">
        <v>2.9649999999999999</v>
      </c>
    </row>
    <row r="702" spans="39:44">
      <c r="AM702" s="556">
        <v>45235</v>
      </c>
      <c r="AN702" s="557">
        <v>4.95</v>
      </c>
      <c r="AO702" s="557">
        <v>171900</v>
      </c>
      <c r="AP702" s="557">
        <v>103.18898</v>
      </c>
      <c r="AQ702" s="557">
        <v>510.78545100000002</v>
      </c>
      <c r="AR702" s="557">
        <v>3.0449999999999999</v>
      </c>
    </row>
    <row r="703" spans="39:44">
      <c r="AM703" s="556">
        <v>45234</v>
      </c>
      <c r="AN703" s="557">
        <v>4.95</v>
      </c>
      <c r="AO703" s="557">
        <v>171900</v>
      </c>
      <c r="AP703" s="557">
        <v>103.18898</v>
      </c>
      <c r="AQ703" s="557">
        <v>510.78545100000002</v>
      </c>
      <c r="AR703" s="557">
        <v>3.0449999999999999</v>
      </c>
    </row>
    <row r="704" spans="39:44">
      <c r="AM704" s="556">
        <v>45233</v>
      </c>
      <c r="AN704" s="557">
        <v>4.915</v>
      </c>
      <c r="AO704" s="557">
        <v>397100</v>
      </c>
      <c r="AP704" s="557">
        <v>103.18898</v>
      </c>
      <c r="AQ704" s="557">
        <v>507.17383669999998</v>
      </c>
      <c r="AR704" s="557">
        <v>3.0266000000000002</v>
      </c>
    </row>
    <row r="705" spans="39:44">
      <c r="AM705" s="556">
        <v>45232</v>
      </c>
      <c r="AN705" s="557">
        <v>4.8849999999999998</v>
      </c>
      <c r="AO705" s="557">
        <v>334300</v>
      </c>
      <c r="AP705" s="557">
        <v>103.18898</v>
      </c>
      <c r="AQ705" s="557">
        <v>504.07816729999996</v>
      </c>
      <c r="AR705" s="557">
        <v>3.0081000000000002</v>
      </c>
    </row>
    <row r="706" spans="39:44">
      <c r="AM706" s="556">
        <v>45231</v>
      </c>
      <c r="AN706" s="557">
        <v>4.8150000000000004</v>
      </c>
      <c r="AO706" s="557">
        <v>438400</v>
      </c>
      <c r="AP706" s="557">
        <v>103.18898</v>
      </c>
      <c r="AQ706" s="557">
        <v>496.85493870000005</v>
      </c>
      <c r="AR706" s="557">
        <v>2.9712000000000001</v>
      </c>
    </row>
    <row r="707" spans="39:44">
      <c r="AM707" s="556">
        <v>45230</v>
      </c>
      <c r="AN707" s="557">
        <v>4.8150000000000004</v>
      </c>
      <c r="AO707" s="557">
        <v>438400</v>
      </c>
      <c r="AP707" s="557">
        <v>103.18898</v>
      </c>
      <c r="AQ707" s="557">
        <v>496.85493870000005</v>
      </c>
      <c r="AR707" s="557">
        <v>2.9712000000000001</v>
      </c>
    </row>
    <row r="708" spans="39:44">
      <c r="AM708" s="556">
        <v>45229</v>
      </c>
      <c r="AN708" s="557">
        <v>4.8150000000000004</v>
      </c>
      <c r="AO708" s="557">
        <v>438400</v>
      </c>
      <c r="AP708" s="557">
        <v>103.18898</v>
      </c>
      <c r="AQ708" s="557">
        <v>496.85493870000005</v>
      </c>
      <c r="AR708" s="557">
        <v>2.9712000000000001</v>
      </c>
    </row>
    <row r="709" spans="39:44">
      <c r="AM709" s="556">
        <v>45228</v>
      </c>
      <c r="AN709" s="557">
        <v>4.8949999999999996</v>
      </c>
      <c r="AO709" s="557">
        <v>394000</v>
      </c>
      <c r="AP709" s="557">
        <v>103.18898</v>
      </c>
      <c r="AQ709" s="557">
        <v>505.11005709999995</v>
      </c>
      <c r="AR709" s="557">
        <v>3.0143</v>
      </c>
    </row>
    <row r="710" spans="39:44">
      <c r="AM710" s="556">
        <v>45227</v>
      </c>
      <c r="AN710" s="557">
        <v>5.05</v>
      </c>
      <c r="AO710" s="557">
        <v>399500</v>
      </c>
      <c r="AP710" s="557">
        <v>103.18898</v>
      </c>
      <c r="AQ710" s="557">
        <v>521.10434899999996</v>
      </c>
      <c r="AR710" s="557">
        <v>3.1065</v>
      </c>
    </row>
    <row r="711" spans="39:44">
      <c r="AM711" s="556">
        <v>45226</v>
      </c>
      <c r="AN711" s="557">
        <v>5.085</v>
      </c>
      <c r="AO711" s="557">
        <v>294100</v>
      </c>
      <c r="AP711" s="557">
        <v>103.18898</v>
      </c>
      <c r="AQ711" s="557">
        <v>524.7159633</v>
      </c>
      <c r="AR711" s="557">
        <v>3.125</v>
      </c>
    </row>
    <row r="712" spans="39:44">
      <c r="AM712" s="556">
        <v>45225</v>
      </c>
      <c r="AN712" s="557">
        <v>5.2450000000000001</v>
      </c>
      <c r="AO712" s="557">
        <v>212000</v>
      </c>
      <c r="AP712" s="557">
        <v>103.18898</v>
      </c>
      <c r="AQ712" s="557">
        <v>541.22620010000003</v>
      </c>
      <c r="AR712" s="557">
        <v>3.2296</v>
      </c>
    </row>
    <row r="713" spans="39:44">
      <c r="AM713" s="556">
        <v>45224</v>
      </c>
      <c r="AN713" s="557">
        <v>5.3650000000000002</v>
      </c>
      <c r="AO713" s="557">
        <v>202200</v>
      </c>
      <c r="AP713" s="557">
        <v>103.18898</v>
      </c>
      <c r="AQ713" s="557">
        <v>553.60887769999999</v>
      </c>
      <c r="AR713" s="557">
        <v>3.3654999999999999</v>
      </c>
    </row>
    <row r="714" spans="39:44">
      <c r="AM714" s="556">
        <v>45223</v>
      </c>
      <c r="AN714" s="557">
        <v>5.3650000000000002</v>
      </c>
      <c r="AO714" s="557">
        <v>202200</v>
      </c>
      <c r="AP714" s="557">
        <v>103.18898</v>
      </c>
      <c r="AQ714" s="557">
        <v>553.60887769999999</v>
      </c>
      <c r="AR714" s="557">
        <v>3.3654999999999999</v>
      </c>
    </row>
    <row r="715" spans="39:44">
      <c r="AM715" s="556">
        <v>45222</v>
      </c>
      <c r="AN715" s="557">
        <v>5.3650000000000002</v>
      </c>
      <c r="AO715" s="557">
        <v>202200</v>
      </c>
      <c r="AP715" s="557">
        <v>103.18898</v>
      </c>
      <c r="AQ715" s="557">
        <v>553.60887769999999</v>
      </c>
      <c r="AR715" s="557">
        <v>3.3654999999999999</v>
      </c>
    </row>
    <row r="716" spans="39:44">
      <c r="AM716" s="556">
        <v>45221</v>
      </c>
      <c r="AN716" s="557">
        <v>5.31</v>
      </c>
      <c r="AO716" s="557">
        <v>384100</v>
      </c>
      <c r="AP716" s="557">
        <v>103.18898</v>
      </c>
      <c r="AQ716" s="557">
        <v>547.93348379999998</v>
      </c>
      <c r="AR716" s="557">
        <v>3.3403999999999998</v>
      </c>
    </row>
    <row r="717" spans="39:44">
      <c r="AM717" s="556">
        <v>45220</v>
      </c>
      <c r="AN717" s="557">
        <v>5.05</v>
      </c>
      <c r="AO717" s="557">
        <v>647900</v>
      </c>
      <c r="AP717" s="557">
        <v>103.18898</v>
      </c>
      <c r="AQ717" s="557">
        <v>521.10434899999996</v>
      </c>
      <c r="AR717" s="557">
        <v>3.1646000000000001</v>
      </c>
    </row>
    <row r="718" spans="39:44">
      <c r="AM718" s="556">
        <v>45219</v>
      </c>
      <c r="AN718" s="557">
        <v>5.15</v>
      </c>
      <c r="AO718" s="557">
        <v>253500</v>
      </c>
      <c r="AP718" s="557">
        <v>103.18898</v>
      </c>
      <c r="AQ718" s="557">
        <v>531.42324700000006</v>
      </c>
      <c r="AR718" s="557">
        <v>3.2462</v>
      </c>
    </row>
    <row r="719" spans="39:44">
      <c r="AM719" s="556">
        <v>45218</v>
      </c>
      <c r="AN719" s="557">
        <v>5.2050000000000001</v>
      </c>
      <c r="AO719" s="557">
        <v>143000</v>
      </c>
      <c r="AP719" s="557">
        <v>103.18898</v>
      </c>
      <c r="AQ719" s="557">
        <v>537.09864089999996</v>
      </c>
      <c r="AR719" s="557">
        <v>3.2650999999999999</v>
      </c>
    </row>
    <row r="720" spans="39:44">
      <c r="AM720" s="556">
        <v>45217</v>
      </c>
      <c r="AN720" s="557">
        <v>5.15</v>
      </c>
      <c r="AO720" s="557">
        <v>442900</v>
      </c>
      <c r="AP720" s="557">
        <v>103.18898</v>
      </c>
      <c r="AQ720" s="557">
        <v>531.42324700000006</v>
      </c>
      <c r="AR720" s="557">
        <v>3.2462</v>
      </c>
    </row>
    <row r="721" spans="39:44">
      <c r="AM721" s="556">
        <v>45216</v>
      </c>
      <c r="AN721" s="557">
        <v>5.15</v>
      </c>
      <c r="AO721" s="557">
        <v>442900</v>
      </c>
      <c r="AP721" s="557">
        <v>103.18898</v>
      </c>
      <c r="AQ721" s="557">
        <v>531.42324700000006</v>
      </c>
      <c r="AR721" s="557">
        <v>3.2462</v>
      </c>
    </row>
    <row r="722" spans="39:44">
      <c r="AM722" s="556">
        <v>45215</v>
      </c>
      <c r="AN722" s="557">
        <v>5.15</v>
      </c>
      <c r="AO722" s="557">
        <v>442900</v>
      </c>
      <c r="AP722" s="557">
        <v>103.18898</v>
      </c>
      <c r="AQ722" s="557">
        <v>531.42324700000006</v>
      </c>
      <c r="AR722" s="557">
        <v>3.2462</v>
      </c>
    </row>
    <row r="723" spans="39:44">
      <c r="AM723" s="556">
        <v>45214</v>
      </c>
      <c r="AN723" s="557">
        <v>5.3049999999999997</v>
      </c>
      <c r="AO723" s="557">
        <v>216200</v>
      </c>
      <c r="AP723" s="557">
        <v>103.18898</v>
      </c>
      <c r="AQ723" s="557">
        <v>547.41753889999995</v>
      </c>
      <c r="AR723" s="557">
        <v>3.3279000000000001</v>
      </c>
    </row>
    <row r="724" spans="39:44">
      <c r="AM724" s="556">
        <v>45213</v>
      </c>
      <c r="AN724" s="557">
        <v>5.33</v>
      </c>
      <c r="AO724" s="557">
        <v>120500</v>
      </c>
      <c r="AP724" s="557">
        <v>103.18898</v>
      </c>
      <c r="AQ724" s="557">
        <v>549.99726340000007</v>
      </c>
      <c r="AR724" s="557">
        <v>3.3403999999999998</v>
      </c>
    </row>
    <row r="725" spans="39:44">
      <c r="AM725" s="556">
        <v>45212</v>
      </c>
      <c r="AN725" s="557">
        <v>5.2949999999999999</v>
      </c>
      <c r="AO725" s="557">
        <v>99600</v>
      </c>
      <c r="AP725" s="557">
        <v>103.18898</v>
      </c>
      <c r="AQ725" s="557">
        <v>546.38564910000002</v>
      </c>
      <c r="AR725" s="557">
        <v>3.3340999999999998</v>
      </c>
    </row>
    <row r="726" spans="39:44">
      <c r="AM726" s="556">
        <v>45211</v>
      </c>
      <c r="AN726" s="557">
        <v>5.38</v>
      </c>
      <c r="AO726" s="557">
        <v>67400</v>
      </c>
      <c r="AP726" s="557">
        <v>103.18898</v>
      </c>
      <c r="AQ726" s="557">
        <v>555.15671239999995</v>
      </c>
      <c r="AR726" s="557">
        <v>3.3906999999999998</v>
      </c>
    </row>
    <row r="727" spans="39:44">
      <c r="AM727" s="556">
        <v>45210</v>
      </c>
      <c r="AN727" s="557">
        <v>5.4550000000000001</v>
      </c>
      <c r="AO727" s="557">
        <v>72500</v>
      </c>
      <c r="AP727" s="557">
        <v>103.18898</v>
      </c>
      <c r="AQ727" s="557">
        <v>562.89588590000005</v>
      </c>
      <c r="AR727" s="557">
        <v>3.4095</v>
      </c>
    </row>
    <row r="728" spans="39:44">
      <c r="AM728" s="556">
        <v>45209</v>
      </c>
      <c r="AN728" s="557">
        <v>5.4550000000000001</v>
      </c>
      <c r="AO728" s="557">
        <v>72500</v>
      </c>
      <c r="AP728" s="557">
        <v>103.18898</v>
      </c>
      <c r="AQ728" s="557">
        <v>562.89588590000005</v>
      </c>
      <c r="AR728" s="557">
        <v>3.4095</v>
      </c>
    </row>
    <row r="729" spans="39:44">
      <c r="AM729" s="556">
        <v>45208</v>
      </c>
      <c r="AN729" s="557">
        <v>5.4550000000000001</v>
      </c>
      <c r="AO729" s="557">
        <v>72500</v>
      </c>
      <c r="AP729" s="557">
        <v>103.18898</v>
      </c>
      <c r="AQ729" s="557">
        <v>562.89588590000005</v>
      </c>
      <c r="AR729" s="557">
        <v>3.4095</v>
      </c>
    </row>
    <row r="730" spans="39:44">
      <c r="AM730" s="556">
        <v>45207</v>
      </c>
      <c r="AN730" s="557">
        <v>5.5949999999999998</v>
      </c>
      <c r="AO730" s="557">
        <v>108700</v>
      </c>
      <c r="AP730" s="557">
        <v>103.18898</v>
      </c>
      <c r="AQ730" s="557">
        <v>577.34234309999999</v>
      </c>
      <c r="AR730" s="557">
        <v>3.51</v>
      </c>
    </row>
    <row r="731" spans="39:44">
      <c r="AM731" s="556">
        <v>45206</v>
      </c>
      <c r="AN731" s="557">
        <v>5.58</v>
      </c>
      <c r="AO731" s="557">
        <v>153200</v>
      </c>
      <c r="AP731" s="557">
        <v>103.18898</v>
      </c>
      <c r="AQ731" s="557">
        <v>575.79450840000004</v>
      </c>
      <c r="AR731" s="557">
        <v>3.5162</v>
      </c>
    </row>
    <row r="732" spans="39:44">
      <c r="AM732" s="556">
        <v>45205</v>
      </c>
      <c r="AN732" s="557">
        <v>5.5250000000000004</v>
      </c>
      <c r="AO732" s="557">
        <v>100100</v>
      </c>
      <c r="AP732" s="557">
        <v>103.18898</v>
      </c>
      <c r="AQ732" s="557">
        <v>570.11911450000002</v>
      </c>
      <c r="AR732" s="557">
        <v>3.4597000000000002</v>
      </c>
    </row>
    <row r="733" spans="39:44">
      <c r="AM733" s="556">
        <v>45204</v>
      </c>
      <c r="AN733" s="557">
        <v>5.41</v>
      </c>
      <c r="AO733" s="557">
        <v>92500</v>
      </c>
      <c r="AP733" s="557">
        <v>103.18898</v>
      </c>
      <c r="AQ733" s="557">
        <v>558.25238179999997</v>
      </c>
      <c r="AR733" s="557">
        <v>3.3969</v>
      </c>
    </row>
    <row r="734" spans="39:44">
      <c r="AM734" s="556">
        <v>45203</v>
      </c>
      <c r="AN734" s="557">
        <v>5.32</v>
      </c>
      <c r="AO734" s="557">
        <v>84100</v>
      </c>
      <c r="AP734" s="557">
        <v>103.18898</v>
      </c>
      <c r="AQ734" s="557">
        <v>548.96537360000002</v>
      </c>
      <c r="AR734" s="557">
        <v>3.3279000000000001</v>
      </c>
    </row>
    <row r="735" spans="39:44">
      <c r="AM735" s="556">
        <v>45202</v>
      </c>
      <c r="AN735" s="557">
        <v>5.32</v>
      </c>
      <c r="AO735" s="557">
        <v>84100</v>
      </c>
      <c r="AP735" s="557">
        <v>103.18898</v>
      </c>
      <c r="AQ735" s="557">
        <v>548.96537360000002</v>
      </c>
      <c r="AR735" s="557">
        <v>3.3279000000000001</v>
      </c>
    </row>
    <row r="736" spans="39:44">
      <c r="AM736" s="556">
        <v>45201</v>
      </c>
      <c r="AN736" s="557">
        <v>5.32</v>
      </c>
      <c r="AO736" s="557">
        <v>84100</v>
      </c>
      <c r="AP736" s="557">
        <v>103.18898</v>
      </c>
      <c r="AQ736" s="557">
        <v>548.96537360000002</v>
      </c>
      <c r="AR736" s="557">
        <v>3.3279000000000001</v>
      </c>
    </row>
    <row r="737" spans="39:44">
      <c r="AM737" s="556">
        <v>45200</v>
      </c>
      <c r="AN737" s="557">
        <v>5.2750000000000004</v>
      </c>
      <c r="AO737" s="557">
        <v>247900</v>
      </c>
      <c r="AP737" s="557">
        <v>103.18898</v>
      </c>
      <c r="AQ737" s="557">
        <v>544.32186950000005</v>
      </c>
      <c r="AR737" s="557">
        <v>3.3090000000000002</v>
      </c>
    </row>
    <row r="738" spans="39:44">
      <c r="AM738" s="556">
        <v>45199</v>
      </c>
      <c r="AN738" s="557">
        <v>5.2750000000000004</v>
      </c>
      <c r="AO738" s="557">
        <v>247900</v>
      </c>
      <c r="AP738" s="557">
        <v>103.18898</v>
      </c>
      <c r="AQ738" s="557">
        <v>544.32186950000005</v>
      </c>
      <c r="AR738" s="557">
        <v>3.3090000000000002</v>
      </c>
    </row>
    <row r="739" spans="39:44">
      <c r="AM739" s="556">
        <v>45198</v>
      </c>
      <c r="AN739" s="557">
        <v>5.43</v>
      </c>
      <c r="AO739" s="557">
        <v>690100</v>
      </c>
      <c r="AP739" s="557">
        <v>103.18898</v>
      </c>
      <c r="AQ739" s="557">
        <v>560.31616139999994</v>
      </c>
      <c r="AR739" s="557">
        <v>3.3906999999999998</v>
      </c>
    </row>
    <row r="740" spans="39:44">
      <c r="AM740" s="556">
        <v>45197</v>
      </c>
      <c r="AN740" s="557">
        <v>5.5650000000000004</v>
      </c>
      <c r="AO740" s="557">
        <v>330800</v>
      </c>
      <c r="AP740" s="557">
        <v>103.18898</v>
      </c>
      <c r="AQ740" s="557">
        <v>574.24667370000009</v>
      </c>
      <c r="AR740" s="557">
        <v>3.5036999999999998</v>
      </c>
    </row>
    <row r="741" spans="39:44">
      <c r="AM741" s="556">
        <v>45196</v>
      </c>
      <c r="AN741" s="557">
        <v>5.625</v>
      </c>
      <c r="AO741" s="557">
        <v>235200</v>
      </c>
      <c r="AP741" s="557">
        <v>103.18898</v>
      </c>
      <c r="AQ741" s="557">
        <v>580.43801250000001</v>
      </c>
      <c r="AR741" s="557">
        <v>3.5476000000000001</v>
      </c>
    </row>
    <row r="742" spans="39:44">
      <c r="AM742" s="556">
        <v>45195</v>
      </c>
      <c r="AN742" s="557">
        <v>5.625</v>
      </c>
      <c r="AO742" s="557">
        <v>235200</v>
      </c>
      <c r="AP742" s="557">
        <v>103.18898</v>
      </c>
      <c r="AQ742" s="557">
        <v>580.43801250000001</v>
      </c>
      <c r="AR742" s="557">
        <v>3.5476000000000001</v>
      </c>
    </row>
    <row r="743" spans="39:44">
      <c r="AM743" s="556">
        <v>45194</v>
      </c>
      <c r="AN743" s="557">
        <v>5.625</v>
      </c>
      <c r="AO743" s="557">
        <v>235200</v>
      </c>
      <c r="AP743" s="557">
        <v>103.18898</v>
      </c>
      <c r="AQ743" s="557">
        <v>580.43801250000001</v>
      </c>
      <c r="AR743" s="557">
        <v>3.5476000000000001</v>
      </c>
    </row>
    <row r="744" spans="39:44">
      <c r="AM744" s="556">
        <v>45193</v>
      </c>
      <c r="AN744" s="557">
        <v>5.5350000000000001</v>
      </c>
      <c r="AO744" s="557">
        <v>301500</v>
      </c>
      <c r="AP744" s="557">
        <v>103.18898</v>
      </c>
      <c r="AQ744" s="557">
        <v>571.15100430000007</v>
      </c>
      <c r="AR744" s="557">
        <v>3.4910999999999999</v>
      </c>
    </row>
    <row r="745" spans="39:44">
      <c r="AM745" s="556">
        <v>45192</v>
      </c>
      <c r="AN745" s="557">
        <v>5.7050000000000001</v>
      </c>
      <c r="AO745" s="557">
        <v>212100</v>
      </c>
      <c r="AP745" s="557">
        <v>103.18898</v>
      </c>
      <c r="AQ745" s="557">
        <v>588.69313090000003</v>
      </c>
      <c r="AR745" s="557">
        <v>3.5790000000000002</v>
      </c>
    </row>
    <row r="746" spans="39:44">
      <c r="AM746" s="556">
        <v>45191</v>
      </c>
      <c r="AN746" s="557">
        <v>5.55</v>
      </c>
      <c r="AO746" s="557">
        <v>314100</v>
      </c>
      <c r="AP746" s="557">
        <v>103.18898</v>
      </c>
      <c r="AQ746" s="557">
        <v>572.69883900000002</v>
      </c>
      <c r="AR746" s="557">
        <v>3.4973999999999998</v>
      </c>
    </row>
    <row r="747" spans="39:44">
      <c r="AM747" s="556">
        <v>45190</v>
      </c>
      <c r="AN747" s="557">
        <v>5.4450000000000003</v>
      </c>
      <c r="AO747" s="557">
        <v>203600</v>
      </c>
      <c r="AP747" s="557">
        <v>103.18898</v>
      </c>
      <c r="AQ747" s="557">
        <v>561.86399610000001</v>
      </c>
      <c r="AR747" s="557">
        <v>3.4346000000000001</v>
      </c>
    </row>
    <row r="748" spans="39:44">
      <c r="AM748" s="556">
        <v>45189</v>
      </c>
      <c r="AN748" s="557">
        <v>5.52</v>
      </c>
      <c r="AO748" s="557">
        <v>373900</v>
      </c>
      <c r="AP748" s="557">
        <v>103.18898</v>
      </c>
      <c r="AQ748" s="557">
        <v>569.6031696</v>
      </c>
      <c r="AR748" s="557">
        <v>3.4533999999999998</v>
      </c>
    </row>
    <row r="749" spans="39:44">
      <c r="AM749" s="556">
        <v>45188</v>
      </c>
      <c r="AN749" s="557">
        <v>5.52</v>
      </c>
      <c r="AO749" s="557">
        <v>373900</v>
      </c>
      <c r="AP749" s="557">
        <v>103.18898</v>
      </c>
      <c r="AQ749" s="557">
        <v>569.6031696</v>
      </c>
      <c r="AR749" s="557">
        <v>3.4533999999999998</v>
      </c>
    </row>
    <row r="750" spans="39:44">
      <c r="AM750" s="556">
        <v>45187</v>
      </c>
      <c r="AN750" s="557">
        <v>5.52</v>
      </c>
      <c r="AO750" s="557">
        <v>373900</v>
      </c>
      <c r="AP750" s="557">
        <v>103.18898</v>
      </c>
      <c r="AQ750" s="557">
        <v>569.6031696</v>
      </c>
      <c r="AR750" s="557">
        <v>3.4533999999999998</v>
      </c>
    </row>
    <row r="751" spans="39:44">
      <c r="AM751" s="556">
        <v>45186</v>
      </c>
      <c r="AN751" s="557">
        <v>5.8150000000000004</v>
      </c>
      <c r="AO751" s="557">
        <v>240200</v>
      </c>
      <c r="AP751" s="557">
        <v>103.18898</v>
      </c>
      <c r="AQ751" s="557">
        <v>600.04391870000006</v>
      </c>
      <c r="AR751" s="557">
        <v>3.6417999999999999</v>
      </c>
    </row>
    <row r="752" spans="39:44">
      <c r="AM752" s="556">
        <v>45185</v>
      </c>
      <c r="AN752" s="557">
        <v>5.91</v>
      </c>
      <c r="AO752" s="557">
        <v>270900</v>
      </c>
      <c r="AP752" s="557">
        <v>103.18898</v>
      </c>
      <c r="AQ752" s="557">
        <v>609.84687180000003</v>
      </c>
      <c r="AR752" s="557">
        <v>3.7172000000000001</v>
      </c>
    </row>
    <row r="753" spans="39:44">
      <c r="AM753" s="556">
        <v>45184</v>
      </c>
      <c r="AN753" s="557">
        <v>5.92</v>
      </c>
      <c r="AO753" s="557">
        <v>344700</v>
      </c>
      <c r="AP753" s="557">
        <v>103.18898</v>
      </c>
      <c r="AQ753" s="557">
        <v>610.87876159999996</v>
      </c>
      <c r="AR753" s="557">
        <v>3.7233999999999998</v>
      </c>
    </row>
    <row r="754" spans="39:44">
      <c r="AM754" s="556">
        <v>45183</v>
      </c>
      <c r="AN754" s="557">
        <v>5.7649999999999997</v>
      </c>
      <c r="AO754" s="557">
        <v>250000</v>
      </c>
      <c r="AP754" s="557">
        <v>103.18898</v>
      </c>
      <c r="AQ754" s="557">
        <v>594.88446969999995</v>
      </c>
      <c r="AR754" s="557">
        <v>3.6230000000000002</v>
      </c>
    </row>
    <row r="755" spans="39:44">
      <c r="AM755" s="556">
        <v>45182</v>
      </c>
      <c r="AN755" s="557">
        <v>5.9249999999999998</v>
      </c>
      <c r="AO755" s="557">
        <v>570400</v>
      </c>
      <c r="AP755" s="557">
        <v>103.18898</v>
      </c>
      <c r="AQ755" s="557">
        <v>611.39470649999998</v>
      </c>
      <c r="AR755" s="557">
        <v>3.7172000000000001</v>
      </c>
    </row>
    <row r="756" spans="39:44">
      <c r="AM756" s="556">
        <v>45181</v>
      </c>
      <c r="AN756" s="557">
        <v>5.9249999999999998</v>
      </c>
      <c r="AO756" s="557">
        <v>570400</v>
      </c>
      <c r="AP756" s="557">
        <v>103.18898</v>
      </c>
      <c r="AQ756" s="557">
        <v>611.39470649999998</v>
      </c>
      <c r="AR756" s="557">
        <v>3.7172000000000001</v>
      </c>
    </row>
    <row r="757" spans="39:44">
      <c r="AM757" s="556">
        <v>45180</v>
      </c>
      <c r="AN757" s="557">
        <v>5.9249999999999998</v>
      </c>
      <c r="AO757" s="557">
        <v>570400</v>
      </c>
      <c r="AP757" s="557">
        <v>103.18898</v>
      </c>
      <c r="AQ757" s="557">
        <v>611.39470649999998</v>
      </c>
      <c r="AR757" s="557">
        <v>3.7172000000000001</v>
      </c>
    </row>
    <row r="758" spans="39:44">
      <c r="AM758" s="556">
        <v>45179</v>
      </c>
      <c r="AN758" s="557">
        <v>5.8049999999999997</v>
      </c>
      <c r="AO758" s="557">
        <v>725000</v>
      </c>
      <c r="AP758" s="557">
        <v>103.18898</v>
      </c>
      <c r="AQ758" s="557">
        <v>599.01202890000002</v>
      </c>
      <c r="AR758" s="557">
        <v>3.6293000000000002</v>
      </c>
    </row>
    <row r="759" spans="39:44">
      <c r="AM759" s="556">
        <v>45178</v>
      </c>
      <c r="AN759" s="557">
        <v>5.98</v>
      </c>
      <c r="AO759" s="557">
        <v>20225100</v>
      </c>
      <c r="AP759" s="557">
        <v>103.18898</v>
      </c>
      <c r="AQ759" s="557">
        <v>617.0701004</v>
      </c>
      <c r="AR759" s="557">
        <v>3.7673999999999999</v>
      </c>
    </row>
    <row r="760" spans="39:44">
      <c r="AM760" s="556">
        <v>45177</v>
      </c>
      <c r="AN760" s="557">
        <v>5.4950000000000001</v>
      </c>
      <c r="AO760" s="557">
        <v>807700</v>
      </c>
      <c r="AP760" s="557">
        <v>103.18898</v>
      </c>
      <c r="AQ760" s="557">
        <v>567.0234451</v>
      </c>
      <c r="AR760" s="557">
        <v>3.4533999999999998</v>
      </c>
    </row>
    <row r="761" spans="39:44">
      <c r="AM761" s="556">
        <v>45176</v>
      </c>
      <c r="AN761" s="557">
        <v>5.5750000000000002</v>
      </c>
      <c r="AO761" s="557">
        <v>1517900</v>
      </c>
      <c r="AP761" s="557">
        <v>103.18898</v>
      </c>
      <c r="AQ761" s="557">
        <v>575.27856350000002</v>
      </c>
      <c r="AR761" s="557">
        <v>3.4973999999999998</v>
      </c>
    </row>
    <row r="762" spans="39:44">
      <c r="AM762" s="556">
        <v>45175</v>
      </c>
      <c r="AN762" s="557">
        <v>6.6449999999999996</v>
      </c>
      <c r="AO762" s="557">
        <v>301600</v>
      </c>
      <c r="AP762" s="557">
        <v>103.18898</v>
      </c>
      <c r="AQ762" s="557">
        <v>685.6907721</v>
      </c>
      <c r="AR762" s="557">
        <v>4.1881000000000004</v>
      </c>
    </row>
    <row r="763" spans="39:44">
      <c r="AM763" s="556">
        <v>45174</v>
      </c>
      <c r="AN763" s="557">
        <v>6.6449999999999996</v>
      </c>
      <c r="AO763" s="557">
        <v>301600</v>
      </c>
      <c r="AP763" s="557">
        <v>103.18898</v>
      </c>
      <c r="AQ763" s="557">
        <v>685.6907721</v>
      </c>
      <c r="AR763" s="557">
        <v>4.1881000000000004</v>
      </c>
    </row>
    <row r="764" spans="39:44">
      <c r="AM764" s="556">
        <v>45173</v>
      </c>
      <c r="AN764" s="557">
        <v>6.6449999999999996</v>
      </c>
      <c r="AO764" s="557">
        <v>301600</v>
      </c>
      <c r="AP764" s="557">
        <v>103.18898</v>
      </c>
      <c r="AQ764" s="557">
        <v>685.6907721</v>
      </c>
      <c r="AR764" s="557">
        <v>4.1881000000000004</v>
      </c>
    </row>
    <row r="765" spans="39:44">
      <c r="AM765" s="556">
        <v>45172</v>
      </c>
      <c r="AN765" s="557">
        <v>6.31</v>
      </c>
      <c r="AO765" s="557">
        <v>502800</v>
      </c>
      <c r="AP765" s="557">
        <v>103.18898</v>
      </c>
      <c r="AQ765" s="557">
        <v>651.12246379999999</v>
      </c>
      <c r="AR765" s="557">
        <v>3.9683000000000002</v>
      </c>
    </row>
    <row r="766" spans="39:44">
      <c r="AM766" s="556">
        <v>45171</v>
      </c>
      <c r="AN766" s="557">
        <v>6.2949999999999999</v>
      </c>
      <c r="AO766" s="557">
        <v>1028400</v>
      </c>
      <c r="AP766" s="557">
        <v>103.18898</v>
      </c>
      <c r="AQ766" s="557">
        <v>649.57462910000004</v>
      </c>
      <c r="AR766" s="557">
        <v>3.9933999999999998</v>
      </c>
    </row>
    <row r="767" spans="39:44">
      <c r="AM767" s="556">
        <v>45170</v>
      </c>
      <c r="AN767" s="557">
        <v>5.8849999999999998</v>
      </c>
      <c r="AO767" s="557">
        <v>85200</v>
      </c>
      <c r="AP767" s="557">
        <v>103.18898</v>
      </c>
      <c r="AQ767" s="557">
        <v>607.26714730000003</v>
      </c>
      <c r="AR767" s="557">
        <v>3.7046000000000001</v>
      </c>
    </row>
    <row r="768" spans="39:44">
      <c r="AM768" s="556">
        <v>45169</v>
      </c>
      <c r="AN768" s="557">
        <v>5.9450000000000003</v>
      </c>
      <c r="AO768" s="557">
        <v>162300</v>
      </c>
      <c r="AP768" s="557">
        <v>103.18898</v>
      </c>
      <c r="AQ768" s="557">
        <v>613.45848610000007</v>
      </c>
      <c r="AR768" s="557">
        <v>3.7360000000000002</v>
      </c>
    </row>
    <row r="769" spans="39:44">
      <c r="AM769" s="556">
        <v>45168</v>
      </c>
      <c r="AN769" s="557">
        <v>5.9749999999999996</v>
      </c>
      <c r="AO769" s="557">
        <v>403400</v>
      </c>
      <c r="AP769" s="557">
        <v>103.18898</v>
      </c>
      <c r="AQ769" s="557">
        <v>616.55415549999998</v>
      </c>
      <c r="AR769" s="557">
        <v>3.7360000000000002</v>
      </c>
    </row>
    <row r="770" spans="39:44">
      <c r="AM770" s="556">
        <v>45167</v>
      </c>
      <c r="AN770" s="557">
        <v>5.9749999999999996</v>
      </c>
      <c r="AO770" s="557">
        <v>403400</v>
      </c>
      <c r="AP770" s="557">
        <v>103.18898</v>
      </c>
      <c r="AQ770" s="557">
        <v>616.55415549999998</v>
      </c>
      <c r="AR770" s="557">
        <v>3.7360000000000002</v>
      </c>
    </row>
    <row r="771" spans="39:44">
      <c r="AM771" s="556">
        <v>45166</v>
      </c>
      <c r="AN771" s="557">
        <v>5.9749999999999996</v>
      </c>
      <c r="AO771" s="557">
        <v>403400</v>
      </c>
      <c r="AP771" s="557">
        <v>103.18898</v>
      </c>
      <c r="AQ771" s="557">
        <v>616.55415549999998</v>
      </c>
      <c r="AR771" s="557">
        <v>3.7360000000000002</v>
      </c>
    </row>
    <row r="772" spans="39:44">
      <c r="AM772" s="556">
        <v>45165</v>
      </c>
      <c r="AN772" s="557">
        <v>6.085</v>
      </c>
      <c r="AO772" s="557">
        <v>879200</v>
      </c>
      <c r="AP772" s="557">
        <v>103.18898</v>
      </c>
      <c r="AQ772" s="557">
        <v>627.90494330000001</v>
      </c>
      <c r="AR772" s="557">
        <v>3.8239000000000001</v>
      </c>
    </row>
    <row r="773" spans="39:44">
      <c r="AM773" s="556">
        <v>45164</v>
      </c>
      <c r="AN773" s="557">
        <v>5.5949999999999998</v>
      </c>
      <c r="AO773" s="557">
        <v>246700</v>
      </c>
      <c r="AP773" s="557">
        <v>103.18898</v>
      </c>
      <c r="AQ773" s="557">
        <v>577.34234309999999</v>
      </c>
      <c r="AR773" s="557">
        <v>3.5162</v>
      </c>
    </row>
    <row r="774" spans="39:44">
      <c r="AM774" s="556">
        <v>45163</v>
      </c>
      <c r="AN774" s="557">
        <v>5.3949999999999996</v>
      </c>
      <c r="AO774" s="557">
        <v>78400</v>
      </c>
      <c r="AP774" s="557">
        <v>103.18898</v>
      </c>
      <c r="AQ774" s="557">
        <v>556.70454710000001</v>
      </c>
      <c r="AR774" s="557">
        <v>3.3906999999999998</v>
      </c>
    </row>
    <row r="775" spans="39:44">
      <c r="AM775" s="556">
        <v>45162</v>
      </c>
      <c r="AN775" s="557">
        <v>5.335</v>
      </c>
      <c r="AO775" s="557">
        <v>215000</v>
      </c>
      <c r="AP775" s="557">
        <v>103.18898</v>
      </c>
      <c r="AQ775" s="557">
        <v>550.51320829999997</v>
      </c>
      <c r="AR775" s="557">
        <v>3.3654999999999999</v>
      </c>
    </row>
    <row r="776" spans="39:44">
      <c r="AM776" s="556">
        <v>45161</v>
      </c>
      <c r="AN776" s="557">
        <v>5.2350000000000003</v>
      </c>
      <c r="AO776" s="557">
        <v>227700</v>
      </c>
      <c r="AP776" s="557">
        <v>103.18898</v>
      </c>
      <c r="AQ776" s="557">
        <v>540.19431029999998</v>
      </c>
      <c r="AR776" s="557">
        <v>3.2839</v>
      </c>
    </row>
    <row r="777" spans="39:44">
      <c r="AM777" s="556">
        <v>45160</v>
      </c>
      <c r="AN777" s="557">
        <v>5.2350000000000003</v>
      </c>
      <c r="AO777" s="557">
        <v>227700</v>
      </c>
      <c r="AP777" s="557">
        <v>103.18898</v>
      </c>
      <c r="AQ777" s="557">
        <v>540.19431029999998</v>
      </c>
      <c r="AR777" s="557">
        <v>3.2839</v>
      </c>
    </row>
    <row r="778" spans="39:44">
      <c r="AM778" s="556">
        <v>45159</v>
      </c>
      <c r="AN778" s="557">
        <v>5.2350000000000003</v>
      </c>
      <c r="AO778" s="557">
        <v>227700</v>
      </c>
      <c r="AP778" s="557">
        <v>103.18898</v>
      </c>
      <c r="AQ778" s="557">
        <v>540.19431029999998</v>
      </c>
      <c r="AR778" s="557">
        <v>3.2839</v>
      </c>
    </row>
    <row r="779" spans="39:44">
      <c r="AM779" s="556">
        <v>45158</v>
      </c>
      <c r="AN779" s="557">
        <v>5.23</v>
      </c>
      <c r="AO779" s="557">
        <v>214000</v>
      </c>
      <c r="AP779" s="557">
        <v>103.18898</v>
      </c>
      <c r="AQ779" s="557">
        <v>539.67836540000008</v>
      </c>
      <c r="AR779" s="557">
        <v>3.2902</v>
      </c>
    </row>
    <row r="780" spans="39:44">
      <c r="AM780" s="556">
        <v>45157</v>
      </c>
      <c r="AN780" s="557">
        <v>5.4450000000000003</v>
      </c>
      <c r="AO780" s="557">
        <v>67500</v>
      </c>
      <c r="AP780" s="557">
        <v>103.18898</v>
      </c>
      <c r="AQ780" s="557">
        <v>561.86399610000001</v>
      </c>
      <c r="AR780" s="557">
        <v>3.4220999999999999</v>
      </c>
    </row>
    <row r="781" spans="39:44">
      <c r="AM781" s="556">
        <v>45156</v>
      </c>
      <c r="AN781" s="557">
        <v>5.57</v>
      </c>
      <c r="AO781" s="557">
        <v>272400</v>
      </c>
      <c r="AP781" s="557">
        <v>103.18898</v>
      </c>
      <c r="AQ781" s="557">
        <v>574.7626186</v>
      </c>
      <c r="AR781" s="557">
        <v>3.51</v>
      </c>
    </row>
    <row r="782" spans="39:44">
      <c r="AM782" s="556">
        <v>45155</v>
      </c>
      <c r="AN782" s="557">
        <v>5.4550000000000001</v>
      </c>
      <c r="AO782" s="557">
        <v>155400</v>
      </c>
      <c r="AP782" s="557">
        <v>103.18898</v>
      </c>
      <c r="AQ782" s="557">
        <v>562.89588590000005</v>
      </c>
      <c r="AR782" s="557">
        <v>3.4157999999999999</v>
      </c>
    </row>
    <row r="783" spans="39:44">
      <c r="AM783" s="556">
        <v>45154</v>
      </c>
      <c r="AN783" s="557">
        <v>5.5449999999999999</v>
      </c>
      <c r="AO783" s="557">
        <v>218100</v>
      </c>
      <c r="AP783" s="557">
        <v>103.18898</v>
      </c>
      <c r="AQ783" s="557">
        <v>572.1828941</v>
      </c>
      <c r="AR783" s="557">
        <v>3.4973999999999998</v>
      </c>
    </row>
    <row r="784" spans="39:44">
      <c r="AM784" s="556">
        <v>45153</v>
      </c>
      <c r="AN784" s="557">
        <v>5.5449999999999999</v>
      </c>
      <c r="AO784" s="557">
        <v>218100</v>
      </c>
      <c r="AP784" s="557">
        <v>103.18898</v>
      </c>
      <c r="AQ784" s="557">
        <v>572.1828941</v>
      </c>
      <c r="AR784" s="557">
        <v>3.4973999999999998</v>
      </c>
    </row>
    <row r="785" spans="39:44">
      <c r="AM785" s="556">
        <v>45152</v>
      </c>
      <c r="AN785" s="557">
        <v>5.5449999999999999</v>
      </c>
      <c r="AO785" s="557">
        <v>218100</v>
      </c>
      <c r="AP785" s="557">
        <v>103.18898</v>
      </c>
      <c r="AQ785" s="557">
        <v>572.1828941</v>
      </c>
      <c r="AR785" s="557">
        <v>3.4973999999999998</v>
      </c>
    </row>
    <row r="786" spans="39:44">
      <c r="AM786" s="556">
        <v>45151</v>
      </c>
      <c r="AN786" s="557">
        <v>5.4749999999999996</v>
      </c>
      <c r="AO786" s="557">
        <v>254500</v>
      </c>
      <c r="AP786" s="557">
        <v>103.18898</v>
      </c>
      <c r="AQ786" s="557">
        <v>564.95966549999991</v>
      </c>
      <c r="AR786" s="557">
        <v>3.4409000000000001</v>
      </c>
    </row>
    <row r="787" spans="39:44">
      <c r="AM787" s="556">
        <v>45150</v>
      </c>
      <c r="AN787" s="557">
        <v>5.39</v>
      </c>
      <c r="AO787" s="557">
        <v>461600</v>
      </c>
      <c r="AP787" s="557">
        <v>103.18898</v>
      </c>
      <c r="AQ787" s="557">
        <v>556.18860219999999</v>
      </c>
      <c r="AR787" s="557">
        <v>3.3906999999999998</v>
      </c>
    </row>
    <row r="788" spans="39:44">
      <c r="AM788" s="556">
        <v>45149</v>
      </c>
      <c r="AN788" s="557">
        <v>5.25</v>
      </c>
      <c r="AO788" s="557">
        <v>214200</v>
      </c>
      <c r="AP788" s="557">
        <v>103.18898</v>
      </c>
      <c r="AQ788" s="557">
        <v>541.74214500000005</v>
      </c>
      <c r="AR788" s="557">
        <v>3.3028</v>
      </c>
    </row>
    <row r="789" spans="39:44">
      <c r="AM789" s="556">
        <v>45148</v>
      </c>
      <c r="AN789" s="557">
        <v>5.2549999999999999</v>
      </c>
      <c r="AO789" s="557">
        <v>187700</v>
      </c>
      <c r="AP789" s="557">
        <v>103.18898</v>
      </c>
      <c r="AQ789" s="557">
        <v>542.25808989999996</v>
      </c>
      <c r="AR789" s="557">
        <v>3.3028</v>
      </c>
    </row>
    <row r="790" spans="39:44">
      <c r="AM790" s="556">
        <v>45147</v>
      </c>
      <c r="AN790" s="557">
        <v>5.1749999999999998</v>
      </c>
      <c r="AO790" s="557">
        <v>298600</v>
      </c>
      <c r="AP790" s="557">
        <v>103.18898</v>
      </c>
      <c r="AQ790" s="557">
        <v>534.00297149999994</v>
      </c>
      <c r="AR790" s="557">
        <v>3.2524999999999999</v>
      </c>
    </row>
    <row r="791" spans="39:44">
      <c r="AM791" s="556">
        <v>45146</v>
      </c>
      <c r="AN791" s="557">
        <v>5.1749999999999998</v>
      </c>
      <c r="AO791" s="557">
        <v>298600</v>
      </c>
      <c r="AP791" s="557">
        <v>103.18898</v>
      </c>
      <c r="AQ791" s="557">
        <v>534.00297149999994</v>
      </c>
      <c r="AR791" s="557">
        <v>3.2524999999999999</v>
      </c>
    </row>
    <row r="792" spans="39:44">
      <c r="AM792" s="556">
        <v>45145</v>
      </c>
      <c r="AN792" s="557">
        <v>5.1749999999999998</v>
      </c>
      <c r="AO792" s="557">
        <v>298600</v>
      </c>
      <c r="AP792" s="557">
        <v>103.18898</v>
      </c>
      <c r="AQ792" s="557">
        <v>534.00297149999994</v>
      </c>
      <c r="AR792" s="557">
        <v>3.2524999999999999</v>
      </c>
    </row>
    <row r="793" spans="39:44">
      <c r="AM793" s="556">
        <v>45144</v>
      </c>
      <c r="AN793" s="557">
        <v>5.42</v>
      </c>
      <c r="AO793" s="557">
        <v>262900</v>
      </c>
      <c r="AP793" s="557">
        <v>103.18898</v>
      </c>
      <c r="AQ793" s="557">
        <v>559.28427160000001</v>
      </c>
      <c r="AR793" s="557">
        <v>3.3906999999999998</v>
      </c>
    </row>
    <row r="794" spans="39:44">
      <c r="AM794" s="556">
        <v>45143</v>
      </c>
      <c r="AN794" s="557">
        <v>5.4349999999999996</v>
      </c>
      <c r="AO794" s="557">
        <v>149000</v>
      </c>
      <c r="AP794" s="557">
        <v>103.18898</v>
      </c>
      <c r="AQ794" s="557">
        <v>560.83210629999996</v>
      </c>
      <c r="AR794" s="557">
        <v>3.4095</v>
      </c>
    </row>
    <row r="795" spans="39:44">
      <c r="AM795" s="556">
        <v>45142</v>
      </c>
      <c r="AN795" s="557">
        <v>5.4749999999999996</v>
      </c>
      <c r="AO795" s="557">
        <v>118600</v>
      </c>
      <c r="AP795" s="557">
        <v>103.18898</v>
      </c>
      <c r="AQ795" s="557">
        <v>564.95966549999991</v>
      </c>
      <c r="AR795" s="557">
        <v>3.4409000000000001</v>
      </c>
    </row>
    <row r="796" spans="39:44">
      <c r="AM796" s="556">
        <v>45141</v>
      </c>
      <c r="AN796" s="557">
        <v>5.46</v>
      </c>
      <c r="AO796" s="557">
        <v>108100</v>
      </c>
      <c r="AP796" s="557">
        <v>103.18898</v>
      </c>
      <c r="AQ796" s="557">
        <v>563.41183079999996</v>
      </c>
      <c r="AR796" s="557">
        <v>3.4157999999999999</v>
      </c>
    </row>
    <row r="797" spans="39:44">
      <c r="AM797" s="556">
        <v>45140</v>
      </c>
      <c r="AN797" s="557">
        <v>5.5750000000000002</v>
      </c>
      <c r="AO797" s="557">
        <v>326600</v>
      </c>
      <c r="AP797" s="557">
        <v>103.18898</v>
      </c>
      <c r="AQ797" s="557">
        <v>575.27856350000002</v>
      </c>
      <c r="AR797" s="557">
        <v>3.5036999999999998</v>
      </c>
    </row>
    <row r="798" spans="39:44">
      <c r="AM798" s="556">
        <v>45139</v>
      </c>
      <c r="AN798" s="557">
        <v>5.5750000000000002</v>
      </c>
      <c r="AO798" s="557">
        <v>326600</v>
      </c>
      <c r="AP798" s="557">
        <v>103.18898</v>
      </c>
      <c r="AQ798" s="557">
        <v>575.27856350000002</v>
      </c>
      <c r="AR798" s="557">
        <v>3.5036999999999998</v>
      </c>
    </row>
    <row r="799" spans="39:44">
      <c r="AM799" s="556">
        <v>45138</v>
      </c>
      <c r="AN799" s="557">
        <v>5.5750000000000002</v>
      </c>
      <c r="AO799" s="557">
        <v>326600</v>
      </c>
      <c r="AP799" s="557">
        <v>103.18898</v>
      </c>
      <c r="AQ799" s="557">
        <v>575.27856350000002</v>
      </c>
      <c r="AR799" s="557">
        <v>3.5036999999999998</v>
      </c>
    </row>
    <row r="800" spans="39:44">
      <c r="AM800" s="556">
        <v>45137</v>
      </c>
      <c r="AN800" s="557">
        <v>5.4749999999999996</v>
      </c>
      <c r="AO800" s="557">
        <v>913600</v>
      </c>
      <c r="AP800" s="557">
        <v>103.18898</v>
      </c>
      <c r="AQ800" s="557">
        <v>564.95966549999991</v>
      </c>
      <c r="AR800" s="557">
        <v>3.4346000000000001</v>
      </c>
    </row>
    <row r="801" spans="39:44">
      <c r="AM801" s="556">
        <v>45136</v>
      </c>
      <c r="AN801" s="557">
        <v>5.7649999999999997</v>
      </c>
      <c r="AO801" s="557">
        <v>813800</v>
      </c>
      <c r="AP801" s="557">
        <v>103.18898</v>
      </c>
      <c r="AQ801" s="557">
        <v>594.88446969999995</v>
      </c>
      <c r="AR801" s="557">
        <v>3.6166999999999998</v>
      </c>
    </row>
    <row r="802" spans="39:44">
      <c r="AM802" s="556">
        <v>45135</v>
      </c>
      <c r="AN802" s="557">
        <v>5.8</v>
      </c>
      <c r="AO802" s="557">
        <v>266500</v>
      </c>
      <c r="AP802" s="557">
        <v>103.18898</v>
      </c>
      <c r="AQ802" s="557">
        <v>598.496084</v>
      </c>
      <c r="AR802" s="557">
        <v>3.6480999999999999</v>
      </c>
    </row>
    <row r="803" spans="39:44">
      <c r="AM803" s="556">
        <v>45134</v>
      </c>
      <c r="AN803" s="557">
        <v>5.64</v>
      </c>
      <c r="AO803" s="557">
        <v>150100</v>
      </c>
      <c r="AP803" s="557">
        <v>103.18898</v>
      </c>
      <c r="AQ803" s="557">
        <v>581.98584719999997</v>
      </c>
      <c r="AR803" s="557">
        <v>3.5350999999999999</v>
      </c>
    </row>
    <row r="804" spans="39:44">
      <c r="AM804" s="556">
        <v>45133</v>
      </c>
      <c r="AN804" s="557">
        <v>5.625</v>
      </c>
      <c r="AO804" s="557">
        <v>266700</v>
      </c>
      <c r="AP804" s="557">
        <v>103.18898</v>
      </c>
      <c r="AQ804" s="557">
        <v>580.43801250000001</v>
      </c>
      <c r="AR804" s="557">
        <v>3.5287999999999999</v>
      </c>
    </row>
    <row r="805" spans="39:44">
      <c r="AM805" s="556">
        <v>45132</v>
      </c>
      <c r="AN805" s="557">
        <v>5.625</v>
      </c>
      <c r="AO805" s="557">
        <v>266700</v>
      </c>
      <c r="AP805" s="557">
        <v>103.18898</v>
      </c>
      <c r="AQ805" s="557">
        <v>580.43801250000001</v>
      </c>
      <c r="AR805" s="557">
        <v>3.5287999999999999</v>
      </c>
    </row>
    <row r="806" spans="39:44">
      <c r="AM806" s="556">
        <v>45131</v>
      </c>
      <c r="AN806" s="557">
        <v>5.625</v>
      </c>
      <c r="AO806" s="557">
        <v>266700</v>
      </c>
      <c r="AP806" s="557">
        <v>103.18898</v>
      </c>
      <c r="AQ806" s="557">
        <v>580.43801250000001</v>
      </c>
      <c r="AR806" s="557">
        <v>3.5287999999999999</v>
      </c>
    </row>
    <row r="807" spans="39:44">
      <c r="AM807" s="556">
        <v>45130</v>
      </c>
      <c r="AN807" s="557">
        <v>5.45</v>
      </c>
      <c r="AO807" s="557">
        <v>262800</v>
      </c>
      <c r="AP807" s="557">
        <v>103.18898</v>
      </c>
      <c r="AQ807" s="557">
        <v>562.37994100000003</v>
      </c>
      <c r="AR807" s="557">
        <v>3.5446</v>
      </c>
    </row>
    <row r="808" spans="39:44">
      <c r="AM808" s="556">
        <v>45129</v>
      </c>
      <c r="AN808" s="557">
        <v>5.375</v>
      </c>
      <c r="AO808" s="557">
        <v>211300</v>
      </c>
      <c r="AP808" s="557">
        <v>103.18898</v>
      </c>
      <c r="AQ808" s="557">
        <v>554.64076750000004</v>
      </c>
      <c r="AR808" s="557">
        <v>3.4735</v>
      </c>
    </row>
    <row r="809" spans="39:44">
      <c r="AM809" s="556">
        <v>45128</v>
      </c>
      <c r="AN809" s="557">
        <v>5.41</v>
      </c>
      <c r="AO809" s="557">
        <v>358700</v>
      </c>
      <c r="AP809" s="557">
        <v>103.18898</v>
      </c>
      <c r="AQ809" s="557">
        <v>558.25238179999997</v>
      </c>
      <c r="AR809" s="557">
        <v>3.48</v>
      </c>
    </row>
    <row r="810" spans="39:44">
      <c r="AM810" s="556">
        <v>45127</v>
      </c>
      <c r="AN810" s="557">
        <v>5.62</v>
      </c>
      <c r="AO810" s="557">
        <v>756300</v>
      </c>
      <c r="AP810" s="557">
        <v>103.18898</v>
      </c>
      <c r="AQ810" s="557">
        <v>579.92206759999999</v>
      </c>
      <c r="AR810" s="557">
        <v>3.6417000000000002</v>
      </c>
    </row>
    <row r="811" spans="39:44">
      <c r="AM811" s="556">
        <v>45126</v>
      </c>
      <c r="AN811" s="557">
        <v>5.5549999999999997</v>
      </c>
      <c r="AO811" s="557">
        <v>1049600</v>
      </c>
      <c r="AP811" s="557">
        <v>103.18898</v>
      </c>
      <c r="AQ811" s="557">
        <v>573.21478389999993</v>
      </c>
      <c r="AR811" s="557">
        <v>3.5899000000000001</v>
      </c>
    </row>
    <row r="812" spans="39:44">
      <c r="AM812" s="556">
        <v>45125</v>
      </c>
      <c r="AN812" s="557">
        <v>5.5549999999999997</v>
      </c>
      <c r="AO812" s="557">
        <v>1049600</v>
      </c>
      <c r="AP812" s="557">
        <v>103.18898</v>
      </c>
      <c r="AQ812" s="557">
        <v>573.21478389999993</v>
      </c>
      <c r="AR812" s="557">
        <v>3.5899000000000001</v>
      </c>
    </row>
    <row r="813" spans="39:44">
      <c r="AM813" s="556">
        <v>45124</v>
      </c>
      <c r="AN813" s="557">
        <v>5.5549999999999997</v>
      </c>
      <c r="AO813" s="557">
        <v>1049600</v>
      </c>
      <c r="AP813" s="557">
        <v>103.18898</v>
      </c>
      <c r="AQ813" s="557">
        <v>573.21478389999993</v>
      </c>
      <c r="AR813" s="557">
        <v>3.5899000000000001</v>
      </c>
    </row>
    <row r="814" spans="39:44">
      <c r="AM814" s="556">
        <v>45123</v>
      </c>
      <c r="AN814" s="557">
        <v>5.2050000000000001</v>
      </c>
      <c r="AO814" s="557">
        <v>489100</v>
      </c>
      <c r="AP814" s="557">
        <v>103.18898</v>
      </c>
      <c r="AQ814" s="557">
        <v>537.09864089999996</v>
      </c>
      <c r="AR814" s="557">
        <v>3.3828999999999998</v>
      </c>
    </row>
    <row r="815" spans="39:44">
      <c r="AM815" s="556">
        <v>45122</v>
      </c>
      <c r="AN815" s="557">
        <v>5.26</v>
      </c>
      <c r="AO815" s="557">
        <v>294900</v>
      </c>
      <c r="AP815" s="557">
        <v>103.18898</v>
      </c>
      <c r="AQ815" s="557">
        <v>542.77403479999998</v>
      </c>
      <c r="AR815" s="557">
        <v>3.4152999999999998</v>
      </c>
    </row>
    <row r="816" spans="39:44">
      <c r="AM816" s="556">
        <v>45121</v>
      </c>
      <c r="AN816" s="557">
        <v>5.2750000000000004</v>
      </c>
      <c r="AO816" s="557">
        <v>228800</v>
      </c>
      <c r="AP816" s="557">
        <v>103.18898</v>
      </c>
      <c r="AQ816" s="557">
        <v>544.32186950000005</v>
      </c>
      <c r="AR816" s="557">
        <v>3.4217</v>
      </c>
    </row>
    <row r="817" spans="39:44">
      <c r="AM817" s="556">
        <v>45120</v>
      </c>
      <c r="AN817" s="557">
        <v>5.2649999999999997</v>
      </c>
      <c r="AO817" s="557">
        <v>330400</v>
      </c>
      <c r="AP817" s="557">
        <v>103.18898</v>
      </c>
      <c r="AQ817" s="557">
        <v>543.2899797</v>
      </c>
      <c r="AR817" s="557">
        <v>3.4217</v>
      </c>
    </row>
    <row r="818" spans="39:44">
      <c r="AM818" s="556">
        <v>45119</v>
      </c>
      <c r="AN818" s="557">
        <v>5.2850000000000001</v>
      </c>
      <c r="AO818" s="557">
        <v>432100</v>
      </c>
      <c r="AP818" s="557">
        <v>103.18898</v>
      </c>
      <c r="AQ818" s="557">
        <v>545.35375929999998</v>
      </c>
      <c r="AR818" s="557">
        <v>3.4152999999999998</v>
      </c>
    </row>
    <row r="819" spans="39:44">
      <c r="AM819" s="556">
        <v>45118</v>
      </c>
      <c r="AN819" s="557">
        <v>5.2850000000000001</v>
      </c>
      <c r="AO819" s="557">
        <v>432100</v>
      </c>
      <c r="AP819" s="557">
        <v>103.18898</v>
      </c>
      <c r="AQ819" s="557">
        <v>545.35375929999998</v>
      </c>
      <c r="AR819" s="557">
        <v>3.4152999999999998</v>
      </c>
    </row>
    <row r="820" spans="39:44">
      <c r="AM820" s="556">
        <v>45117</v>
      </c>
      <c r="AN820" s="557">
        <v>5.2850000000000001</v>
      </c>
      <c r="AO820" s="557">
        <v>432100</v>
      </c>
      <c r="AP820" s="557">
        <v>103.18898</v>
      </c>
      <c r="AQ820" s="557">
        <v>545.35375929999998</v>
      </c>
      <c r="AR820" s="557">
        <v>3.4152999999999998</v>
      </c>
    </row>
    <row r="821" spans="39:44">
      <c r="AM821" s="556">
        <v>45116</v>
      </c>
      <c r="AN821" s="557">
        <v>5.2949999999999999</v>
      </c>
      <c r="AO821" s="557">
        <v>711600</v>
      </c>
      <c r="AP821" s="557">
        <v>103.18898</v>
      </c>
      <c r="AQ821" s="557">
        <v>546.38564910000002</v>
      </c>
      <c r="AR821" s="557">
        <v>3.4281999999999999</v>
      </c>
    </row>
    <row r="822" spans="39:44">
      <c r="AM822" s="556">
        <v>45115</v>
      </c>
      <c r="AN822" s="557">
        <v>5.1449999999999996</v>
      </c>
      <c r="AO822" s="557">
        <v>458200</v>
      </c>
      <c r="AP822" s="557">
        <v>103.18898</v>
      </c>
      <c r="AQ822" s="557">
        <v>530.90730209999992</v>
      </c>
      <c r="AR822" s="557">
        <v>3.3311999999999999</v>
      </c>
    </row>
    <row r="823" spans="39:44">
      <c r="AM823" s="556">
        <v>45114</v>
      </c>
      <c r="AN823" s="557">
        <v>5.09</v>
      </c>
      <c r="AO823" s="557">
        <v>266900</v>
      </c>
      <c r="AP823" s="557">
        <v>103.18898</v>
      </c>
      <c r="AQ823" s="557">
        <v>525.23190820000002</v>
      </c>
      <c r="AR823" s="557">
        <v>3.2988</v>
      </c>
    </row>
    <row r="824" spans="39:44">
      <c r="AM824" s="556">
        <v>45113</v>
      </c>
      <c r="AN824" s="557">
        <v>5.2350000000000003</v>
      </c>
      <c r="AO824" s="557">
        <v>461500</v>
      </c>
      <c r="AP824" s="557">
        <v>103.18898</v>
      </c>
      <c r="AQ824" s="557">
        <v>540.19431029999998</v>
      </c>
      <c r="AR824" s="557">
        <v>3.3894000000000002</v>
      </c>
    </row>
    <row r="825" spans="39:44">
      <c r="AM825" s="556">
        <v>45112</v>
      </c>
      <c r="AN825" s="557">
        <v>5.415</v>
      </c>
      <c r="AO825" s="557">
        <v>734400</v>
      </c>
      <c r="AP825" s="557">
        <v>103.18898</v>
      </c>
      <c r="AQ825" s="557">
        <v>558.76832669999999</v>
      </c>
      <c r="AR825" s="557">
        <v>3.5123000000000002</v>
      </c>
    </row>
    <row r="826" spans="39:44">
      <c r="AM826" s="556">
        <v>45111</v>
      </c>
      <c r="AN826" s="557">
        <v>5.415</v>
      </c>
      <c r="AO826" s="557">
        <v>734400</v>
      </c>
      <c r="AP826" s="557">
        <v>103.18898</v>
      </c>
      <c r="AQ826" s="557">
        <v>558.76832669999999</v>
      </c>
      <c r="AR826" s="557">
        <v>3.5123000000000002</v>
      </c>
    </row>
    <row r="827" spans="39:44">
      <c r="AM827" s="556">
        <v>45110</v>
      </c>
      <c r="AN827" s="557">
        <v>5.415</v>
      </c>
      <c r="AO827" s="557">
        <v>734400</v>
      </c>
      <c r="AP827" s="557">
        <v>103.18898</v>
      </c>
      <c r="AQ827" s="557">
        <v>558.76832669999999</v>
      </c>
      <c r="AR827" s="557">
        <v>3.5123000000000002</v>
      </c>
    </row>
    <row r="828" spans="39:44">
      <c r="AM828" s="556">
        <v>45109</v>
      </c>
      <c r="AN828" s="557">
        <v>4.91</v>
      </c>
      <c r="AO828" s="557">
        <v>560600</v>
      </c>
      <c r="AP828" s="557">
        <v>103.18898</v>
      </c>
      <c r="AQ828" s="557">
        <v>506.65789180000002</v>
      </c>
      <c r="AR828" s="557">
        <v>3.1953</v>
      </c>
    </row>
    <row r="829" spans="39:44">
      <c r="AM829" s="556">
        <v>45108</v>
      </c>
      <c r="AN829" s="557">
        <v>4.91</v>
      </c>
      <c r="AO829" s="557">
        <v>560600</v>
      </c>
      <c r="AP829" s="557">
        <v>103.18898</v>
      </c>
      <c r="AQ829" s="557">
        <v>506.65789180000002</v>
      </c>
      <c r="AR829" s="557">
        <v>3.1953</v>
      </c>
    </row>
    <row r="830" spans="39:44">
      <c r="AM830" s="556">
        <v>45107</v>
      </c>
      <c r="AN830" s="557">
        <v>4.68</v>
      </c>
      <c r="AO830" s="557">
        <v>233900</v>
      </c>
      <c r="AP830" s="557">
        <v>103.18898</v>
      </c>
      <c r="AQ830" s="557">
        <v>482.92442639999996</v>
      </c>
      <c r="AR830" s="557">
        <v>3.0207000000000002</v>
      </c>
    </row>
    <row r="831" spans="39:44">
      <c r="AM831" s="556">
        <v>45106</v>
      </c>
      <c r="AN831" s="557">
        <v>4.6900000000000004</v>
      </c>
      <c r="AO831" s="557">
        <v>197500</v>
      </c>
      <c r="AP831" s="557">
        <v>103.18898</v>
      </c>
      <c r="AQ831" s="557">
        <v>483.95631620000006</v>
      </c>
      <c r="AR831" s="557">
        <v>3.0400999999999998</v>
      </c>
    </row>
    <row r="832" spans="39:44">
      <c r="AM832" s="556">
        <v>45105</v>
      </c>
      <c r="AN832" s="557">
        <v>4.6749999999999998</v>
      </c>
      <c r="AO832" s="557">
        <v>654400</v>
      </c>
      <c r="AP832" s="557">
        <v>103.18898</v>
      </c>
      <c r="AQ832" s="557">
        <v>482.40848149999999</v>
      </c>
      <c r="AR832" s="557">
        <v>3.0335999999999999</v>
      </c>
    </row>
    <row r="833" spans="39:44">
      <c r="AM833" s="556">
        <v>45104</v>
      </c>
      <c r="AN833" s="557">
        <v>4.6749999999999998</v>
      </c>
      <c r="AO833" s="557">
        <v>654400</v>
      </c>
      <c r="AP833" s="557">
        <v>103.18898</v>
      </c>
      <c r="AQ833" s="557">
        <v>482.40848149999999</v>
      </c>
      <c r="AR833" s="557">
        <v>3.0335999999999999</v>
      </c>
    </row>
    <row r="834" spans="39:44">
      <c r="AM834" s="556">
        <v>45103</v>
      </c>
      <c r="AN834" s="557">
        <v>4.6749999999999998</v>
      </c>
      <c r="AO834" s="557">
        <v>654400</v>
      </c>
      <c r="AP834" s="557">
        <v>103.18898</v>
      </c>
      <c r="AQ834" s="557">
        <v>482.40848149999999</v>
      </c>
      <c r="AR834" s="557">
        <v>3.0335999999999999</v>
      </c>
    </row>
    <row r="835" spans="39:44">
      <c r="AM835" s="556">
        <v>45102</v>
      </c>
      <c r="AN835" s="557">
        <v>4.49</v>
      </c>
      <c r="AO835" s="557">
        <v>425900</v>
      </c>
      <c r="AP835" s="557">
        <v>103.18898</v>
      </c>
      <c r="AQ835" s="557">
        <v>463.31852020000002</v>
      </c>
      <c r="AR835" s="557">
        <v>2.9171999999999998</v>
      </c>
    </row>
    <row r="836" spans="39:44">
      <c r="AM836" s="556">
        <v>45101</v>
      </c>
      <c r="AN836" s="557">
        <v>4.3949999999999996</v>
      </c>
      <c r="AO836" s="557">
        <v>238500</v>
      </c>
      <c r="AP836" s="557">
        <v>103.18898</v>
      </c>
      <c r="AQ836" s="557">
        <v>453.51556709999994</v>
      </c>
      <c r="AR836" s="557">
        <v>2.8460999999999999</v>
      </c>
    </row>
    <row r="837" spans="39:44">
      <c r="AM837" s="556">
        <v>45100</v>
      </c>
      <c r="AN837" s="557">
        <v>4.3650000000000002</v>
      </c>
      <c r="AO837" s="557">
        <v>423400</v>
      </c>
      <c r="AP837" s="557">
        <v>103.18898</v>
      </c>
      <c r="AQ837" s="557">
        <v>450.41989770000004</v>
      </c>
      <c r="AR837" s="557">
        <v>2.8331</v>
      </c>
    </row>
    <row r="838" spans="39:44">
      <c r="AM838" s="556">
        <v>45099</v>
      </c>
      <c r="AN838" s="557">
        <v>4.3849999999999998</v>
      </c>
      <c r="AO838" s="557">
        <v>862700</v>
      </c>
      <c r="AP838" s="557">
        <v>103.18898</v>
      </c>
      <c r="AQ838" s="557">
        <v>452.48367729999995</v>
      </c>
      <c r="AR838" s="557">
        <v>2.8460999999999999</v>
      </c>
    </row>
    <row r="839" spans="39:44">
      <c r="AM839" s="556">
        <v>45098</v>
      </c>
      <c r="AN839" s="557">
        <v>4.3600000000000003</v>
      </c>
      <c r="AO839" s="557">
        <v>850100</v>
      </c>
      <c r="AP839" s="557">
        <v>103.18898</v>
      </c>
      <c r="AQ839" s="557">
        <v>449.90395280000001</v>
      </c>
      <c r="AR839" s="557">
        <v>2.8136999999999999</v>
      </c>
    </row>
    <row r="840" spans="39:44">
      <c r="AM840" s="556">
        <v>45097</v>
      </c>
      <c r="AN840" s="557">
        <v>4.3600000000000003</v>
      </c>
      <c r="AO840" s="557">
        <v>850100</v>
      </c>
      <c r="AP840" s="557">
        <v>103.18898</v>
      </c>
      <c r="AQ840" s="557">
        <v>449.90395280000001</v>
      </c>
      <c r="AR840" s="557">
        <v>2.8136999999999999</v>
      </c>
    </row>
    <row r="841" spans="39:44">
      <c r="AM841" s="556">
        <v>45096</v>
      </c>
      <c r="AN841" s="557">
        <v>4.3600000000000003</v>
      </c>
      <c r="AO841" s="557">
        <v>850100</v>
      </c>
      <c r="AP841" s="557">
        <v>103.18898</v>
      </c>
      <c r="AQ841" s="557">
        <v>449.90395280000001</v>
      </c>
      <c r="AR841" s="557">
        <v>2.8136999999999999</v>
      </c>
    </row>
    <row r="842" spans="39:44">
      <c r="AM842" s="556">
        <v>45095</v>
      </c>
      <c r="AN842" s="557">
        <v>4.1550000000000002</v>
      </c>
      <c r="AO842" s="557">
        <v>583300</v>
      </c>
      <c r="AP842" s="557">
        <v>103.18898</v>
      </c>
      <c r="AQ842" s="557">
        <v>428.75021190000001</v>
      </c>
      <c r="AR842" s="557">
        <v>2.6842999999999999</v>
      </c>
    </row>
    <row r="843" spans="39:44">
      <c r="AM843" s="556">
        <v>45094</v>
      </c>
      <c r="AN843" s="557">
        <v>4.0750000000000002</v>
      </c>
      <c r="AO843" s="557">
        <v>345900</v>
      </c>
      <c r="AP843" s="557">
        <v>103.18898</v>
      </c>
      <c r="AQ843" s="557">
        <v>420.4950935</v>
      </c>
      <c r="AR843" s="557">
        <v>2.6455000000000002</v>
      </c>
    </row>
    <row r="844" spans="39:44">
      <c r="AM844" s="556">
        <v>45093</v>
      </c>
      <c r="AN844" s="557">
        <v>4.0250000000000004</v>
      </c>
      <c r="AO844" s="557">
        <v>741200</v>
      </c>
      <c r="AP844" s="557">
        <v>103.18898</v>
      </c>
      <c r="AQ844" s="557">
        <v>415.33564450000006</v>
      </c>
      <c r="AR844" s="557">
        <v>2.6067</v>
      </c>
    </row>
    <row r="845" spans="39:44">
      <c r="AM845" s="556">
        <v>45092</v>
      </c>
      <c r="AN845" s="557">
        <v>3.915</v>
      </c>
      <c r="AO845" s="557">
        <v>267000</v>
      </c>
      <c r="AP845" s="557">
        <v>103.18898</v>
      </c>
      <c r="AQ845" s="557">
        <v>403.98485670000002</v>
      </c>
      <c r="AR845" s="557">
        <v>2.5419999999999998</v>
      </c>
    </row>
    <row r="846" spans="39:44">
      <c r="AM846" s="556">
        <v>45091</v>
      </c>
      <c r="AN846" s="557">
        <v>3.85</v>
      </c>
      <c r="AO846" s="557">
        <v>144300</v>
      </c>
      <c r="AP846" s="557">
        <v>103.18898</v>
      </c>
      <c r="AQ846" s="557">
        <v>397.27757300000002</v>
      </c>
      <c r="AR846" s="557">
        <v>2.4903</v>
      </c>
    </row>
    <row r="847" spans="39:44">
      <c r="AM847" s="556">
        <v>45090</v>
      </c>
      <c r="AN847" s="557">
        <v>3.85</v>
      </c>
      <c r="AO847" s="557">
        <v>144300</v>
      </c>
      <c r="AP847" s="557">
        <v>103.18898</v>
      </c>
      <c r="AQ847" s="557">
        <v>397.27757300000002</v>
      </c>
      <c r="AR847" s="557">
        <v>2.4903</v>
      </c>
    </row>
    <row r="848" spans="39:44">
      <c r="AM848" s="556">
        <v>45089</v>
      </c>
      <c r="AN848" s="557">
        <v>3.85</v>
      </c>
      <c r="AO848" s="557">
        <v>144300</v>
      </c>
      <c r="AP848" s="557">
        <v>103.18898</v>
      </c>
      <c r="AQ848" s="557">
        <v>397.27757300000002</v>
      </c>
      <c r="AR848" s="557">
        <v>2.4903</v>
      </c>
    </row>
    <row r="849" spans="39:44">
      <c r="AM849" s="556">
        <v>45088</v>
      </c>
      <c r="AN849" s="557">
        <v>3.8149999999999999</v>
      </c>
      <c r="AO849" s="557">
        <v>214800</v>
      </c>
      <c r="AP849" s="557">
        <v>103.18898</v>
      </c>
      <c r="AQ849" s="557">
        <v>393.66595869999998</v>
      </c>
      <c r="AR849" s="557">
        <v>2.4708999999999999</v>
      </c>
    </row>
    <row r="850" spans="39:44">
      <c r="AM850" s="556">
        <v>45087</v>
      </c>
      <c r="AN850" s="557">
        <v>3.87</v>
      </c>
      <c r="AO850" s="557">
        <v>249700</v>
      </c>
      <c r="AP850" s="557">
        <v>103.18898</v>
      </c>
      <c r="AQ850" s="557">
        <v>399.34135259999999</v>
      </c>
      <c r="AR850" s="557">
        <v>2.5097</v>
      </c>
    </row>
    <row r="851" spans="39:44">
      <c r="AM851" s="556">
        <v>45086</v>
      </c>
      <c r="AN851" s="557">
        <v>3.88</v>
      </c>
      <c r="AO851" s="557">
        <v>28700</v>
      </c>
      <c r="AP851" s="557">
        <v>103.18898</v>
      </c>
      <c r="AQ851" s="557">
        <v>400.37324239999998</v>
      </c>
      <c r="AR851" s="557">
        <v>2.5032000000000001</v>
      </c>
    </row>
    <row r="852" spans="39:44">
      <c r="AM852" s="556">
        <v>45085</v>
      </c>
      <c r="AN852" s="557">
        <v>3.875</v>
      </c>
      <c r="AO852" s="557">
        <v>127200</v>
      </c>
      <c r="AP852" s="557">
        <v>103.18898</v>
      </c>
      <c r="AQ852" s="557">
        <v>399.85729750000002</v>
      </c>
      <c r="AR852" s="557">
        <v>2.5162</v>
      </c>
    </row>
    <row r="853" spans="39:44">
      <c r="AM853" s="556">
        <v>45084</v>
      </c>
      <c r="AN853" s="557">
        <v>3.83</v>
      </c>
      <c r="AO853" s="557">
        <v>97700</v>
      </c>
      <c r="AP853" s="557">
        <v>103.18898</v>
      </c>
      <c r="AQ853" s="557">
        <v>395.21379339999999</v>
      </c>
      <c r="AR853" s="557">
        <v>2.4838</v>
      </c>
    </row>
    <row r="854" spans="39:44">
      <c r="AM854" s="556">
        <v>45083</v>
      </c>
      <c r="AN854" s="557">
        <v>3.83</v>
      </c>
      <c r="AO854" s="557">
        <v>97700</v>
      </c>
      <c r="AP854" s="557">
        <v>103.18898</v>
      </c>
      <c r="AQ854" s="557">
        <v>395.21379339999999</v>
      </c>
      <c r="AR854" s="557">
        <v>2.4838</v>
      </c>
    </row>
    <row r="855" spans="39:44">
      <c r="AM855" s="556">
        <v>45082</v>
      </c>
      <c r="AN855" s="557">
        <v>3.83</v>
      </c>
      <c r="AO855" s="557">
        <v>97700</v>
      </c>
      <c r="AP855" s="557">
        <v>103.18898</v>
      </c>
      <c r="AQ855" s="557">
        <v>395.21379339999999</v>
      </c>
      <c r="AR855" s="557">
        <v>2.4838</v>
      </c>
    </row>
    <row r="856" spans="39:44">
      <c r="AM856" s="556">
        <v>45081</v>
      </c>
      <c r="AN856" s="557">
        <v>3.8450000000000002</v>
      </c>
      <c r="AO856" s="557">
        <v>526000</v>
      </c>
      <c r="AP856" s="557">
        <v>103.18898</v>
      </c>
      <c r="AQ856" s="557">
        <v>396.7616281</v>
      </c>
      <c r="AR856" s="557">
        <v>2.4903</v>
      </c>
    </row>
    <row r="857" spans="39:44">
      <c r="AM857" s="556">
        <v>45080</v>
      </c>
      <c r="AN857" s="557">
        <v>3.82</v>
      </c>
      <c r="AO857" s="557">
        <v>155200</v>
      </c>
      <c r="AP857" s="557">
        <v>103.18898</v>
      </c>
      <c r="AQ857" s="557">
        <v>394.1819036</v>
      </c>
      <c r="AR857" s="557">
        <v>2.4838</v>
      </c>
    </row>
    <row r="858" spans="39:44">
      <c r="AM858" s="556">
        <v>45079</v>
      </c>
      <c r="AN858" s="557">
        <v>3.855</v>
      </c>
      <c r="AO858" s="557">
        <v>245600</v>
      </c>
      <c r="AP858" s="557">
        <v>103.18898</v>
      </c>
      <c r="AQ858" s="557">
        <v>397.79351789999998</v>
      </c>
      <c r="AR858" s="557">
        <v>2.4967999999999999</v>
      </c>
    </row>
    <row r="859" spans="39:44">
      <c r="AM859" s="556">
        <v>45078</v>
      </c>
      <c r="AN859" s="557">
        <v>3.875</v>
      </c>
      <c r="AO859" s="557">
        <v>62300</v>
      </c>
      <c r="AP859" s="557">
        <v>103.18898</v>
      </c>
      <c r="AQ859" s="557">
        <v>399.85729750000002</v>
      </c>
      <c r="AR859" s="557">
        <v>2.5097</v>
      </c>
    </row>
    <row r="860" spans="39:44">
      <c r="AM860" s="556">
        <v>45077</v>
      </c>
      <c r="AN860" s="557">
        <v>3.9249999999999998</v>
      </c>
      <c r="AO860" s="557">
        <v>130800</v>
      </c>
      <c r="AP860" s="557">
        <v>103.18898</v>
      </c>
      <c r="AQ860" s="557">
        <v>405.01674650000001</v>
      </c>
      <c r="AR860" s="557">
        <v>2.5419999999999998</v>
      </c>
    </row>
    <row r="861" spans="39:44">
      <c r="AM861" s="556">
        <v>45076</v>
      </c>
      <c r="AN861" s="557">
        <v>3.9249999999999998</v>
      </c>
      <c r="AO861" s="557">
        <v>130800</v>
      </c>
      <c r="AP861" s="557">
        <v>103.18898</v>
      </c>
      <c r="AQ861" s="557">
        <v>405.01674650000001</v>
      </c>
      <c r="AR861" s="557">
        <v>2.5419999999999998</v>
      </c>
    </row>
    <row r="862" spans="39:44">
      <c r="AM862" s="556">
        <v>45075</v>
      </c>
      <c r="AN862" s="557">
        <v>3.9249999999999998</v>
      </c>
      <c r="AO862" s="557">
        <v>130800</v>
      </c>
      <c r="AP862" s="557">
        <v>103.18898</v>
      </c>
      <c r="AQ862" s="557">
        <v>405.01674650000001</v>
      </c>
      <c r="AR862" s="557">
        <v>2.5419999999999998</v>
      </c>
    </row>
    <row r="863" spans="39:44">
      <c r="AM863" s="556">
        <v>45074</v>
      </c>
      <c r="AN863" s="557">
        <v>3.8050000000000002</v>
      </c>
      <c r="AO863" s="557">
        <v>20200</v>
      </c>
      <c r="AP863" s="557">
        <v>103.18898</v>
      </c>
      <c r="AQ863" s="557">
        <v>392.63406890000005</v>
      </c>
      <c r="AR863" s="557">
        <v>2.4773999999999998</v>
      </c>
    </row>
    <row r="864" spans="39:44">
      <c r="AM864" s="556">
        <v>45073</v>
      </c>
      <c r="AN864" s="557">
        <v>3.76</v>
      </c>
      <c r="AO864" s="557">
        <v>68000</v>
      </c>
      <c r="AP864" s="557">
        <v>103.18898</v>
      </c>
      <c r="AQ864" s="557">
        <v>387.99056479999996</v>
      </c>
      <c r="AR864" s="557">
        <v>2.4449999999999998</v>
      </c>
    </row>
    <row r="865" spans="39:44">
      <c r="AM865" s="556">
        <v>45072</v>
      </c>
      <c r="AN865" s="557">
        <v>3.7850000000000001</v>
      </c>
      <c r="AO865" s="557">
        <v>18900</v>
      </c>
      <c r="AP865" s="557">
        <v>103.18898</v>
      </c>
      <c r="AQ865" s="557">
        <v>390.57028930000001</v>
      </c>
      <c r="AR865" s="557">
        <v>2.4386000000000001</v>
      </c>
    </row>
    <row r="866" spans="39:44">
      <c r="AM866" s="556">
        <v>45071</v>
      </c>
      <c r="AN866" s="557">
        <v>3.77</v>
      </c>
      <c r="AO866" s="557">
        <v>72400</v>
      </c>
      <c r="AP866" s="557">
        <v>103.18898</v>
      </c>
      <c r="AQ866" s="557">
        <v>389.0224546</v>
      </c>
      <c r="AR866" s="557">
        <v>2.4514999999999998</v>
      </c>
    </row>
    <row r="867" spans="39:44">
      <c r="AM867" s="556">
        <v>45070</v>
      </c>
      <c r="AN867" s="557">
        <v>3.77</v>
      </c>
      <c r="AO867" s="557">
        <v>72400</v>
      </c>
      <c r="AP867" s="557">
        <v>103.18898</v>
      </c>
      <c r="AQ867" s="557">
        <v>389.0224546</v>
      </c>
      <c r="AR867" s="557">
        <v>2.4514999999999998</v>
      </c>
    </row>
    <row r="868" spans="39:44">
      <c r="AM868" s="556">
        <v>45069</v>
      </c>
      <c r="AN868" s="557">
        <v>3.77</v>
      </c>
      <c r="AO868" s="557">
        <v>72400</v>
      </c>
      <c r="AP868" s="557">
        <v>103.18898</v>
      </c>
      <c r="AQ868" s="557">
        <v>389.0224546</v>
      </c>
      <c r="AR868" s="557">
        <v>2.4514999999999998</v>
      </c>
    </row>
    <row r="869" spans="39:44">
      <c r="AM869" s="556">
        <v>45068</v>
      </c>
      <c r="AN869" s="557">
        <v>3.77</v>
      </c>
      <c r="AO869" s="557">
        <v>72400</v>
      </c>
      <c r="AP869" s="557">
        <v>103.18898</v>
      </c>
      <c r="AQ869" s="557">
        <v>389.0224546</v>
      </c>
      <c r="AR869" s="557">
        <v>2.4514999999999998</v>
      </c>
    </row>
    <row r="870" spans="39:44">
      <c r="AM870" s="556">
        <v>45067</v>
      </c>
      <c r="AN870" s="557">
        <v>3.7349999999999999</v>
      </c>
      <c r="AO870" s="557">
        <v>101400</v>
      </c>
      <c r="AP870" s="557">
        <v>103.18898</v>
      </c>
      <c r="AQ870" s="557">
        <v>385.41084030000002</v>
      </c>
      <c r="AR870" s="557">
        <v>2.4190999999999998</v>
      </c>
    </row>
    <row r="871" spans="39:44">
      <c r="AM871" s="556">
        <v>45066</v>
      </c>
      <c r="AN871" s="557">
        <v>3.7749999999999999</v>
      </c>
      <c r="AO871" s="557">
        <v>122100</v>
      </c>
      <c r="AP871" s="557">
        <v>103.18898</v>
      </c>
      <c r="AQ871" s="557">
        <v>389.53839949999997</v>
      </c>
      <c r="AR871" s="557">
        <v>2.4321000000000002</v>
      </c>
    </row>
    <row r="872" spans="39:44">
      <c r="AM872" s="556">
        <v>45065</v>
      </c>
      <c r="AN872" s="557">
        <v>3.7549999999999999</v>
      </c>
      <c r="AO872" s="557">
        <v>49500</v>
      </c>
      <c r="AP872" s="557">
        <v>103.18898</v>
      </c>
      <c r="AQ872" s="557">
        <v>387.47461989999999</v>
      </c>
      <c r="AR872" s="557">
        <v>2.4321000000000002</v>
      </c>
    </row>
    <row r="873" spans="39:44">
      <c r="AM873" s="556">
        <v>45064</v>
      </c>
      <c r="AN873" s="557">
        <v>3.7450000000000001</v>
      </c>
      <c r="AO873" s="557">
        <v>170500</v>
      </c>
      <c r="AP873" s="557">
        <v>103.18898</v>
      </c>
      <c r="AQ873" s="557">
        <v>386.44273010000001</v>
      </c>
      <c r="AR873" s="557">
        <v>2.4256000000000002</v>
      </c>
    </row>
    <row r="874" spans="39:44">
      <c r="AM874" s="556">
        <v>45063</v>
      </c>
      <c r="AN874" s="557">
        <v>3.67</v>
      </c>
      <c r="AO874" s="557">
        <v>100000</v>
      </c>
      <c r="AP874" s="557">
        <v>103.18898</v>
      </c>
      <c r="AQ874" s="557">
        <v>378.70355660000001</v>
      </c>
      <c r="AR874" s="557">
        <v>2.3803000000000001</v>
      </c>
    </row>
    <row r="875" spans="39:44">
      <c r="AM875" s="556">
        <v>45062</v>
      </c>
      <c r="AN875" s="557">
        <v>3.67</v>
      </c>
      <c r="AO875" s="557">
        <v>100000</v>
      </c>
      <c r="AP875" s="557">
        <v>103.18898</v>
      </c>
      <c r="AQ875" s="557">
        <v>378.70355660000001</v>
      </c>
      <c r="AR875" s="557">
        <v>2.3803000000000001</v>
      </c>
    </row>
    <row r="876" spans="39:44">
      <c r="AM876" s="556">
        <v>45061</v>
      </c>
      <c r="AN876" s="557">
        <v>3.67</v>
      </c>
      <c r="AO876" s="557">
        <v>100000</v>
      </c>
      <c r="AP876" s="557">
        <v>103.18898</v>
      </c>
      <c r="AQ876" s="557">
        <v>378.70355660000001</v>
      </c>
      <c r="AR876" s="557">
        <v>2.3803000000000001</v>
      </c>
    </row>
    <row r="877" spans="39:44">
      <c r="AM877" s="556">
        <v>45060</v>
      </c>
      <c r="AN877" s="557">
        <v>3.67</v>
      </c>
      <c r="AO877" s="557">
        <v>100000</v>
      </c>
      <c r="AP877" s="557">
        <v>103.18898</v>
      </c>
      <c r="AQ877" s="557">
        <v>378.70355660000001</v>
      </c>
      <c r="AR877" s="557">
        <v>2.3803000000000001</v>
      </c>
    </row>
    <row r="878" spans="39:44">
      <c r="AM878" s="556">
        <v>45059</v>
      </c>
      <c r="AN878" s="557">
        <v>3.645</v>
      </c>
      <c r="AO878" s="557">
        <v>79400</v>
      </c>
      <c r="AP878" s="557">
        <v>103.18898</v>
      </c>
      <c r="AQ878" s="557">
        <v>376.12383210000002</v>
      </c>
      <c r="AR878" s="557">
        <v>2.3609</v>
      </c>
    </row>
    <row r="879" spans="39:44">
      <c r="AM879" s="556">
        <v>45058</v>
      </c>
      <c r="AN879" s="557">
        <v>3.68</v>
      </c>
      <c r="AO879" s="557">
        <v>90100</v>
      </c>
      <c r="AP879" s="557">
        <v>103.18898</v>
      </c>
      <c r="AQ879" s="557">
        <v>379.7354464</v>
      </c>
      <c r="AR879" s="557">
        <v>2.3868</v>
      </c>
    </row>
    <row r="880" spans="39:44">
      <c r="AM880" s="556">
        <v>45057</v>
      </c>
      <c r="AN880" s="557">
        <v>3.68</v>
      </c>
      <c r="AO880" s="557">
        <v>150600</v>
      </c>
      <c r="AP880" s="557">
        <v>103.18898</v>
      </c>
      <c r="AQ880" s="557">
        <v>379.7354464</v>
      </c>
      <c r="AR880" s="557">
        <v>2.3609</v>
      </c>
    </row>
    <row r="881" spans="39:44">
      <c r="AM881" s="556">
        <v>45056</v>
      </c>
      <c r="AN881" s="557">
        <v>3.7949999999999999</v>
      </c>
      <c r="AO881" s="557">
        <v>161500</v>
      </c>
      <c r="AP881" s="557">
        <v>103.18898</v>
      </c>
      <c r="AQ881" s="557">
        <v>391.6021791</v>
      </c>
      <c r="AR881" s="557">
        <v>2.4580000000000002</v>
      </c>
    </row>
    <row r="882" spans="39:44">
      <c r="AM882" s="556">
        <v>45055</v>
      </c>
      <c r="AN882" s="557">
        <v>3.7949999999999999</v>
      </c>
      <c r="AO882" s="557">
        <v>161500</v>
      </c>
      <c r="AP882" s="557">
        <v>103.18898</v>
      </c>
      <c r="AQ882" s="557">
        <v>391.6021791</v>
      </c>
      <c r="AR882" s="557">
        <v>2.4580000000000002</v>
      </c>
    </row>
    <row r="883" spans="39:44">
      <c r="AM883" s="556">
        <v>45054</v>
      </c>
      <c r="AN883" s="557">
        <v>3.7949999999999999</v>
      </c>
      <c r="AO883" s="557">
        <v>161500</v>
      </c>
      <c r="AP883" s="557">
        <v>103.18898</v>
      </c>
      <c r="AQ883" s="557">
        <v>391.6021791</v>
      </c>
      <c r="AR883" s="557">
        <v>2.4580000000000002</v>
      </c>
    </row>
    <row r="884" spans="39:44">
      <c r="AM884" s="556">
        <v>45053</v>
      </c>
      <c r="AN884" s="557">
        <v>3.7850000000000001</v>
      </c>
      <c r="AO884" s="557">
        <v>66800</v>
      </c>
      <c r="AP884" s="557">
        <v>103.18898</v>
      </c>
      <c r="AQ884" s="557">
        <v>390.57028930000001</v>
      </c>
      <c r="AR884" s="557">
        <v>2.4449999999999998</v>
      </c>
    </row>
    <row r="885" spans="39:44">
      <c r="AM885" s="556">
        <v>45052</v>
      </c>
      <c r="AN885" s="557">
        <v>3.81</v>
      </c>
      <c r="AO885" s="557">
        <v>208500</v>
      </c>
      <c r="AP885" s="557">
        <v>103.18898</v>
      </c>
      <c r="AQ885" s="557">
        <v>393.15001380000001</v>
      </c>
      <c r="AR885" s="557">
        <v>2.4708999999999999</v>
      </c>
    </row>
    <row r="886" spans="39:44">
      <c r="AM886" s="556">
        <v>45051</v>
      </c>
      <c r="AN886" s="557">
        <v>3.7250000000000001</v>
      </c>
      <c r="AO886" s="557">
        <v>85700</v>
      </c>
      <c r="AP886" s="557">
        <v>103.18898</v>
      </c>
      <c r="AQ886" s="557">
        <v>384.37895050000003</v>
      </c>
      <c r="AR886" s="557">
        <v>2.4256000000000002</v>
      </c>
    </row>
    <row r="887" spans="39:44">
      <c r="AM887" s="556">
        <v>45050</v>
      </c>
      <c r="AN887" s="557">
        <v>3.68</v>
      </c>
      <c r="AO887" s="557">
        <v>132500</v>
      </c>
      <c r="AP887" s="557">
        <v>103.18898</v>
      </c>
      <c r="AQ887" s="557">
        <v>379.7354464</v>
      </c>
      <c r="AR887" s="557">
        <v>2.3868</v>
      </c>
    </row>
    <row r="888" spans="39:44">
      <c r="AM888" s="556">
        <v>45049</v>
      </c>
      <c r="AN888" s="557">
        <v>3.895</v>
      </c>
      <c r="AO888" s="557">
        <v>32700</v>
      </c>
      <c r="AP888" s="557">
        <v>103.18898</v>
      </c>
      <c r="AQ888" s="557">
        <v>401.92107709999999</v>
      </c>
      <c r="AR888" s="557">
        <v>2.5226000000000002</v>
      </c>
    </row>
    <row r="889" spans="39:44">
      <c r="AM889" s="556">
        <v>45048</v>
      </c>
      <c r="AN889" s="557">
        <v>3.895</v>
      </c>
      <c r="AO889" s="557">
        <v>32700</v>
      </c>
      <c r="AP889" s="557">
        <v>103.18898</v>
      </c>
      <c r="AQ889" s="557">
        <v>401.92107709999999</v>
      </c>
      <c r="AR889" s="557">
        <v>2.5226000000000002</v>
      </c>
    </row>
    <row r="890" spans="39:44">
      <c r="AM890" s="556">
        <v>45047</v>
      </c>
      <c r="AN890" s="557">
        <v>3.895</v>
      </c>
      <c r="AO890" s="557">
        <v>32700</v>
      </c>
      <c r="AP890" s="557">
        <v>103.18898</v>
      </c>
      <c r="AQ890" s="557">
        <v>401.92107709999999</v>
      </c>
      <c r="AR890" s="557">
        <v>2.5226000000000002</v>
      </c>
    </row>
    <row r="891" spans="39:44">
      <c r="AM891" s="556">
        <v>45046</v>
      </c>
      <c r="AN891" s="557">
        <v>3.895</v>
      </c>
      <c r="AO891" s="557">
        <v>32700</v>
      </c>
      <c r="AP891" s="557">
        <v>103.18898</v>
      </c>
      <c r="AQ891" s="557">
        <v>401.92107709999999</v>
      </c>
      <c r="AR891" s="557">
        <v>2.5226000000000002</v>
      </c>
    </row>
    <row r="892" spans="39:44">
      <c r="AM892" s="556">
        <v>45045</v>
      </c>
      <c r="AN892" s="557">
        <v>3.9350000000000001</v>
      </c>
      <c r="AO892" s="557">
        <v>27200</v>
      </c>
      <c r="AP892" s="557">
        <v>103.18898</v>
      </c>
      <c r="AQ892" s="557">
        <v>406.0486363</v>
      </c>
      <c r="AR892" s="557">
        <v>2.5550000000000002</v>
      </c>
    </row>
    <row r="893" spans="39:44">
      <c r="AM893" s="556">
        <v>45044</v>
      </c>
      <c r="AN893" s="557">
        <v>3.91</v>
      </c>
      <c r="AO893" s="557">
        <v>34900</v>
      </c>
      <c r="AP893" s="557">
        <v>103.18898</v>
      </c>
      <c r="AQ893" s="557">
        <v>403.4689118</v>
      </c>
      <c r="AR893" s="557">
        <v>2.5356000000000001</v>
      </c>
    </row>
    <row r="894" spans="39:44">
      <c r="AM894" s="556">
        <v>45043</v>
      </c>
      <c r="AN894" s="557">
        <v>3.8450000000000002</v>
      </c>
      <c r="AO894" s="557">
        <v>114700</v>
      </c>
      <c r="AP894" s="557">
        <v>103.18898</v>
      </c>
      <c r="AQ894" s="557">
        <v>396.7616281</v>
      </c>
      <c r="AR894" s="557">
        <v>2.4903</v>
      </c>
    </row>
    <row r="895" spans="39:44">
      <c r="AM895" s="556">
        <v>45042</v>
      </c>
      <c r="AN895" s="557">
        <v>3.895</v>
      </c>
      <c r="AO895" s="557">
        <v>100000</v>
      </c>
      <c r="AP895" s="557">
        <v>103.18898</v>
      </c>
      <c r="AQ895" s="557">
        <v>401.92107709999999</v>
      </c>
      <c r="AR895" s="557">
        <v>2.5032000000000001</v>
      </c>
    </row>
    <row r="896" spans="39:44">
      <c r="AM896" s="556">
        <v>45041</v>
      </c>
      <c r="AN896" s="557">
        <v>3.895</v>
      </c>
      <c r="AO896" s="557">
        <v>100000</v>
      </c>
      <c r="AP896" s="557">
        <v>103.18898</v>
      </c>
      <c r="AQ896" s="557">
        <v>401.92107709999999</v>
      </c>
      <c r="AR896" s="557">
        <v>2.5032000000000001</v>
      </c>
    </row>
    <row r="897" spans="39:44">
      <c r="AM897" s="556">
        <v>45040</v>
      </c>
      <c r="AN897" s="557">
        <v>3.895</v>
      </c>
      <c r="AO897" s="557">
        <v>100000</v>
      </c>
      <c r="AP897" s="557">
        <v>103.18898</v>
      </c>
      <c r="AQ897" s="557">
        <v>401.92107709999999</v>
      </c>
      <c r="AR897" s="557">
        <v>2.5032000000000001</v>
      </c>
    </row>
    <row r="898" spans="39:44">
      <c r="AM898" s="556">
        <v>45039</v>
      </c>
      <c r="AN898" s="557">
        <v>3.9849999999999999</v>
      </c>
      <c r="AO898" s="557">
        <v>16700</v>
      </c>
      <c r="AP898" s="557">
        <v>103.18898</v>
      </c>
      <c r="AQ898" s="557">
        <v>411.20808529999999</v>
      </c>
      <c r="AR898" s="557">
        <v>2.9287000000000001</v>
      </c>
    </row>
    <row r="899" spans="39:44">
      <c r="AM899" s="556">
        <v>45038</v>
      </c>
      <c r="AN899" s="557">
        <v>3.9049999999999998</v>
      </c>
      <c r="AO899" s="557">
        <v>64700</v>
      </c>
      <c r="AP899" s="557">
        <v>103.18898</v>
      </c>
      <c r="AQ899" s="557">
        <v>402.95296689999998</v>
      </c>
      <c r="AR899" s="557">
        <v>2.8774000000000002</v>
      </c>
    </row>
    <row r="900" spans="39:44">
      <c r="AM900" s="556">
        <v>45037</v>
      </c>
      <c r="AN900" s="557">
        <v>3.97</v>
      </c>
      <c r="AO900" s="557">
        <v>114700</v>
      </c>
      <c r="AP900" s="557">
        <v>103.18898</v>
      </c>
      <c r="AQ900" s="557">
        <v>409.66025060000004</v>
      </c>
      <c r="AR900" s="557">
        <v>2.9140999999999999</v>
      </c>
    </row>
    <row r="901" spans="39:44">
      <c r="AM901" s="556">
        <v>45036</v>
      </c>
      <c r="AN901" s="557">
        <v>3.9649999999999999</v>
      </c>
      <c r="AO901" s="557">
        <v>121300</v>
      </c>
      <c r="AP901" s="557">
        <v>103.18898</v>
      </c>
      <c r="AQ901" s="557">
        <v>409.14430569999996</v>
      </c>
      <c r="AR901" s="557">
        <v>2.9140999999999999</v>
      </c>
    </row>
    <row r="902" spans="39:44">
      <c r="AM902" s="556">
        <v>45035</v>
      </c>
      <c r="AN902" s="557">
        <v>3.9750000000000001</v>
      </c>
      <c r="AO902" s="557">
        <v>162000</v>
      </c>
      <c r="AP902" s="557">
        <v>103.18898</v>
      </c>
      <c r="AQ902" s="557">
        <v>410.17619550000001</v>
      </c>
      <c r="AR902" s="557">
        <v>2.9214000000000002</v>
      </c>
    </row>
    <row r="903" spans="39:44">
      <c r="AM903" s="556">
        <v>45034</v>
      </c>
      <c r="AN903" s="557">
        <v>3.9750000000000001</v>
      </c>
      <c r="AO903" s="557">
        <v>162000</v>
      </c>
      <c r="AP903" s="557">
        <v>103.18898</v>
      </c>
      <c r="AQ903" s="557">
        <v>410.17619550000001</v>
      </c>
      <c r="AR903" s="557">
        <v>2.9214000000000002</v>
      </c>
    </row>
    <row r="904" spans="39:44">
      <c r="AM904" s="556">
        <v>45033</v>
      </c>
      <c r="AN904" s="557">
        <v>3.9750000000000001</v>
      </c>
      <c r="AO904" s="557">
        <v>162000</v>
      </c>
      <c r="AP904" s="557">
        <v>103.18898</v>
      </c>
      <c r="AQ904" s="557">
        <v>410.17619550000001</v>
      </c>
      <c r="AR904" s="557">
        <v>2.9214000000000002</v>
      </c>
    </row>
    <row r="905" spans="39:44">
      <c r="AM905" s="556">
        <v>45032</v>
      </c>
      <c r="AN905" s="557">
        <v>3.9550000000000001</v>
      </c>
      <c r="AO905" s="557">
        <v>268800</v>
      </c>
      <c r="AP905" s="557">
        <v>103.18898</v>
      </c>
      <c r="AQ905" s="557">
        <v>408.11241590000003</v>
      </c>
      <c r="AR905" s="557">
        <v>2.9214000000000002</v>
      </c>
    </row>
    <row r="906" spans="39:44">
      <c r="AM906" s="556">
        <v>45031</v>
      </c>
      <c r="AN906" s="557">
        <v>4.0599999999999996</v>
      </c>
      <c r="AO906" s="557">
        <v>276700</v>
      </c>
      <c r="AP906" s="557">
        <v>103.18898</v>
      </c>
      <c r="AQ906" s="557">
        <v>418.94725879999999</v>
      </c>
      <c r="AR906" s="557">
        <v>2.9432999999999998</v>
      </c>
    </row>
    <row r="907" spans="39:44">
      <c r="AM907" s="556">
        <v>45030</v>
      </c>
      <c r="AN907" s="557">
        <v>4.1500000000000004</v>
      </c>
      <c r="AO907" s="557">
        <v>136300</v>
      </c>
      <c r="AP907" s="557">
        <v>103.18898</v>
      </c>
      <c r="AQ907" s="557">
        <v>428.23426700000005</v>
      </c>
      <c r="AR907" s="557">
        <v>3.0238999999999998</v>
      </c>
    </row>
    <row r="908" spans="39:44">
      <c r="AM908" s="556">
        <v>45029</v>
      </c>
      <c r="AN908" s="557">
        <v>4.09</v>
      </c>
      <c r="AO908" s="557">
        <v>95600</v>
      </c>
      <c r="AP908" s="557">
        <v>103.18898</v>
      </c>
      <c r="AQ908" s="557">
        <v>422.04292820000001</v>
      </c>
      <c r="AR908" s="557">
        <v>3.0019</v>
      </c>
    </row>
    <row r="909" spans="39:44">
      <c r="AM909" s="556">
        <v>45028</v>
      </c>
      <c r="AN909" s="557">
        <v>4.3</v>
      </c>
      <c r="AO909" s="557">
        <v>74600</v>
      </c>
      <c r="AP909" s="557">
        <v>103.18898</v>
      </c>
      <c r="AQ909" s="557">
        <v>443.71261399999997</v>
      </c>
      <c r="AR909" s="557">
        <v>3.1337000000000002</v>
      </c>
    </row>
    <row r="910" spans="39:44">
      <c r="AM910" s="556">
        <v>45027</v>
      </c>
      <c r="AN910" s="557">
        <v>4.3</v>
      </c>
      <c r="AO910" s="557">
        <v>74600</v>
      </c>
      <c r="AP910" s="557">
        <v>103.18898</v>
      </c>
      <c r="AQ910" s="557">
        <v>443.71261399999997</v>
      </c>
      <c r="AR910" s="557">
        <v>3.1337000000000002</v>
      </c>
    </row>
    <row r="911" spans="39:44">
      <c r="AM911" s="556">
        <v>45026</v>
      </c>
      <c r="AN911" s="557">
        <v>4.3</v>
      </c>
      <c r="AO911" s="557">
        <v>74600</v>
      </c>
      <c r="AP911" s="557">
        <v>103.18898</v>
      </c>
      <c r="AQ911" s="557">
        <v>443.71261399999997</v>
      </c>
      <c r="AR911" s="557">
        <v>3.1337000000000002</v>
      </c>
    </row>
    <row r="912" spans="39:44">
      <c r="AM912" s="556">
        <v>45025</v>
      </c>
      <c r="AN912" s="557">
        <v>4.12</v>
      </c>
      <c r="AO912" s="557">
        <v>68100</v>
      </c>
      <c r="AP912" s="557">
        <v>103.18898</v>
      </c>
      <c r="AQ912" s="557">
        <v>425.13859760000003</v>
      </c>
      <c r="AR912" s="557">
        <v>3.0312000000000001</v>
      </c>
    </row>
    <row r="913" spans="39:44">
      <c r="AM913" s="556">
        <v>45024</v>
      </c>
      <c r="AN913" s="557">
        <v>4.1050000000000004</v>
      </c>
      <c r="AO913" s="557">
        <v>50700</v>
      </c>
      <c r="AP913" s="557">
        <v>103.18898</v>
      </c>
      <c r="AQ913" s="557">
        <v>423.59076290000007</v>
      </c>
      <c r="AR913" s="557">
        <v>3.0091999999999999</v>
      </c>
    </row>
    <row r="914" spans="39:44">
      <c r="AM914" s="556">
        <v>45023</v>
      </c>
      <c r="AN914" s="557">
        <v>4.1849999999999996</v>
      </c>
      <c r="AO914" s="557">
        <v>1900</v>
      </c>
      <c r="AP914" s="557">
        <v>103.18898</v>
      </c>
      <c r="AQ914" s="557">
        <v>431.84588129999997</v>
      </c>
      <c r="AR914" s="557">
        <v>3.0678000000000001</v>
      </c>
    </row>
    <row r="915" spans="39:44">
      <c r="AM915" s="556">
        <v>45022</v>
      </c>
      <c r="AN915" s="557">
        <v>4.1749999999999998</v>
      </c>
      <c r="AO915" s="557">
        <v>500</v>
      </c>
      <c r="AP915" s="557">
        <v>103.18898</v>
      </c>
      <c r="AQ915" s="557">
        <v>430.81399149999999</v>
      </c>
      <c r="AR915" s="557">
        <v>3.0750999999999999</v>
      </c>
    </row>
    <row r="916" spans="39:44">
      <c r="AM916" s="556">
        <v>45021</v>
      </c>
      <c r="AN916" s="557">
        <v>4.18</v>
      </c>
      <c r="AO916" s="557">
        <v>40300</v>
      </c>
      <c r="AP916" s="557">
        <v>103.18898</v>
      </c>
      <c r="AQ916" s="557">
        <v>431.32993639999995</v>
      </c>
      <c r="AR916" s="557">
        <v>3.0897999999999999</v>
      </c>
    </row>
    <row r="917" spans="39:44">
      <c r="AM917" s="556">
        <v>45020</v>
      </c>
      <c r="AN917" s="557">
        <v>4.18</v>
      </c>
      <c r="AO917" s="557">
        <v>40300</v>
      </c>
      <c r="AP917" s="557">
        <v>103.18898</v>
      </c>
      <c r="AQ917" s="557">
        <v>431.32993639999995</v>
      </c>
      <c r="AR917" s="557">
        <v>3.0897999999999999</v>
      </c>
    </row>
    <row r="918" spans="39:44">
      <c r="AM918" s="556">
        <v>45019</v>
      </c>
      <c r="AN918" s="557">
        <v>4.18</v>
      </c>
      <c r="AO918" s="557">
        <v>40300</v>
      </c>
      <c r="AP918" s="557">
        <v>103.18898</v>
      </c>
      <c r="AQ918" s="557">
        <v>431.32993639999995</v>
      </c>
      <c r="AR918" s="557">
        <v>3.0897999999999999</v>
      </c>
    </row>
    <row r="919" spans="39:44">
      <c r="AM919" s="556">
        <v>45018</v>
      </c>
      <c r="AN919" s="557">
        <v>4.2</v>
      </c>
      <c r="AO919" s="557">
        <v>57000</v>
      </c>
      <c r="AP919" s="557">
        <v>103.18898</v>
      </c>
      <c r="AQ919" s="557">
        <v>433.39371600000004</v>
      </c>
      <c r="AR919" s="557">
        <v>3.0971000000000002</v>
      </c>
    </row>
    <row r="920" spans="39:44">
      <c r="AM920" s="556">
        <v>45017</v>
      </c>
      <c r="AN920" s="557">
        <v>4.22</v>
      </c>
      <c r="AO920" s="557">
        <v>11400</v>
      </c>
      <c r="AP920" s="557">
        <v>103.18898</v>
      </c>
      <c r="AQ920" s="557">
        <v>435.45749559999996</v>
      </c>
      <c r="AR920" s="557">
        <v>3.1044</v>
      </c>
    </row>
    <row r="921" spans="39:44">
      <c r="AM921" s="556">
        <v>45016</v>
      </c>
      <c r="AN921" s="557">
        <v>4.16</v>
      </c>
      <c r="AO921" s="557">
        <v>41700</v>
      </c>
      <c r="AP921" s="557">
        <v>103.18898</v>
      </c>
      <c r="AQ921" s="557">
        <v>429.26615680000003</v>
      </c>
      <c r="AR921" s="557">
        <v>3.0457999999999998</v>
      </c>
    </row>
    <row r="922" spans="39:44">
      <c r="AM922" s="556">
        <v>45015</v>
      </c>
      <c r="AN922" s="557">
        <v>4.0949999999999998</v>
      </c>
      <c r="AO922" s="557">
        <v>59200</v>
      </c>
      <c r="AP922" s="557">
        <v>103.18898</v>
      </c>
      <c r="AQ922" s="557">
        <v>422.55887309999997</v>
      </c>
      <c r="AR922" s="557">
        <v>3.0019</v>
      </c>
    </row>
    <row r="923" spans="39:44">
      <c r="AM923" s="556">
        <v>45014</v>
      </c>
      <c r="AN923" s="557">
        <v>4.25</v>
      </c>
      <c r="AO923" s="557">
        <v>5100</v>
      </c>
      <c r="AP923" s="557">
        <v>103.18898</v>
      </c>
      <c r="AQ923" s="557">
        <v>438.55316499999998</v>
      </c>
      <c r="AR923" s="557">
        <v>3.141</v>
      </c>
    </row>
    <row r="924" spans="39:44">
      <c r="AM924" s="556">
        <v>45013</v>
      </c>
      <c r="AN924" s="557">
        <v>4.25</v>
      </c>
      <c r="AO924" s="557">
        <v>5100</v>
      </c>
      <c r="AP924" s="557">
        <v>103.18898</v>
      </c>
      <c r="AQ924" s="557">
        <v>438.55316499999998</v>
      </c>
      <c r="AR924" s="557">
        <v>3.141</v>
      </c>
    </row>
    <row r="925" spans="39:44">
      <c r="AM925" s="556">
        <v>45012</v>
      </c>
      <c r="AN925" s="557">
        <v>4.25</v>
      </c>
      <c r="AO925" s="557">
        <v>5100</v>
      </c>
      <c r="AP925" s="557">
        <v>103.18898</v>
      </c>
      <c r="AQ925" s="557">
        <v>438.55316499999998</v>
      </c>
      <c r="AR925" s="557">
        <v>3.141</v>
      </c>
    </row>
    <row r="926" spans="39:44">
      <c r="AM926" s="556">
        <v>45011</v>
      </c>
      <c r="AN926" s="557">
        <v>4.24</v>
      </c>
      <c r="AO926" s="557">
        <v>44600</v>
      </c>
      <c r="AP926" s="557">
        <v>103.18898</v>
      </c>
      <c r="AQ926" s="557">
        <v>437.52127520000005</v>
      </c>
      <c r="AR926" s="557">
        <v>3.0678000000000001</v>
      </c>
    </row>
    <row r="927" spans="39:44">
      <c r="AM927" s="556">
        <v>45010</v>
      </c>
      <c r="AN927" s="557">
        <v>4.32</v>
      </c>
      <c r="AO927" s="557">
        <v>4000</v>
      </c>
      <c r="AP927" s="557">
        <v>103.18898</v>
      </c>
      <c r="AQ927" s="557">
        <v>445.77639360000001</v>
      </c>
      <c r="AR927" s="557">
        <v>3.2216</v>
      </c>
    </row>
    <row r="928" spans="39:44">
      <c r="AM928" s="556">
        <v>45009</v>
      </c>
      <c r="AN928" s="557">
        <v>4.28</v>
      </c>
      <c r="AO928" s="557">
        <v>8000</v>
      </c>
      <c r="AP928" s="557">
        <v>103.18898</v>
      </c>
      <c r="AQ928" s="557">
        <v>441.64883440000006</v>
      </c>
      <c r="AR928" s="557">
        <v>3.1263999999999998</v>
      </c>
    </row>
    <row r="929" spans="39:44">
      <c r="AM929" s="556">
        <v>45008</v>
      </c>
      <c r="AN929" s="557">
        <v>4.1950000000000003</v>
      </c>
      <c r="AO929" s="557">
        <v>47800</v>
      </c>
      <c r="AP929" s="557">
        <v>103.18898</v>
      </c>
      <c r="AQ929" s="557">
        <v>432.87777110000002</v>
      </c>
      <c r="AR929" s="557">
        <v>3.0897999999999999</v>
      </c>
    </row>
    <row r="930" spans="39:44">
      <c r="AM930" s="556">
        <v>45007</v>
      </c>
      <c r="AN930" s="557">
        <v>4.1749999999999998</v>
      </c>
      <c r="AO930" s="557">
        <v>46000</v>
      </c>
      <c r="AP930" s="557">
        <v>103.18898</v>
      </c>
      <c r="AQ930" s="557">
        <v>430.81399149999999</v>
      </c>
      <c r="AR930" s="557">
        <v>3.0750999999999999</v>
      </c>
    </row>
    <row r="931" spans="39:44">
      <c r="AM931" s="556">
        <v>45006</v>
      </c>
      <c r="AN931" s="557">
        <v>4.1749999999999998</v>
      </c>
      <c r="AO931" s="557">
        <v>46000</v>
      </c>
      <c r="AP931" s="557">
        <v>103.18898</v>
      </c>
      <c r="AQ931" s="557">
        <v>430.81399149999999</v>
      </c>
      <c r="AR931" s="557">
        <v>3.0750999999999999</v>
      </c>
    </row>
    <row r="932" spans="39:44">
      <c r="AM932" s="556">
        <v>45005</v>
      </c>
      <c r="AN932" s="557">
        <v>4.1749999999999998</v>
      </c>
      <c r="AO932" s="557">
        <v>46000</v>
      </c>
      <c r="AP932" s="557">
        <v>103.18898</v>
      </c>
      <c r="AQ932" s="557">
        <v>430.81399149999999</v>
      </c>
      <c r="AR932" s="557">
        <v>3.0750999999999999</v>
      </c>
    </row>
    <row r="933" spans="39:44">
      <c r="AM933" s="556">
        <v>45004</v>
      </c>
      <c r="AN933" s="557">
        <v>4.1100000000000003</v>
      </c>
      <c r="AO933" s="557">
        <v>99100</v>
      </c>
      <c r="AP933" s="557">
        <v>103.18898</v>
      </c>
      <c r="AQ933" s="557">
        <v>424.10670780000004</v>
      </c>
      <c r="AR933" s="557">
        <v>3.0312000000000001</v>
      </c>
    </row>
    <row r="934" spans="39:44">
      <c r="AM934" s="556">
        <v>45003</v>
      </c>
      <c r="AN934" s="557">
        <v>4.0999999999999996</v>
      </c>
      <c r="AO934" s="557">
        <v>12400</v>
      </c>
      <c r="AP934" s="557">
        <v>103.18898</v>
      </c>
      <c r="AQ934" s="557">
        <v>423.07481799999999</v>
      </c>
      <c r="AR934" s="557">
        <v>3.0091999999999999</v>
      </c>
    </row>
    <row r="935" spans="39:44">
      <c r="AM935" s="556">
        <v>45002</v>
      </c>
      <c r="AN935" s="557">
        <v>4.125</v>
      </c>
      <c r="AO935" s="557">
        <v>12900</v>
      </c>
      <c r="AP935" s="557">
        <v>103.18898</v>
      </c>
      <c r="AQ935" s="557">
        <v>425.65454249999999</v>
      </c>
      <c r="AR935" s="557">
        <v>3.0238999999999998</v>
      </c>
    </row>
    <row r="936" spans="39:44">
      <c r="AM936" s="556">
        <v>45001</v>
      </c>
      <c r="AN936" s="557">
        <v>4.125</v>
      </c>
      <c r="AO936" s="557">
        <v>12900</v>
      </c>
      <c r="AP936" s="557">
        <v>103.18898</v>
      </c>
      <c r="AQ936" s="557">
        <v>425.65454249999999</v>
      </c>
      <c r="AR936" s="557">
        <v>3.0238999999999998</v>
      </c>
    </row>
    <row r="937" spans="39:44">
      <c r="AM937" s="556">
        <v>45000</v>
      </c>
      <c r="AN937" s="557">
        <v>4.125</v>
      </c>
      <c r="AO937" s="557">
        <v>12900</v>
      </c>
      <c r="AP937" s="557">
        <v>103.18898</v>
      </c>
      <c r="AQ937" s="557">
        <v>425.65454249999999</v>
      </c>
      <c r="AR937" s="557">
        <v>3.0238999999999998</v>
      </c>
    </row>
    <row r="938" spans="39:44">
      <c r="AM938" s="556">
        <v>44999</v>
      </c>
      <c r="AN938" s="557">
        <v>4.125</v>
      </c>
      <c r="AO938" s="557">
        <v>12900</v>
      </c>
      <c r="AP938" s="557">
        <v>103.18898</v>
      </c>
      <c r="AQ938" s="557">
        <v>425.65454249999999</v>
      </c>
      <c r="AR938" s="557">
        <v>3.0238999999999998</v>
      </c>
    </row>
    <row r="939" spans="39:44">
      <c r="AM939" s="556">
        <v>44998</v>
      </c>
      <c r="AN939" s="557">
        <v>4.125</v>
      </c>
      <c r="AO939" s="557">
        <v>12900</v>
      </c>
      <c r="AP939" s="557">
        <v>103.18898</v>
      </c>
      <c r="AQ939" s="557">
        <v>425.65454249999999</v>
      </c>
      <c r="AR939" s="557">
        <v>3.0238999999999998</v>
      </c>
    </row>
    <row r="940" spans="39:44">
      <c r="AM940" s="556">
        <v>44997</v>
      </c>
      <c r="AN940" s="557">
        <v>4.1449999999999996</v>
      </c>
      <c r="AO940" s="557">
        <v>64200</v>
      </c>
      <c r="AP940" s="557">
        <v>103.18898</v>
      </c>
      <c r="AQ940" s="557">
        <v>427.71832209999997</v>
      </c>
      <c r="AR940" s="557">
        <v>3.0312000000000001</v>
      </c>
    </row>
    <row r="941" spans="39:44">
      <c r="AM941" s="556">
        <v>44996</v>
      </c>
      <c r="AN941" s="557">
        <v>4.13</v>
      </c>
      <c r="AO941" s="557">
        <v>14100</v>
      </c>
      <c r="AP941" s="557">
        <v>103.18898</v>
      </c>
      <c r="AQ941" s="557">
        <v>426.17048740000001</v>
      </c>
      <c r="AR941" s="557">
        <v>3.0019</v>
      </c>
    </row>
    <row r="942" spans="39:44">
      <c r="AM942" s="556">
        <v>44995</v>
      </c>
      <c r="AN942" s="557">
        <v>4.01</v>
      </c>
      <c r="AO942" s="557">
        <v>8400</v>
      </c>
      <c r="AP942" s="557">
        <v>103.18898</v>
      </c>
      <c r="AQ942" s="557">
        <v>413.78780979999999</v>
      </c>
      <c r="AR942" s="557">
        <v>2.9432999999999998</v>
      </c>
    </row>
    <row r="943" spans="39:44">
      <c r="AM943" s="556">
        <v>44994</v>
      </c>
      <c r="AN943" s="557">
        <v>4.01</v>
      </c>
      <c r="AO943" s="557">
        <v>114700</v>
      </c>
      <c r="AP943" s="557">
        <v>103.18898</v>
      </c>
      <c r="AQ943" s="557">
        <v>413.78780979999999</v>
      </c>
      <c r="AR943" s="557">
        <v>2.9506999999999999</v>
      </c>
    </row>
    <row r="944" spans="39:44">
      <c r="AM944" s="556">
        <v>44993</v>
      </c>
      <c r="AN944" s="557">
        <v>4.04</v>
      </c>
      <c r="AO944" s="557">
        <v>94500</v>
      </c>
      <c r="AP944" s="557">
        <v>103.18898</v>
      </c>
      <c r="AQ944" s="557">
        <v>416.88347920000001</v>
      </c>
      <c r="AR944" s="557">
        <v>2.9287000000000001</v>
      </c>
    </row>
    <row r="945" spans="39:44">
      <c r="AM945" s="556">
        <v>44992</v>
      </c>
      <c r="AN945" s="557">
        <v>4.04</v>
      </c>
      <c r="AO945" s="557">
        <v>94500</v>
      </c>
      <c r="AP945" s="557">
        <v>103.18898</v>
      </c>
      <c r="AQ945" s="557">
        <v>416.88347920000001</v>
      </c>
      <c r="AR945" s="557">
        <v>2.9287000000000001</v>
      </c>
    </row>
    <row r="946" spans="39:44">
      <c r="AM946" s="556">
        <v>44991</v>
      </c>
      <c r="AN946" s="557">
        <v>4.04</v>
      </c>
      <c r="AO946" s="557">
        <v>94500</v>
      </c>
      <c r="AP946" s="557">
        <v>103.18898</v>
      </c>
      <c r="AQ946" s="557">
        <v>416.88347920000001</v>
      </c>
      <c r="AR946" s="557">
        <v>2.9287000000000001</v>
      </c>
    </row>
    <row r="947" spans="39:44">
      <c r="AM947" s="556">
        <v>44990</v>
      </c>
      <c r="AN947" s="557">
        <v>4.12</v>
      </c>
      <c r="AO947" s="557">
        <v>130800</v>
      </c>
      <c r="AP947" s="557">
        <v>103.18898</v>
      </c>
      <c r="AQ947" s="557">
        <v>425.13859760000003</v>
      </c>
      <c r="AR947" s="557">
        <v>3.0457999999999998</v>
      </c>
    </row>
    <row r="948" spans="39:44">
      <c r="AM948" s="556">
        <v>44989</v>
      </c>
      <c r="AN948" s="557">
        <v>4.2350000000000003</v>
      </c>
      <c r="AO948" s="557">
        <v>73100</v>
      </c>
      <c r="AP948" s="557">
        <v>103.18898</v>
      </c>
      <c r="AQ948" s="557">
        <v>437.00533030000003</v>
      </c>
      <c r="AR948" s="557">
        <v>3.0897999999999999</v>
      </c>
    </row>
    <row r="949" spans="39:44">
      <c r="AM949" s="556">
        <v>44988</v>
      </c>
      <c r="AN949" s="557">
        <v>4.2450000000000001</v>
      </c>
      <c r="AO949" s="557">
        <v>73200</v>
      </c>
      <c r="AP949" s="557">
        <v>103.18898</v>
      </c>
      <c r="AQ949" s="557">
        <v>438.03722010000001</v>
      </c>
      <c r="AR949" s="557">
        <v>3.1191</v>
      </c>
    </row>
    <row r="950" spans="39:44">
      <c r="AM950" s="556">
        <v>44987</v>
      </c>
      <c r="AN950" s="557">
        <v>4.2549999999999999</v>
      </c>
      <c r="AO950" s="557">
        <v>97100</v>
      </c>
      <c r="AP950" s="557">
        <v>103.18898</v>
      </c>
      <c r="AQ950" s="557">
        <v>439.0691099</v>
      </c>
      <c r="AR950" s="557">
        <v>3.141</v>
      </c>
    </row>
    <row r="951" spans="39:44">
      <c r="AM951" s="556">
        <v>44986</v>
      </c>
      <c r="AN951" s="557">
        <v>4.2249999999999996</v>
      </c>
      <c r="AO951" s="557">
        <v>59400</v>
      </c>
      <c r="AP951" s="557">
        <v>103.18898</v>
      </c>
      <c r="AQ951" s="557">
        <v>435.97344049999998</v>
      </c>
      <c r="AR951" s="557">
        <v>3.1044</v>
      </c>
    </row>
    <row r="952" spans="39:44">
      <c r="AM952" s="556">
        <v>44985</v>
      </c>
      <c r="AN952" s="557">
        <v>4.2249999999999996</v>
      </c>
      <c r="AO952" s="557">
        <v>59400</v>
      </c>
      <c r="AP952" s="557">
        <v>103.18898</v>
      </c>
      <c r="AQ952" s="557">
        <v>435.97344049999998</v>
      </c>
      <c r="AR952" s="557">
        <v>3.1044</v>
      </c>
    </row>
    <row r="953" spans="39:44">
      <c r="AM953" s="556">
        <v>44984</v>
      </c>
      <c r="AN953" s="557">
        <v>4.2249999999999996</v>
      </c>
      <c r="AO953" s="557">
        <v>59400</v>
      </c>
      <c r="AP953" s="557">
        <v>103.18898</v>
      </c>
      <c r="AQ953" s="557">
        <v>435.97344049999998</v>
      </c>
      <c r="AR953" s="557">
        <v>3.1044</v>
      </c>
    </row>
    <row r="954" spans="39:44">
      <c r="AM954" s="556">
        <v>44983</v>
      </c>
      <c r="AN954" s="557">
        <v>4.335</v>
      </c>
      <c r="AO954" s="557">
        <v>161800</v>
      </c>
      <c r="AP954" s="557">
        <v>103.18898</v>
      </c>
      <c r="AQ954" s="557">
        <v>447.32422830000002</v>
      </c>
      <c r="AR954" s="557">
        <v>3.1776</v>
      </c>
    </row>
    <row r="955" spans="39:44">
      <c r="AM955" s="556">
        <v>44982</v>
      </c>
      <c r="AN955" s="557">
        <v>4.4000000000000004</v>
      </c>
      <c r="AO955" s="557">
        <v>104700</v>
      </c>
      <c r="AP955" s="557">
        <v>103.18898</v>
      </c>
      <c r="AQ955" s="557">
        <v>454.03151200000002</v>
      </c>
      <c r="AR955" s="557">
        <v>3.2435</v>
      </c>
    </row>
    <row r="956" spans="39:44">
      <c r="AM956" s="556">
        <v>44981</v>
      </c>
      <c r="AN956" s="557">
        <v>4.415</v>
      </c>
      <c r="AO956" s="557">
        <v>200800</v>
      </c>
      <c r="AP956" s="557">
        <v>103.18898</v>
      </c>
      <c r="AQ956" s="557">
        <v>455.57934670000003</v>
      </c>
      <c r="AR956" s="557">
        <v>3.2069000000000001</v>
      </c>
    </row>
    <row r="957" spans="39:44">
      <c r="AM957" s="556">
        <v>44980</v>
      </c>
      <c r="AN957" s="557">
        <v>4.3849999999999998</v>
      </c>
      <c r="AO957" s="557">
        <v>60300</v>
      </c>
      <c r="AP957" s="557">
        <v>103.18898</v>
      </c>
      <c r="AQ957" s="557">
        <v>452.48367729999995</v>
      </c>
      <c r="AR957" s="557">
        <v>3.2216</v>
      </c>
    </row>
    <row r="958" spans="39:44">
      <c r="AM958" s="556">
        <v>44979</v>
      </c>
      <c r="AN958" s="557">
        <v>4.49</v>
      </c>
      <c r="AO958" s="557">
        <v>129500</v>
      </c>
      <c r="AP958" s="557">
        <v>103.18898</v>
      </c>
      <c r="AQ958" s="557">
        <v>463.31852020000002</v>
      </c>
      <c r="AR958" s="557">
        <v>3.2948</v>
      </c>
    </row>
    <row r="959" spans="39:44">
      <c r="AM959" s="556">
        <v>44978</v>
      </c>
      <c r="AN959" s="557">
        <v>4.49</v>
      </c>
      <c r="AO959" s="557">
        <v>129500</v>
      </c>
      <c r="AP959" s="557">
        <v>103.18898</v>
      </c>
      <c r="AQ959" s="557">
        <v>463.31852020000002</v>
      </c>
      <c r="AR959" s="557">
        <v>3.2948</v>
      </c>
    </row>
    <row r="960" spans="39:44">
      <c r="AM960" s="556">
        <v>44977</v>
      </c>
      <c r="AN960" s="557">
        <v>4.49</v>
      </c>
      <c r="AO960" s="557">
        <v>129500</v>
      </c>
      <c r="AP960" s="557">
        <v>103.18898</v>
      </c>
      <c r="AQ960" s="557">
        <v>463.31852020000002</v>
      </c>
      <c r="AR960" s="557">
        <v>3.2948</v>
      </c>
    </row>
    <row r="961" spans="39:44">
      <c r="AM961" s="556">
        <v>44976</v>
      </c>
      <c r="AN961" s="557">
        <v>4.4400000000000004</v>
      </c>
      <c r="AO961" s="557">
        <v>292500</v>
      </c>
      <c r="AP961" s="557">
        <v>103.18898</v>
      </c>
      <c r="AQ961" s="557">
        <v>458.15907120000003</v>
      </c>
      <c r="AR961" s="557">
        <v>3.2728000000000002</v>
      </c>
    </row>
    <row r="962" spans="39:44">
      <c r="AM962" s="556">
        <v>44975</v>
      </c>
      <c r="AN962" s="557">
        <v>4.4800000000000004</v>
      </c>
      <c r="AO962" s="557">
        <v>89100</v>
      </c>
      <c r="AP962" s="557">
        <v>103.18898</v>
      </c>
      <c r="AQ962" s="557">
        <v>462.28663040000004</v>
      </c>
      <c r="AR962" s="557">
        <v>3.2948</v>
      </c>
    </row>
    <row r="963" spans="39:44">
      <c r="AM963" s="556">
        <v>44974</v>
      </c>
      <c r="AN963" s="557">
        <v>4.4450000000000003</v>
      </c>
      <c r="AO963" s="557">
        <v>121600</v>
      </c>
      <c r="AP963" s="557">
        <v>103.18898</v>
      </c>
      <c r="AQ963" s="557">
        <v>458.67501610000005</v>
      </c>
      <c r="AR963" s="557">
        <v>3.2948</v>
      </c>
    </row>
    <row r="964" spans="39:44">
      <c r="AM964" s="556">
        <v>44973</v>
      </c>
      <c r="AN964" s="557">
        <v>4.46</v>
      </c>
      <c r="AO964" s="557">
        <v>17300</v>
      </c>
      <c r="AP964" s="557">
        <v>103.18898</v>
      </c>
      <c r="AQ964" s="557">
        <v>460.2228508</v>
      </c>
      <c r="AR964" s="557">
        <v>3.2801</v>
      </c>
    </row>
    <row r="965" spans="39:44">
      <c r="AM965" s="556">
        <v>44972</v>
      </c>
      <c r="AN965" s="557">
        <v>4.47</v>
      </c>
      <c r="AO965" s="557">
        <v>59200</v>
      </c>
      <c r="AP965" s="557">
        <v>103.18898</v>
      </c>
      <c r="AQ965" s="557">
        <v>461.25474059999999</v>
      </c>
      <c r="AR965" s="557">
        <v>3.2948</v>
      </c>
    </row>
    <row r="966" spans="39:44">
      <c r="AM966" s="556">
        <v>44971</v>
      </c>
      <c r="AN966" s="557">
        <v>4.47</v>
      </c>
      <c r="AO966" s="557">
        <v>59200</v>
      </c>
      <c r="AP966" s="557">
        <v>103.18898</v>
      </c>
      <c r="AQ966" s="557">
        <v>461.25474059999999</v>
      </c>
      <c r="AR966" s="557">
        <v>3.2948</v>
      </c>
    </row>
    <row r="967" spans="39:44">
      <c r="AM967" s="556">
        <v>44970</v>
      </c>
      <c r="AN967" s="557">
        <v>4.47</v>
      </c>
      <c r="AO967" s="557">
        <v>59200</v>
      </c>
      <c r="AP967" s="557">
        <v>103.18898</v>
      </c>
      <c r="AQ967" s="557">
        <v>461.25474059999999</v>
      </c>
      <c r="AR967" s="557">
        <v>3.2948</v>
      </c>
    </row>
    <row r="968" spans="39:44">
      <c r="AM968" s="556">
        <v>44969</v>
      </c>
      <c r="AN968" s="557">
        <v>4.4749999999999996</v>
      </c>
      <c r="AO968" s="557">
        <v>150200</v>
      </c>
      <c r="AP968" s="557">
        <v>103.18898</v>
      </c>
      <c r="AQ968" s="557">
        <v>461.77068549999996</v>
      </c>
      <c r="AR968" s="557">
        <v>3.2948</v>
      </c>
    </row>
    <row r="969" spans="39:44">
      <c r="AM969" s="556">
        <v>44968</v>
      </c>
      <c r="AN969" s="557">
        <v>4.5199999999999996</v>
      </c>
      <c r="AO969" s="557">
        <v>37200</v>
      </c>
      <c r="AP969" s="557">
        <v>103.18898</v>
      </c>
      <c r="AQ969" s="557">
        <v>466.41418959999999</v>
      </c>
      <c r="AR969" s="557">
        <v>3.3167</v>
      </c>
    </row>
    <row r="970" spans="39:44">
      <c r="AM970" s="556">
        <v>44967</v>
      </c>
      <c r="AN970" s="557">
        <v>4.5149999999999997</v>
      </c>
      <c r="AO970" s="557">
        <v>40000</v>
      </c>
      <c r="AP970" s="557">
        <v>103.18898</v>
      </c>
      <c r="AQ970" s="557">
        <v>465.89824469999996</v>
      </c>
      <c r="AR970" s="557">
        <v>3.3020999999999998</v>
      </c>
    </row>
    <row r="971" spans="39:44">
      <c r="AM971" s="556">
        <v>44966</v>
      </c>
      <c r="AN971" s="557">
        <v>4.42</v>
      </c>
      <c r="AO971" s="557">
        <v>32700</v>
      </c>
      <c r="AP971" s="557">
        <v>103.18898</v>
      </c>
      <c r="AQ971" s="557">
        <v>456.0952916</v>
      </c>
      <c r="AR971" s="557">
        <v>3.2582</v>
      </c>
    </row>
    <row r="972" spans="39:44">
      <c r="AM972" s="556">
        <v>44965</v>
      </c>
      <c r="AN972" s="557">
        <v>4.4249999999999998</v>
      </c>
      <c r="AO972" s="557">
        <v>221200</v>
      </c>
      <c r="AP972" s="557">
        <v>103.18898</v>
      </c>
      <c r="AQ972" s="557">
        <v>456.61123649999996</v>
      </c>
      <c r="AR972" s="557">
        <v>3.2582</v>
      </c>
    </row>
    <row r="973" spans="39:44">
      <c r="AM973" s="556">
        <v>44964</v>
      </c>
      <c r="AN973" s="557">
        <v>4.4249999999999998</v>
      </c>
      <c r="AO973" s="557">
        <v>221200</v>
      </c>
      <c r="AP973" s="557">
        <v>103.18898</v>
      </c>
      <c r="AQ973" s="557">
        <v>456.61123649999996</v>
      </c>
      <c r="AR973" s="557">
        <v>3.2582</v>
      </c>
    </row>
    <row r="974" spans="39:44">
      <c r="AM974" s="556">
        <v>44963</v>
      </c>
      <c r="AN974" s="557">
        <v>4.4249999999999998</v>
      </c>
      <c r="AO974" s="557">
        <v>221200</v>
      </c>
      <c r="AP974" s="557">
        <v>103.18898</v>
      </c>
      <c r="AQ974" s="557">
        <v>456.61123649999996</v>
      </c>
      <c r="AR974" s="557">
        <v>3.2582</v>
      </c>
    </row>
    <row r="975" spans="39:44">
      <c r="AM975" s="556">
        <v>44962</v>
      </c>
      <c r="AN975" s="557">
        <v>4.5599999999999996</v>
      </c>
      <c r="AO975" s="557">
        <v>182300</v>
      </c>
      <c r="AP975" s="557">
        <v>103.18898</v>
      </c>
      <c r="AQ975" s="557">
        <v>470.54174879999994</v>
      </c>
      <c r="AR975" s="557">
        <v>3.3534000000000002</v>
      </c>
    </row>
    <row r="976" spans="39:44">
      <c r="AM976" s="556">
        <v>44961</v>
      </c>
      <c r="AN976" s="557">
        <v>4.67</v>
      </c>
      <c r="AO976" s="557">
        <v>295700</v>
      </c>
      <c r="AP976" s="557">
        <v>103.18898</v>
      </c>
      <c r="AQ976" s="557">
        <v>481.89253659999997</v>
      </c>
      <c r="AR976" s="557">
        <v>3.3753000000000002</v>
      </c>
    </row>
    <row r="977" spans="39:44">
      <c r="AM977" s="556">
        <v>44960</v>
      </c>
      <c r="AN977" s="557">
        <v>4.7649999999999997</v>
      </c>
      <c r="AO977" s="557">
        <v>87900</v>
      </c>
      <c r="AP977" s="557">
        <v>103.18898</v>
      </c>
      <c r="AQ977" s="557">
        <v>491.6954897</v>
      </c>
      <c r="AR977" s="557">
        <v>3.4777999999999998</v>
      </c>
    </row>
    <row r="978" spans="39:44">
      <c r="AM978" s="556">
        <v>44959</v>
      </c>
      <c r="AN978" s="557">
        <v>4.72</v>
      </c>
      <c r="AO978" s="557">
        <v>104400</v>
      </c>
      <c r="AP978" s="557">
        <v>103.18898</v>
      </c>
      <c r="AQ978" s="557">
        <v>487.05198559999997</v>
      </c>
      <c r="AR978" s="557">
        <v>3.3679999999999999</v>
      </c>
    </row>
    <row r="979" spans="39:44">
      <c r="AM979" s="556">
        <v>44958</v>
      </c>
      <c r="AN979" s="557">
        <v>4.5449999999999999</v>
      </c>
      <c r="AO979" s="557">
        <v>276100</v>
      </c>
      <c r="AP979" s="557">
        <v>103.18898</v>
      </c>
      <c r="AQ979" s="557">
        <v>468.99391409999998</v>
      </c>
      <c r="AR979" s="557">
        <v>3.3313999999999999</v>
      </c>
    </row>
    <row r="980" spans="39:44">
      <c r="AM980" s="556">
        <v>44957</v>
      </c>
      <c r="AN980" s="557">
        <v>4.5449999999999999</v>
      </c>
      <c r="AO980" s="557">
        <v>276100</v>
      </c>
      <c r="AP980" s="557">
        <v>103.18898</v>
      </c>
      <c r="AQ980" s="557">
        <v>468.99391409999998</v>
      </c>
      <c r="AR980" s="557">
        <v>3.3313999999999999</v>
      </c>
    </row>
    <row r="981" spans="39:44">
      <c r="AM981" s="556">
        <v>44956</v>
      </c>
      <c r="AN981" s="557">
        <v>4.5449999999999999</v>
      </c>
      <c r="AO981" s="557">
        <v>276100</v>
      </c>
      <c r="AP981" s="557">
        <v>103.18898</v>
      </c>
      <c r="AQ981" s="557">
        <v>468.99391409999998</v>
      </c>
      <c r="AR981" s="557">
        <v>3.3313999999999999</v>
      </c>
    </row>
    <row r="982" spans="39:44">
      <c r="AM982" s="556">
        <v>44955</v>
      </c>
      <c r="AN982" s="557">
        <v>4.4550000000000001</v>
      </c>
      <c r="AO982" s="557">
        <v>104200</v>
      </c>
      <c r="AP982" s="557">
        <v>103.18898</v>
      </c>
      <c r="AQ982" s="557">
        <v>459.70690590000004</v>
      </c>
      <c r="AR982" s="557">
        <v>3.2582</v>
      </c>
    </row>
    <row r="983" spans="39:44">
      <c r="AM983" s="556">
        <v>44954</v>
      </c>
      <c r="AN983" s="557">
        <v>4.26</v>
      </c>
      <c r="AO983" s="557">
        <v>157200</v>
      </c>
      <c r="AP983" s="557">
        <v>103.18898</v>
      </c>
      <c r="AQ983" s="557">
        <v>439.58505479999997</v>
      </c>
      <c r="AR983" s="557">
        <v>3.1482999999999999</v>
      </c>
    </row>
    <row r="984" spans="39:44">
      <c r="AM984" s="556">
        <v>44953</v>
      </c>
      <c r="AN984" s="557">
        <v>4.3049999999999997</v>
      </c>
      <c r="AO984" s="557">
        <v>136000</v>
      </c>
      <c r="AP984" s="557">
        <v>103.18898</v>
      </c>
      <c r="AQ984" s="557">
        <v>444.2285589</v>
      </c>
      <c r="AR984" s="557">
        <v>3.1556999999999999</v>
      </c>
    </row>
    <row r="985" spans="39:44">
      <c r="AM985" s="556">
        <v>44952</v>
      </c>
      <c r="AN985" s="557">
        <v>4.3099999999999996</v>
      </c>
      <c r="AO985" s="557">
        <v>101600</v>
      </c>
      <c r="AP985" s="557">
        <v>103.18898</v>
      </c>
      <c r="AQ985" s="557">
        <v>444.74450379999996</v>
      </c>
      <c r="AR985" s="557">
        <v>3.1482999999999999</v>
      </c>
    </row>
    <row r="986" spans="39:44">
      <c r="AM986" s="556">
        <v>44951</v>
      </c>
      <c r="AN986" s="557">
        <v>4.54</v>
      </c>
      <c r="AO986" s="557">
        <v>240200</v>
      </c>
      <c r="AP986" s="557">
        <v>103.18898</v>
      </c>
      <c r="AQ986" s="557">
        <v>468.47796920000002</v>
      </c>
      <c r="AR986" s="557">
        <v>3.0792000000000002</v>
      </c>
    </row>
    <row r="987" spans="39:44">
      <c r="AM987" s="556">
        <v>44950</v>
      </c>
      <c r="AN987" s="557">
        <v>4.54</v>
      </c>
      <c r="AO987" s="557">
        <v>240200</v>
      </c>
      <c r="AP987" s="557">
        <v>103.18898</v>
      </c>
      <c r="AQ987" s="557">
        <v>468.47796920000002</v>
      </c>
      <c r="AR987" s="557">
        <v>3.0792000000000002</v>
      </c>
    </row>
    <row r="988" spans="39:44">
      <c r="AM988" s="556">
        <v>44949</v>
      </c>
      <c r="AN988" s="557">
        <v>4.54</v>
      </c>
      <c r="AO988" s="557">
        <v>240200</v>
      </c>
      <c r="AP988" s="557">
        <v>103.18898</v>
      </c>
      <c r="AQ988" s="557">
        <v>468.47796920000002</v>
      </c>
      <c r="AR988" s="557">
        <v>3.0792000000000002</v>
      </c>
    </row>
    <row r="989" spans="39:44">
      <c r="AM989" s="556">
        <v>44948</v>
      </c>
      <c r="AN989" s="557">
        <v>4.54</v>
      </c>
      <c r="AO989" s="557">
        <v>240200</v>
      </c>
      <c r="AP989" s="557">
        <v>103.18898</v>
      </c>
      <c r="AQ989" s="557">
        <v>468.47796920000002</v>
      </c>
      <c r="AR989" s="557">
        <v>3.0792000000000002</v>
      </c>
    </row>
    <row r="990" spans="39:44">
      <c r="AM990" s="556">
        <v>44947</v>
      </c>
      <c r="AN990" s="557">
        <v>4.5599999999999996</v>
      </c>
      <c r="AO990" s="557">
        <v>68300</v>
      </c>
      <c r="AP990" s="557">
        <v>103.18898</v>
      </c>
      <c r="AQ990" s="557">
        <v>470.54174879999994</v>
      </c>
      <c r="AR990" s="557">
        <v>3.1065</v>
      </c>
    </row>
    <row r="991" spans="39:44">
      <c r="AM991" s="556">
        <v>44946</v>
      </c>
      <c r="AN991" s="557">
        <v>4.4749999999999996</v>
      </c>
      <c r="AO991" s="557">
        <v>32000</v>
      </c>
      <c r="AP991" s="557">
        <v>103.18898</v>
      </c>
      <c r="AQ991" s="557">
        <v>461.77068549999996</v>
      </c>
      <c r="AR991" s="557">
        <v>3.0381999999999998</v>
      </c>
    </row>
    <row r="992" spans="39:44">
      <c r="AM992" s="556">
        <v>44945</v>
      </c>
      <c r="AN992" s="557">
        <v>4.62</v>
      </c>
      <c r="AO992" s="557">
        <v>31500</v>
      </c>
      <c r="AP992" s="557">
        <v>103.18898</v>
      </c>
      <c r="AQ992" s="557">
        <v>476.73308760000003</v>
      </c>
      <c r="AR992" s="557">
        <v>3.1065</v>
      </c>
    </row>
    <row r="993" spans="39:44">
      <c r="AM993" s="556">
        <v>44944</v>
      </c>
      <c r="AN993" s="557">
        <v>4.7</v>
      </c>
      <c r="AO993" s="557">
        <v>42000</v>
      </c>
      <c r="AP993" s="557">
        <v>103.18898</v>
      </c>
      <c r="AQ993" s="557">
        <v>484.98820600000005</v>
      </c>
      <c r="AR993" s="557">
        <v>3.2021000000000002</v>
      </c>
    </row>
    <row r="994" spans="39:44">
      <c r="AM994" s="556">
        <v>44943</v>
      </c>
      <c r="AN994" s="557">
        <v>4.7</v>
      </c>
      <c r="AO994" s="557">
        <v>42000</v>
      </c>
      <c r="AP994" s="557">
        <v>103.18898</v>
      </c>
      <c r="AQ994" s="557">
        <v>484.98820600000005</v>
      </c>
      <c r="AR994" s="557">
        <v>3.2021000000000002</v>
      </c>
    </row>
    <row r="995" spans="39:44">
      <c r="AM995" s="556">
        <v>44942</v>
      </c>
      <c r="AN995" s="557">
        <v>4.7</v>
      </c>
      <c r="AO995" s="557">
        <v>42000</v>
      </c>
      <c r="AP995" s="557">
        <v>103.18898</v>
      </c>
      <c r="AQ995" s="557">
        <v>484.98820600000005</v>
      </c>
      <c r="AR995" s="557">
        <v>3.2021000000000002</v>
      </c>
    </row>
    <row r="996" spans="39:44">
      <c r="AM996" s="556">
        <v>44941</v>
      </c>
      <c r="AN996" s="557">
        <v>4.4649999999999999</v>
      </c>
      <c r="AO996" s="557">
        <v>41600</v>
      </c>
      <c r="AP996" s="557">
        <v>103.18898</v>
      </c>
      <c r="AQ996" s="557">
        <v>460.73879569999997</v>
      </c>
      <c r="AR996" s="557">
        <v>3.0722999999999998</v>
      </c>
    </row>
    <row r="997" spans="39:44">
      <c r="AM997" s="556">
        <v>44940</v>
      </c>
      <c r="AN997" s="557">
        <v>4.4349999999999996</v>
      </c>
      <c r="AO997" s="557">
        <v>176500</v>
      </c>
      <c r="AP997" s="557">
        <v>103.18898</v>
      </c>
      <c r="AQ997" s="557">
        <v>457.64312629999995</v>
      </c>
      <c r="AR997" s="557">
        <v>3.0314000000000001</v>
      </c>
    </row>
    <row r="998" spans="39:44">
      <c r="AM998" s="556">
        <v>44939</v>
      </c>
      <c r="AN998" s="557">
        <v>4.38</v>
      </c>
      <c r="AO998" s="557">
        <v>317400</v>
      </c>
      <c r="AP998" s="557">
        <v>103.18898</v>
      </c>
      <c r="AQ998" s="557">
        <v>451.96773239999999</v>
      </c>
      <c r="AR998" s="557">
        <v>2.9904000000000002</v>
      </c>
    </row>
    <row r="999" spans="39:44">
      <c r="AM999" s="556">
        <v>44938</v>
      </c>
      <c r="AN999" s="557">
        <v>4.3</v>
      </c>
      <c r="AO999" s="557">
        <v>225400</v>
      </c>
      <c r="AP999" s="557">
        <v>103.18898</v>
      </c>
      <c r="AQ999" s="557">
        <v>443.71261399999997</v>
      </c>
      <c r="AR999" s="557">
        <v>2.9699</v>
      </c>
    </row>
    <row r="1000" spans="39:44">
      <c r="AM1000" s="556">
        <v>44937</v>
      </c>
      <c r="AN1000" s="557">
        <v>4.4249999999999998</v>
      </c>
      <c r="AO1000" s="557">
        <v>93600</v>
      </c>
      <c r="AP1000" s="557">
        <v>103.18898</v>
      </c>
      <c r="AQ1000" s="557">
        <v>456.61123649999996</v>
      </c>
      <c r="AR1000" s="557">
        <v>2.9699</v>
      </c>
    </row>
    <row r="1001" spans="39:44">
      <c r="AM1001" s="556">
        <v>44936</v>
      </c>
      <c r="AN1001" s="557">
        <v>4.4249999999999998</v>
      </c>
      <c r="AO1001" s="557">
        <v>93600</v>
      </c>
      <c r="AP1001" s="557">
        <v>103.18898</v>
      </c>
      <c r="AQ1001" s="557">
        <v>456.61123649999996</v>
      </c>
      <c r="AR1001" s="557">
        <v>2.9699</v>
      </c>
    </row>
    <row r="1002" spans="39:44">
      <c r="AM1002" s="556">
        <v>44935</v>
      </c>
      <c r="AN1002" s="557">
        <v>4.4249999999999998</v>
      </c>
      <c r="AO1002" s="557">
        <v>93600</v>
      </c>
      <c r="AP1002" s="557">
        <v>103.18898</v>
      </c>
      <c r="AQ1002" s="557">
        <v>456.61123649999996</v>
      </c>
      <c r="AR1002" s="557">
        <v>2.9699</v>
      </c>
    </row>
    <row r="1003" spans="39:44">
      <c r="AM1003" s="556">
        <v>44934</v>
      </c>
      <c r="AN1003" s="557">
        <v>4.7750000000000004</v>
      </c>
      <c r="AO1003" s="557">
        <v>172600</v>
      </c>
      <c r="AP1003" s="557">
        <v>103.18898</v>
      </c>
      <c r="AQ1003" s="557">
        <v>492.72737950000004</v>
      </c>
      <c r="AR1003" s="557">
        <v>3.2088999999999999</v>
      </c>
    </row>
    <row r="1004" spans="39:44">
      <c r="AM1004" s="556">
        <v>44933</v>
      </c>
      <c r="AN1004" s="557">
        <v>4.8600000000000003</v>
      </c>
      <c r="AO1004" s="557">
        <v>35800</v>
      </c>
      <c r="AP1004" s="557">
        <v>103.18898</v>
      </c>
      <c r="AQ1004" s="557">
        <v>501.49844280000002</v>
      </c>
      <c r="AR1004" s="557">
        <v>3.2088999999999999</v>
      </c>
    </row>
    <row r="1005" spans="39:44">
      <c r="AM1005" s="556">
        <v>44932</v>
      </c>
      <c r="AN1005" s="557">
        <v>4.84</v>
      </c>
      <c r="AO1005" s="557">
        <v>9800</v>
      </c>
      <c r="AP1005" s="557">
        <v>103.18898</v>
      </c>
      <c r="AQ1005" s="557">
        <v>499.43466319999999</v>
      </c>
      <c r="AR1005" s="557">
        <v>3.3454000000000002</v>
      </c>
    </row>
    <row r="1006" spans="39:44">
      <c r="AM1006" s="556">
        <v>44931</v>
      </c>
      <c r="AN1006" s="557">
        <v>4.9400000000000004</v>
      </c>
      <c r="AO1006" s="557">
        <v>19900</v>
      </c>
      <c r="AP1006" s="557">
        <v>103.18898</v>
      </c>
      <c r="AQ1006" s="557">
        <v>509.75356120000004</v>
      </c>
      <c r="AR1006" s="557">
        <v>3.4137</v>
      </c>
    </row>
    <row r="1007" spans="39:44">
      <c r="AM1007" s="556">
        <v>44930</v>
      </c>
      <c r="AN1007" s="557">
        <v>4.9850000000000003</v>
      </c>
      <c r="AO1007" s="557">
        <v>11300</v>
      </c>
      <c r="AP1007" s="557">
        <v>103.18898</v>
      </c>
      <c r="AQ1007" s="557">
        <v>514.39706530000001</v>
      </c>
      <c r="AR1007" s="557">
        <v>3.5434000000000001</v>
      </c>
    </row>
    <row r="1008" spans="39:44">
      <c r="AM1008" s="556">
        <v>44929</v>
      </c>
      <c r="AN1008" s="557">
        <v>4.9850000000000003</v>
      </c>
      <c r="AO1008" s="557">
        <v>11300</v>
      </c>
      <c r="AP1008" s="557">
        <v>103.18898</v>
      </c>
      <c r="AQ1008" s="557">
        <v>514.39706530000001</v>
      </c>
      <c r="AR1008" s="557">
        <v>3.5434000000000001</v>
      </c>
    </row>
    <row r="1009" spans="39:44">
      <c r="AM1009" s="556">
        <v>44928</v>
      </c>
      <c r="AN1009" s="557">
        <v>4.9850000000000003</v>
      </c>
      <c r="AO1009" s="557">
        <v>11300</v>
      </c>
      <c r="AP1009" s="557">
        <v>103.18898</v>
      </c>
      <c r="AQ1009" s="557">
        <v>514.39706530000001</v>
      </c>
      <c r="AR1009" s="557">
        <v>3.5434000000000001</v>
      </c>
    </row>
    <row r="1010" spans="39:44">
      <c r="AM1010" s="556">
        <v>44927</v>
      </c>
      <c r="AN1010" s="557">
        <v>4.74</v>
      </c>
      <c r="AO1010" s="557">
        <v>23000</v>
      </c>
      <c r="AP1010" s="557">
        <v>103.18898</v>
      </c>
      <c r="AQ1010" s="557">
        <v>489.1157652</v>
      </c>
      <c r="AR1010" s="557">
        <v>3.3113000000000001</v>
      </c>
    </row>
    <row r="1011" spans="39:44">
      <c r="AM1011" s="556">
        <v>44926</v>
      </c>
      <c r="AN1011" s="557">
        <v>5.0549999999999997</v>
      </c>
      <c r="AO1011" s="557">
        <v>49500</v>
      </c>
      <c r="AP1011" s="557">
        <v>103.18898</v>
      </c>
      <c r="AQ1011" s="557">
        <v>521.62029389999998</v>
      </c>
      <c r="AR1011" s="557">
        <v>3.3523000000000001</v>
      </c>
    </row>
    <row r="1012" spans="39:44">
      <c r="AM1012" s="556">
        <v>44925</v>
      </c>
      <c r="AN1012" s="557">
        <v>5.0750000000000002</v>
      </c>
      <c r="AO1012" s="557">
        <v>71500</v>
      </c>
      <c r="AP1012" s="557">
        <v>103.18898</v>
      </c>
      <c r="AQ1012" s="557">
        <v>523.68407350000007</v>
      </c>
      <c r="AR1012" s="557">
        <v>3.5503</v>
      </c>
    </row>
    <row r="1013" spans="39:44">
      <c r="AM1013" s="556">
        <v>44924</v>
      </c>
      <c r="AN1013" s="557">
        <v>5.42</v>
      </c>
      <c r="AO1013" s="557">
        <v>54900</v>
      </c>
      <c r="AP1013" s="557">
        <v>103.18898</v>
      </c>
      <c r="AQ1013" s="557">
        <v>559.28427160000001</v>
      </c>
      <c r="AR1013" s="557">
        <v>3.6526999999999998</v>
      </c>
    </row>
    <row r="1014" spans="39:44">
      <c r="AM1014" s="556">
        <v>44923</v>
      </c>
      <c r="AN1014" s="557">
        <v>5.39</v>
      </c>
      <c r="AO1014" s="557">
        <v>9000</v>
      </c>
      <c r="AP1014" s="557">
        <v>103.18898</v>
      </c>
      <c r="AQ1014" s="557">
        <v>556.18860219999999</v>
      </c>
      <c r="AR1014" s="557">
        <v>3.7483</v>
      </c>
    </row>
    <row r="1015" spans="39:44">
      <c r="AM1015" s="556">
        <v>44922</v>
      </c>
      <c r="AN1015" s="557">
        <v>5.39</v>
      </c>
      <c r="AO1015" s="557">
        <v>9000</v>
      </c>
      <c r="AP1015" s="557">
        <v>103.18898</v>
      </c>
      <c r="AQ1015" s="557">
        <v>556.18860219999999</v>
      </c>
      <c r="AR1015" s="557">
        <v>3.7483</v>
      </c>
    </row>
    <row r="1016" spans="39:44">
      <c r="AM1016" s="556">
        <v>44921</v>
      </c>
      <c r="AN1016" s="557">
        <v>5.39</v>
      </c>
      <c r="AO1016" s="557">
        <v>9000</v>
      </c>
      <c r="AP1016" s="557">
        <v>103.18898</v>
      </c>
      <c r="AQ1016" s="557">
        <v>556.18860219999999</v>
      </c>
      <c r="AR1016" s="557">
        <v>3.7483</v>
      </c>
    </row>
    <row r="1017" spans="39:44">
      <c r="AM1017" s="556">
        <v>44920</v>
      </c>
      <c r="AN1017" s="557">
        <v>5.4850000000000003</v>
      </c>
      <c r="AO1017" s="557">
        <v>13400</v>
      </c>
      <c r="AP1017" s="557">
        <v>103.18898</v>
      </c>
      <c r="AQ1017" s="557">
        <v>565.99155530000007</v>
      </c>
      <c r="AR1017" s="557">
        <v>3.7414000000000001</v>
      </c>
    </row>
    <row r="1018" spans="39:44">
      <c r="AM1018" s="556">
        <v>44919</v>
      </c>
      <c r="AN1018" s="557">
        <v>5.0250000000000004</v>
      </c>
      <c r="AO1018" s="557">
        <v>14700</v>
      </c>
      <c r="AP1018" s="557">
        <v>103.18898</v>
      </c>
      <c r="AQ1018" s="557">
        <v>518.52462450000007</v>
      </c>
      <c r="AR1018" s="557">
        <v>3.5160999999999998</v>
      </c>
    </row>
    <row r="1019" spans="39:44">
      <c r="AM1019" s="556">
        <v>44918</v>
      </c>
      <c r="AN1019" s="557">
        <v>4.8849999999999998</v>
      </c>
      <c r="AO1019" s="557">
        <v>43200</v>
      </c>
      <c r="AP1019" s="557">
        <v>103.18898</v>
      </c>
      <c r="AQ1019" s="557">
        <v>504.07816729999996</v>
      </c>
      <c r="AR1019" s="557">
        <v>3.4615</v>
      </c>
    </row>
    <row r="1020" spans="39:44">
      <c r="AM1020" s="556">
        <v>44917</v>
      </c>
      <c r="AN1020" s="557">
        <v>5.1849999999999996</v>
      </c>
      <c r="AO1020" s="557">
        <v>33800</v>
      </c>
      <c r="AP1020" s="557">
        <v>103.18898</v>
      </c>
      <c r="AQ1020" s="557">
        <v>535.03486129999999</v>
      </c>
      <c r="AR1020" s="557">
        <v>3.3386</v>
      </c>
    </row>
    <row r="1021" spans="39:44">
      <c r="AM1021" s="556">
        <v>44916</v>
      </c>
      <c r="AN1021" s="557">
        <v>5.25</v>
      </c>
      <c r="AO1021" s="557">
        <v>34800</v>
      </c>
      <c r="AP1021" s="557">
        <v>103.18898</v>
      </c>
      <c r="AQ1021" s="557">
        <v>541.74214500000005</v>
      </c>
      <c r="AR1021" s="557">
        <v>3.4205000000000001</v>
      </c>
    </row>
    <row r="1022" spans="39:44">
      <c r="AM1022" s="556">
        <v>44915</v>
      </c>
      <c r="AN1022" s="557">
        <v>5.25</v>
      </c>
      <c r="AO1022" s="557">
        <v>34800</v>
      </c>
      <c r="AP1022" s="557">
        <v>103.18898</v>
      </c>
      <c r="AQ1022" s="557">
        <v>541.74214500000005</v>
      </c>
      <c r="AR1022" s="557">
        <v>3.4205000000000001</v>
      </c>
    </row>
    <row r="1023" spans="39:44">
      <c r="AM1023" s="556">
        <v>44914</v>
      </c>
      <c r="AN1023" s="557">
        <v>5.25</v>
      </c>
      <c r="AO1023" s="557">
        <v>34800</v>
      </c>
      <c r="AP1023" s="557">
        <v>103.18898</v>
      </c>
      <c r="AQ1023" s="557">
        <v>541.74214500000005</v>
      </c>
      <c r="AR1023" s="557">
        <v>3.4205000000000001</v>
      </c>
    </row>
    <row r="1024" spans="39:44">
      <c r="AM1024" s="556">
        <v>44913</v>
      </c>
      <c r="AN1024" s="557">
        <v>5.2249999999999996</v>
      </c>
      <c r="AO1024" s="557">
        <v>42200</v>
      </c>
      <c r="AP1024" s="557">
        <v>103.18898</v>
      </c>
      <c r="AQ1024" s="557">
        <v>539.16242049999994</v>
      </c>
      <c r="AR1024" s="557">
        <v>3.5160999999999998</v>
      </c>
    </row>
    <row r="1025" spans="39:44">
      <c r="AM1025" s="556">
        <v>44912</v>
      </c>
      <c r="AN1025" s="557">
        <v>5.335</v>
      </c>
      <c r="AO1025" s="557">
        <v>68700</v>
      </c>
      <c r="AP1025" s="557">
        <v>103.18898</v>
      </c>
      <c r="AQ1025" s="557">
        <v>550.51320829999997</v>
      </c>
      <c r="AR1025" s="557">
        <v>3.5366</v>
      </c>
    </row>
    <row r="1026" spans="39:44">
      <c r="AM1026" s="556">
        <v>44911</v>
      </c>
      <c r="AN1026" s="557">
        <v>5.86</v>
      </c>
      <c r="AO1026" s="557">
        <v>258600</v>
      </c>
      <c r="AP1026" s="557">
        <v>103.18898</v>
      </c>
      <c r="AQ1026" s="557">
        <v>604.68742280000004</v>
      </c>
      <c r="AR1026" s="557">
        <v>3.7208999999999999</v>
      </c>
    </row>
    <row r="1027" spans="39:44">
      <c r="AM1027" s="556">
        <v>44910</v>
      </c>
      <c r="AN1027" s="557">
        <v>5.49</v>
      </c>
      <c r="AO1027" s="557">
        <v>17200</v>
      </c>
      <c r="AP1027" s="557">
        <v>103.18898</v>
      </c>
      <c r="AQ1027" s="557">
        <v>566.50750019999998</v>
      </c>
      <c r="AR1027" s="557">
        <v>3.7414000000000001</v>
      </c>
    </row>
    <row r="1028" spans="39:44">
      <c r="AM1028" s="556">
        <v>44909</v>
      </c>
      <c r="AN1028" s="557">
        <v>5.7649999999999997</v>
      </c>
      <c r="AO1028" s="557">
        <v>13900</v>
      </c>
      <c r="AP1028" s="557">
        <v>103.18898</v>
      </c>
      <c r="AQ1028" s="557">
        <v>594.88446969999995</v>
      </c>
      <c r="AR1028" s="557">
        <v>3.8984999999999999</v>
      </c>
    </row>
    <row r="1029" spans="39:44">
      <c r="AM1029" s="556">
        <v>44908</v>
      </c>
      <c r="AN1029" s="557">
        <v>5.7649999999999997</v>
      </c>
      <c r="AO1029" s="557">
        <v>13900</v>
      </c>
      <c r="AP1029" s="557">
        <v>103.18898</v>
      </c>
      <c r="AQ1029" s="557">
        <v>594.88446969999995</v>
      </c>
      <c r="AR1029" s="557">
        <v>3.8984999999999999</v>
      </c>
    </row>
    <row r="1030" spans="39:44">
      <c r="AM1030" s="556">
        <v>44907</v>
      </c>
      <c r="AN1030" s="557">
        <v>5.7649999999999997</v>
      </c>
      <c r="AO1030" s="557">
        <v>13900</v>
      </c>
      <c r="AP1030" s="557">
        <v>103.18898</v>
      </c>
      <c r="AQ1030" s="557">
        <v>594.88446969999995</v>
      </c>
      <c r="AR1030" s="557">
        <v>3.8984999999999999</v>
      </c>
    </row>
    <row r="1031" spans="39:44">
      <c r="AM1031" s="556">
        <v>44906</v>
      </c>
      <c r="AN1031" s="557">
        <v>5.85</v>
      </c>
      <c r="AO1031" s="557">
        <v>10700</v>
      </c>
      <c r="AP1031" s="557">
        <v>103.18898</v>
      </c>
      <c r="AQ1031" s="557">
        <v>603.65553299999999</v>
      </c>
      <c r="AR1031" s="557">
        <v>3.8915999999999999</v>
      </c>
    </row>
    <row r="1032" spans="39:44">
      <c r="AM1032" s="556">
        <v>44905</v>
      </c>
      <c r="AN1032" s="557">
        <v>5.8</v>
      </c>
      <c r="AO1032" s="557">
        <v>46600</v>
      </c>
      <c r="AP1032" s="557">
        <v>103.18898</v>
      </c>
      <c r="AQ1032" s="557">
        <v>598.496084</v>
      </c>
      <c r="AR1032" s="557">
        <v>3.8915999999999999</v>
      </c>
    </row>
    <row r="1033" spans="39:44">
      <c r="AM1033" s="556">
        <v>44904</v>
      </c>
      <c r="AN1033" s="557">
        <v>6.2850000000000001</v>
      </c>
      <c r="AO1033" s="557">
        <v>21600</v>
      </c>
      <c r="AP1033" s="557">
        <v>103.18898</v>
      </c>
      <c r="AQ1033" s="557">
        <v>648.54273929999999</v>
      </c>
      <c r="AR1033" s="557">
        <v>4.2262000000000004</v>
      </c>
    </row>
    <row r="1034" spans="39:44">
      <c r="AM1034" s="556">
        <v>44903</v>
      </c>
      <c r="AN1034" s="557">
        <v>6.2850000000000001</v>
      </c>
      <c r="AO1034" s="557">
        <v>21600</v>
      </c>
      <c r="AP1034" s="557">
        <v>103.18898</v>
      </c>
      <c r="AQ1034" s="557">
        <v>648.54273929999999</v>
      </c>
      <c r="AR1034" s="557">
        <v>4.2262000000000004</v>
      </c>
    </row>
    <row r="1035" spans="39:44">
      <c r="AM1035" s="556">
        <v>44902</v>
      </c>
      <c r="AN1035" s="557">
        <v>6.2549999999999999</v>
      </c>
      <c r="AO1035" s="557">
        <v>2800</v>
      </c>
      <c r="AP1035" s="557">
        <v>103.18898</v>
      </c>
      <c r="AQ1035" s="557">
        <v>645.44706989999997</v>
      </c>
      <c r="AR1035" s="557">
        <v>4.3559000000000001</v>
      </c>
    </row>
    <row r="1036" spans="39:44">
      <c r="AM1036" s="556">
        <v>44901</v>
      </c>
      <c r="AN1036" s="557">
        <v>6.2549999999999999</v>
      </c>
      <c r="AO1036" s="557">
        <v>2800</v>
      </c>
      <c r="AP1036" s="557">
        <v>103.18898</v>
      </c>
      <c r="AQ1036" s="557">
        <v>645.44706989999997</v>
      </c>
      <c r="AR1036" s="557">
        <v>4.3559000000000001</v>
      </c>
    </row>
    <row r="1037" spans="39:44">
      <c r="AM1037" s="556">
        <v>44900</v>
      </c>
      <c r="AN1037" s="557">
        <v>6.2549999999999999</v>
      </c>
      <c r="AO1037" s="557">
        <v>2800</v>
      </c>
      <c r="AP1037" s="557">
        <v>103.18898</v>
      </c>
      <c r="AQ1037" s="557">
        <v>645.44706989999997</v>
      </c>
      <c r="AR1037" s="557">
        <v>4.3559000000000001</v>
      </c>
    </row>
    <row r="1038" spans="39:44">
      <c r="AM1038" s="556">
        <v>44899</v>
      </c>
      <c r="AN1038" s="557">
        <v>6.2050000000000001</v>
      </c>
      <c r="AO1038" s="557">
        <v>31600</v>
      </c>
      <c r="AP1038" s="557">
        <v>103.18898</v>
      </c>
      <c r="AQ1038" s="557">
        <v>640.28762089999998</v>
      </c>
      <c r="AR1038" s="557">
        <v>4.3627000000000002</v>
      </c>
    </row>
    <row r="1039" spans="39:44">
      <c r="AM1039" s="556">
        <v>44898</v>
      </c>
      <c r="AN1039" s="557">
        <v>6.3049999999999997</v>
      </c>
      <c r="AO1039" s="557">
        <v>6800</v>
      </c>
      <c r="AP1039" s="557">
        <v>103.18898</v>
      </c>
      <c r="AQ1039" s="557">
        <v>650.60651889999997</v>
      </c>
      <c r="AR1039" s="557">
        <v>4.3764000000000003</v>
      </c>
    </row>
    <row r="1040" spans="39:44">
      <c r="AM1040" s="556">
        <v>44897</v>
      </c>
      <c r="AN1040" s="557">
        <v>6.36</v>
      </c>
      <c r="AO1040" s="557">
        <v>6400</v>
      </c>
      <c r="AP1040" s="557">
        <v>103.18898</v>
      </c>
      <c r="AQ1040" s="557">
        <v>656.28191279999999</v>
      </c>
      <c r="AR1040" s="557">
        <v>4.3832000000000004</v>
      </c>
    </row>
    <row r="1041" spans="39:44">
      <c r="AM1041" s="556">
        <v>44896</v>
      </c>
      <c r="AN1041" s="557">
        <v>6.36</v>
      </c>
      <c r="AO1041" s="557">
        <v>7800</v>
      </c>
      <c r="AP1041" s="557">
        <v>103.18898</v>
      </c>
      <c r="AQ1041" s="557">
        <v>656.28191279999999</v>
      </c>
      <c r="AR1041" s="557">
        <v>4.431</v>
      </c>
    </row>
    <row r="1042" spans="39:44">
      <c r="AM1042" s="556">
        <v>44895</v>
      </c>
      <c r="AN1042" s="557">
        <v>6.1349999999999998</v>
      </c>
      <c r="AO1042" s="557">
        <v>26500</v>
      </c>
      <c r="AP1042" s="557">
        <v>103.18898</v>
      </c>
      <c r="AQ1042" s="557">
        <v>633.06439230000001</v>
      </c>
      <c r="AR1042" s="557">
        <v>4.274</v>
      </c>
    </row>
    <row r="1043" spans="39:44">
      <c r="AM1043" s="556">
        <v>44894</v>
      </c>
      <c r="AN1043" s="557">
        <v>6.1349999999999998</v>
      </c>
      <c r="AO1043" s="557">
        <v>26500</v>
      </c>
      <c r="AP1043" s="557">
        <v>103.18898</v>
      </c>
      <c r="AQ1043" s="557">
        <v>633.06439230000001</v>
      </c>
      <c r="AR1043" s="557">
        <v>4.274</v>
      </c>
    </row>
    <row r="1044" spans="39:44">
      <c r="AM1044" s="556">
        <v>44893</v>
      </c>
      <c r="AN1044" s="557">
        <v>6.1349999999999998</v>
      </c>
      <c r="AO1044" s="557">
        <v>26500</v>
      </c>
      <c r="AP1044" s="557">
        <v>103.18898</v>
      </c>
      <c r="AQ1044" s="557">
        <v>633.06439230000001</v>
      </c>
      <c r="AR1044" s="557">
        <v>4.274</v>
      </c>
    </row>
    <row r="1045" spans="39:44">
      <c r="AM1045" s="556">
        <v>44892</v>
      </c>
      <c r="AN1045" s="557">
        <v>5.89</v>
      </c>
      <c r="AO1045" s="557">
        <v>8900</v>
      </c>
      <c r="AP1045" s="557">
        <v>103.18898</v>
      </c>
      <c r="AQ1045" s="557">
        <v>607.78309219999994</v>
      </c>
      <c r="AR1045" s="557">
        <v>4.0964999999999998</v>
      </c>
    </row>
    <row r="1046" spans="39:44">
      <c r="AM1046" s="556">
        <v>44891</v>
      </c>
      <c r="AN1046" s="557">
        <v>5.78</v>
      </c>
      <c r="AO1046" s="557">
        <v>12200</v>
      </c>
      <c r="AP1046" s="557">
        <v>103.18898</v>
      </c>
      <c r="AQ1046" s="557">
        <v>596.43230440000002</v>
      </c>
      <c r="AR1046" s="557">
        <v>4.0145</v>
      </c>
    </row>
    <row r="1047" spans="39:44">
      <c r="AM1047" s="556">
        <v>44890</v>
      </c>
      <c r="AN1047" s="557">
        <v>5.78</v>
      </c>
      <c r="AO1047" s="557">
        <v>12200</v>
      </c>
      <c r="AP1047" s="557">
        <v>103.18898</v>
      </c>
      <c r="AQ1047" s="557">
        <v>596.43230440000002</v>
      </c>
      <c r="AR1047" s="557">
        <v>4.0145</v>
      </c>
    </row>
    <row r="1048" spans="39:44">
      <c r="AM1048" s="556">
        <v>44889</v>
      </c>
      <c r="AN1048" s="557">
        <v>5.7750000000000004</v>
      </c>
      <c r="AO1048" s="557">
        <v>4700</v>
      </c>
      <c r="AP1048" s="557">
        <v>103.18898</v>
      </c>
      <c r="AQ1048" s="557">
        <v>595.9163595</v>
      </c>
      <c r="AR1048" s="557">
        <v>3.8643000000000001</v>
      </c>
    </row>
    <row r="1049" spans="39:44">
      <c r="AM1049" s="556">
        <v>44888</v>
      </c>
      <c r="AN1049" s="557">
        <v>5.7450000000000001</v>
      </c>
      <c r="AO1049" s="557">
        <v>11000</v>
      </c>
      <c r="AP1049" s="557">
        <v>103.18898</v>
      </c>
      <c r="AQ1049" s="557">
        <v>592.82069009999998</v>
      </c>
      <c r="AR1049" s="557">
        <v>4.0213999999999999</v>
      </c>
    </row>
    <row r="1050" spans="39:44">
      <c r="AM1050" s="556">
        <v>44887</v>
      </c>
      <c r="AN1050" s="557">
        <v>5.7450000000000001</v>
      </c>
      <c r="AO1050" s="557">
        <v>11000</v>
      </c>
      <c r="AP1050" s="557">
        <v>103.18898</v>
      </c>
      <c r="AQ1050" s="557">
        <v>592.82069009999998</v>
      </c>
      <c r="AR1050" s="557">
        <v>4.0213999999999999</v>
      </c>
    </row>
    <row r="1051" spans="39:44">
      <c r="AM1051" s="556">
        <v>44886</v>
      </c>
      <c r="AN1051" s="557">
        <v>5.7450000000000001</v>
      </c>
      <c r="AO1051" s="557">
        <v>11000</v>
      </c>
      <c r="AP1051" s="557">
        <v>103.18898</v>
      </c>
      <c r="AQ1051" s="557">
        <v>592.82069009999998</v>
      </c>
      <c r="AR1051" s="557">
        <v>4.0213999999999999</v>
      </c>
    </row>
  </sheetData>
  <mergeCells count="5">
    <mergeCell ref="C3:H3"/>
    <mergeCell ref="J3:O3"/>
    <mergeCell ref="Y3:AD3"/>
    <mergeCell ref="AF3:AK3"/>
    <mergeCell ref="R3:W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Normal="100" workbookViewId="0">
      <selection activeCell="J12" sqref="J12"/>
    </sheetView>
  </sheetViews>
  <sheetFormatPr defaultColWidth="9" defaultRowHeight="15" customHeight="1"/>
  <cols>
    <col min="1" max="1" width="3.625" style="379" customWidth="1"/>
    <col min="2" max="2" width="39.125" style="23" customWidth="1"/>
    <col min="3" max="3" width="13.625" style="23" customWidth="1"/>
    <col min="4" max="13" width="12.625" style="23" customWidth="1"/>
    <col min="14" max="17" width="12.625" style="25" customWidth="1"/>
    <col min="18" max="16384" width="9" style="25"/>
  </cols>
  <sheetData>
    <row r="1" spans="1:13" s="574" customFormat="1" ht="15" customHeight="1"/>
    <row r="2" spans="1:13" s="574" customFormat="1" ht="15" customHeight="1"/>
    <row r="3" spans="1:13" s="574" customFormat="1" ht="15" customHeight="1"/>
    <row r="4" spans="1:13" s="574" customFormat="1" ht="15" customHeight="1"/>
    <row r="5" spans="1:13" s="418" customFormat="1" ht="3.95" customHeight="1">
      <c r="A5" s="569"/>
      <c r="B5" s="36"/>
      <c r="C5" s="36"/>
      <c r="D5" s="36"/>
      <c r="E5" s="36"/>
      <c r="F5" s="36"/>
      <c r="G5" s="36"/>
      <c r="H5" s="36"/>
      <c r="I5" s="36"/>
      <c r="J5" s="36"/>
      <c r="K5" s="36"/>
      <c r="L5" s="36"/>
      <c r="M5" s="36"/>
    </row>
    <row r="7" spans="1:13" ht="15" customHeight="1">
      <c r="A7" s="379" t="s">
        <v>39</v>
      </c>
      <c r="B7" s="371" t="s">
        <v>789</v>
      </c>
      <c r="C7" s="32"/>
      <c r="D7" s="32"/>
      <c r="E7" s="32"/>
      <c r="F7" s="32"/>
      <c r="G7" s="32"/>
      <c r="H7" s="32"/>
      <c r="I7" s="32"/>
      <c r="J7" s="32"/>
      <c r="K7" s="32"/>
      <c r="L7" s="32"/>
    </row>
    <row r="8" spans="1:13" ht="3.95" customHeight="1">
      <c r="B8" s="420"/>
      <c r="C8" s="386"/>
      <c r="D8" s="386"/>
      <c r="E8" s="386"/>
      <c r="F8" s="386"/>
      <c r="G8" s="386"/>
      <c r="H8" s="386"/>
      <c r="I8" s="386"/>
      <c r="J8" s="386"/>
      <c r="K8" s="386"/>
      <c r="L8" s="386"/>
    </row>
    <row r="9" spans="1:13" ht="15" customHeight="1">
      <c r="B9" s="421"/>
      <c r="C9" s="25"/>
      <c r="D9" s="25"/>
      <c r="E9" s="421"/>
      <c r="F9" s="25"/>
      <c r="G9" s="25"/>
      <c r="H9" s="421"/>
      <c r="J9" s="25"/>
      <c r="K9" s="421"/>
      <c r="L9" s="25"/>
    </row>
    <row r="10" spans="1:13" ht="15" customHeight="1">
      <c r="B10" s="371" t="s">
        <v>790</v>
      </c>
      <c r="C10" s="32"/>
      <c r="D10" s="32"/>
      <c r="E10" s="32"/>
      <c r="G10" s="371" t="s">
        <v>791</v>
      </c>
      <c r="H10" s="371"/>
      <c r="I10" s="371"/>
      <c r="J10" s="371" t="s">
        <v>792</v>
      </c>
      <c r="K10" s="371" t="s">
        <v>793</v>
      </c>
      <c r="L10" s="371" t="s">
        <v>794</v>
      </c>
    </row>
    <row r="11" spans="1:13" ht="15" customHeight="1">
      <c r="B11" s="23" t="s">
        <v>795</v>
      </c>
      <c r="E11" s="422">
        <f>(G86+G77)</f>
        <v>94532</v>
      </c>
      <c r="G11" s="23" t="s">
        <v>796</v>
      </c>
      <c r="J11" s="673"/>
      <c r="K11" s="674"/>
      <c r="L11" s="48">
        <f>K11*$E$13</f>
        <v>0</v>
      </c>
    </row>
    <row r="12" spans="1:13" ht="15" customHeight="1">
      <c r="B12" s="352" t="s">
        <v>797</v>
      </c>
      <c r="C12" s="352"/>
      <c r="D12" s="352"/>
      <c r="E12" s="671"/>
      <c r="G12" s="23" t="s">
        <v>798</v>
      </c>
      <c r="J12" s="673"/>
      <c r="K12" s="674"/>
      <c r="L12" s="48">
        <f>K12*$E$13</f>
        <v>0</v>
      </c>
    </row>
    <row r="13" spans="1:13" ht="15" customHeight="1">
      <c r="B13" s="33" t="s">
        <v>731</v>
      </c>
      <c r="E13" s="423">
        <f>E11*E12</f>
        <v>0</v>
      </c>
      <c r="G13" s="23" t="s">
        <v>799</v>
      </c>
      <c r="J13" s="673"/>
      <c r="K13" s="674"/>
      <c r="L13" s="48">
        <f>K13*$E$13</f>
        <v>0</v>
      </c>
    </row>
    <row r="14" spans="1:13" ht="15" customHeight="1">
      <c r="B14" s="352" t="s">
        <v>800</v>
      </c>
      <c r="C14" s="352"/>
      <c r="D14" s="352"/>
      <c r="E14" s="424">
        <f>BS!AJ38+BS!AJ39+BS!AJ44+BS!AJ45-BS!AJ15</f>
        <v>0</v>
      </c>
      <c r="J14" s="425"/>
      <c r="L14" s="48"/>
    </row>
    <row r="15" spans="1:13" ht="15" customHeight="1">
      <c r="B15" s="33" t="s">
        <v>801</v>
      </c>
      <c r="E15" s="423">
        <f>E13-E14</f>
        <v>0</v>
      </c>
      <c r="G15" s="371" t="s">
        <v>802</v>
      </c>
      <c r="H15" s="371"/>
      <c r="I15" s="371"/>
      <c r="J15" s="371"/>
      <c r="K15" s="371"/>
      <c r="L15" s="371"/>
    </row>
    <row r="16" spans="1:13" ht="15" customHeight="1">
      <c r="G16" s="23" t="s">
        <v>803</v>
      </c>
      <c r="L16" s="426" t="e">
        <f>L180</f>
        <v>#DIV/0!</v>
      </c>
    </row>
    <row r="17" spans="1:12" ht="15" customHeight="1">
      <c r="B17" s="23" t="s">
        <v>804</v>
      </c>
      <c r="E17" s="48">
        <f>0.03*E13</f>
        <v>0</v>
      </c>
      <c r="G17" s="23" t="s">
        <v>805</v>
      </c>
      <c r="L17" s="426" t="e">
        <f>L181</f>
        <v>#DIV/0!</v>
      </c>
    </row>
    <row r="19" spans="1:12" ht="15" customHeight="1">
      <c r="B19" s="371" t="s">
        <v>806</v>
      </c>
      <c r="C19" s="32"/>
      <c r="D19" s="32"/>
      <c r="E19" s="32"/>
      <c r="I19" s="419"/>
    </row>
    <row r="20" spans="1:12" ht="15" customHeight="1">
      <c r="B20" s="23" t="s">
        <v>807</v>
      </c>
      <c r="E20" s="672"/>
      <c r="H20" s="427"/>
    </row>
    <row r="21" spans="1:12" ht="15" customHeight="1">
      <c r="C21" s="428"/>
    </row>
    <row r="22" spans="1:12" ht="15" customHeight="1">
      <c r="A22" s="379" t="s">
        <v>39</v>
      </c>
      <c r="B22" s="371" t="s">
        <v>808</v>
      </c>
      <c r="C22" s="32"/>
      <c r="D22" s="32"/>
      <c r="E22" s="32"/>
      <c r="F22" s="32"/>
      <c r="G22" s="32"/>
      <c r="H22" s="32"/>
      <c r="I22" s="32"/>
      <c r="J22" s="32"/>
      <c r="K22" s="32"/>
      <c r="L22" s="32"/>
    </row>
    <row r="23" spans="1:12" ht="3.95" customHeight="1">
      <c r="B23" s="420"/>
      <c r="C23" s="386"/>
      <c r="D23" s="386"/>
      <c r="E23" s="386"/>
      <c r="F23" s="386"/>
      <c r="G23" s="386"/>
      <c r="H23" s="386"/>
      <c r="I23" s="386"/>
      <c r="J23" s="386"/>
      <c r="K23" s="386"/>
      <c r="L23" s="386"/>
    </row>
    <row r="24" spans="1:12" ht="15" customHeight="1">
      <c r="C24" s="429"/>
    </row>
    <row r="25" spans="1:12" ht="15" customHeight="1">
      <c r="B25" s="371" t="s">
        <v>809</v>
      </c>
      <c r="C25" s="32"/>
      <c r="D25" s="32"/>
      <c r="E25" s="32"/>
      <c r="G25" s="371" t="s">
        <v>810</v>
      </c>
      <c r="H25" s="32"/>
      <c r="I25" s="32"/>
      <c r="J25" s="32"/>
      <c r="K25" s="32"/>
      <c r="L25" s="32"/>
    </row>
    <row r="26" spans="1:12" ht="15" customHeight="1">
      <c r="B26" s="341"/>
      <c r="C26" s="421" t="s">
        <v>794</v>
      </c>
      <c r="D26" s="421" t="s">
        <v>811</v>
      </c>
      <c r="E26" s="421" t="s">
        <v>812</v>
      </c>
      <c r="J26" s="421" t="s">
        <v>794</v>
      </c>
      <c r="K26" s="421" t="s">
        <v>811</v>
      </c>
      <c r="L26" s="421" t="s">
        <v>812</v>
      </c>
    </row>
    <row r="27" spans="1:12" ht="15" customHeight="1">
      <c r="B27" s="25" t="s">
        <v>796</v>
      </c>
      <c r="C27" s="422">
        <f>L11</f>
        <v>0</v>
      </c>
      <c r="D27" s="430">
        <f>C27/$E$11</f>
        <v>0</v>
      </c>
      <c r="E27" s="431" t="e">
        <f>C27/$C$34</f>
        <v>#DIV/0!</v>
      </c>
      <c r="G27" s="25" t="s">
        <v>813</v>
      </c>
      <c r="H27" s="25"/>
      <c r="I27" s="25"/>
      <c r="J27" s="422">
        <f>E14</f>
        <v>0</v>
      </c>
      <c r="K27" s="430">
        <f>J27/$E$11</f>
        <v>0</v>
      </c>
      <c r="L27" s="431" t="e">
        <f>J27/$J$34</f>
        <v>#DIV/0!</v>
      </c>
    </row>
    <row r="28" spans="1:12" ht="15" customHeight="1">
      <c r="B28" s="25" t="s">
        <v>798</v>
      </c>
      <c r="C28" s="422">
        <f>L12</f>
        <v>0</v>
      </c>
      <c r="D28" s="430">
        <f>C28/$E$11</f>
        <v>0</v>
      </c>
      <c r="E28" s="431" t="e">
        <f>C28/$C$34</f>
        <v>#DIV/0!</v>
      </c>
      <c r="G28" s="25" t="s">
        <v>814</v>
      </c>
      <c r="H28" s="25"/>
      <c r="I28" s="25"/>
      <c r="J28" s="422">
        <f>E15</f>
        <v>0</v>
      </c>
      <c r="K28" s="430">
        <f>J28/$E$11</f>
        <v>0</v>
      </c>
      <c r="L28" s="431" t="e">
        <f>J28/$J$34</f>
        <v>#DIV/0!</v>
      </c>
    </row>
    <row r="29" spans="1:12" ht="15" customHeight="1">
      <c r="B29" s="432" t="s">
        <v>799</v>
      </c>
      <c r="C29" s="433">
        <f>L13</f>
        <v>0</v>
      </c>
      <c r="D29" s="434">
        <f>C29/$E$11</f>
        <v>0</v>
      </c>
      <c r="E29" s="435" t="e">
        <f>C29/$C$34</f>
        <v>#DIV/0!</v>
      </c>
      <c r="G29" s="25"/>
      <c r="H29" s="25"/>
      <c r="I29" s="25"/>
      <c r="J29" s="436"/>
      <c r="K29" s="25"/>
      <c r="L29" s="419"/>
    </row>
    <row r="30" spans="1:12" ht="15" customHeight="1">
      <c r="B30" s="341" t="s">
        <v>408</v>
      </c>
      <c r="C30" s="437">
        <f>SUM(C27:C29)</f>
        <v>0</v>
      </c>
      <c r="D30" s="438">
        <f>C30/$E$11</f>
        <v>0</v>
      </c>
      <c r="E30" s="439" t="e">
        <f>C30/$C$34</f>
        <v>#DIV/0!</v>
      </c>
      <c r="G30" s="25" t="s">
        <v>804</v>
      </c>
      <c r="H30" s="25"/>
      <c r="I30" s="25"/>
      <c r="J30" s="422">
        <f>E17</f>
        <v>0</v>
      </c>
      <c r="K30" s="430">
        <f>J30/$E$11</f>
        <v>0</v>
      </c>
      <c r="L30" s="431" t="e">
        <f>J30/$J$34</f>
        <v>#DIV/0!</v>
      </c>
    </row>
    <row r="31" spans="1:12" ht="15" customHeight="1">
      <c r="B31" s="341"/>
      <c r="C31" s="25"/>
      <c r="D31" s="25"/>
      <c r="E31" s="431"/>
      <c r="G31" s="25"/>
      <c r="H31" s="25"/>
      <c r="I31" s="25"/>
      <c r="J31" s="419"/>
      <c r="K31" s="419"/>
      <c r="L31" s="419"/>
    </row>
    <row r="32" spans="1:12" ht="15" customHeight="1">
      <c r="B32" s="25" t="s">
        <v>815</v>
      </c>
      <c r="C32" s="48">
        <f>C34-C30</f>
        <v>0</v>
      </c>
      <c r="D32" s="430">
        <f>C32/$E$11</f>
        <v>0</v>
      </c>
      <c r="E32" s="431" t="e">
        <f>C32/$C$34</f>
        <v>#DIV/0!</v>
      </c>
      <c r="G32" s="25"/>
      <c r="H32" s="25"/>
      <c r="I32" s="25"/>
    </row>
    <row r="34" spans="1:12" ht="15" customHeight="1">
      <c r="B34" s="440" t="s">
        <v>816</v>
      </c>
      <c r="C34" s="441">
        <f>J34</f>
        <v>0</v>
      </c>
      <c r="D34" s="442">
        <f>C34/$E$11</f>
        <v>0</v>
      </c>
      <c r="E34" s="443" t="e">
        <f>C34/$C$34</f>
        <v>#DIV/0!</v>
      </c>
      <c r="G34" s="444" t="s">
        <v>817</v>
      </c>
      <c r="H34" s="445"/>
      <c r="I34" s="445"/>
      <c r="J34" s="446">
        <f>J27+J28+J30</f>
        <v>0</v>
      </c>
      <c r="K34" s="447">
        <f>J34/$E$11</f>
        <v>0</v>
      </c>
      <c r="L34" s="448" t="e">
        <f>J34/$J$34</f>
        <v>#DIV/0!</v>
      </c>
    </row>
    <row r="35" spans="1:12" ht="15" customHeight="1">
      <c r="C35" s="428"/>
    </row>
    <row r="36" spans="1:12" ht="15" customHeight="1">
      <c r="B36" s="371" t="s">
        <v>443</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79" t="s">
        <v>39</v>
      </c>
      <c r="B38" s="32"/>
      <c r="C38" s="32"/>
      <c r="D38" s="32"/>
      <c r="E38" s="449">
        <v>2022</v>
      </c>
      <c r="F38" s="449">
        <f t="shared" ref="F38:L38" si="0">+E38+1</f>
        <v>2023</v>
      </c>
      <c r="G38" s="449">
        <f t="shared" si="0"/>
        <v>2024</v>
      </c>
      <c r="H38" s="450">
        <f t="shared" si="0"/>
        <v>2025</v>
      </c>
      <c r="I38" s="450">
        <f t="shared" si="0"/>
        <v>2026</v>
      </c>
      <c r="J38" s="450">
        <f t="shared" si="0"/>
        <v>2027</v>
      </c>
      <c r="K38" s="450">
        <f t="shared" si="0"/>
        <v>2028</v>
      </c>
      <c r="L38" s="450">
        <f t="shared" si="0"/>
        <v>2029</v>
      </c>
    </row>
    <row r="50" spans="1:12" ht="15" customHeight="1">
      <c r="B50" s="290" t="s">
        <v>321</v>
      </c>
      <c r="C50" s="455"/>
      <c r="D50" s="456"/>
      <c r="E50" s="457"/>
      <c r="F50" s="457"/>
      <c r="G50" s="458"/>
      <c r="H50" s="313">
        <v>350000</v>
      </c>
      <c r="I50" s="313">
        <v>352000</v>
      </c>
      <c r="J50" s="313">
        <v>350000</v>
      </c>
      <c r="K50" s="313">
        <v>352000</v>
      </c>
      <c r="L50" s="521">
        <v>350000</v>
      </c>
    </row>
    <row r="51" spans="1:12" ht="15" customHeight="1">
      <c r="B51" s="451"/>
      <c r="C51" s="459"/>
      <c r="D51" s="25"/>
      <c r="E51" s="460"/>
      <c r="F51" s="460"/>
      <c r="G51" s="461"/>
      <c r="H51" s="462"/>
      <c r="I51" s="462"/>
      <c r="J51" s="462"/>
      <c r="K51" s="462"/>
      <c r="L51" s="462"/>
    </row>
    <row r="52" spans="1:12" ht="15" customHeight="1">
      <c r="B52" s="371" t="s">
        <v>444</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3.95" customHeight="1">
      <c r="B55" s="464"/>
      <c r="C55" s="465"/>
      <c r="D55" s="418"/>
      <c r="E55" s="466"/>
      <c r="F55" s="466"/>
      <c r="G55" s="466"/>
      <c r="H55" s="467"/>
      <c r="I55" s="467"/>
      <c r="J55" s="467"/>
      <c r="K55" s="467"/>
      <c r="L55" s="467"/>
    </row>
    <row r="56" spans="1:12" ht="3.95" customHeight="1">
      <c r="B56" s="451"/>
      <c r="C56" s="452"/>
      <c r="D56" s="25"/>
      <c r="E56" s="460"/>
      <c r="F56" s="460"/>
      <c r="G56" s="460"/>
      <c r="H56" s="463"/>
      <c r="I56" s="463"/>
      <c r="J56" s="463"/>
      <c r="K56" s="463"/>
      <c r="L56" s="463"/>
    </row>
    <row r="57" spans="1:12" ht="15" customHeight="1">
      <c r="A57" s="379" t="s">
        <v>39</v>
      </c>
      <c r="B57" s="371" t="s">
        <v>445</v>
      </c>
      <c r="C57" s="32"/>
      <c r="D57" s="32"/>
      <c r="E57" s="449">
        <v>2022</v>
      </c>
      <c r="F57" s="449">
        <f t="shared" ref="F57:L57" si="1">+E57+1</f>
        <v>2023</v>
      </c>
      <c r="G57" s="449">
        <f t="shared" si="1"/>
        <v>2024</v>
      </c>
      <c r="H57" s="450">
        <f t="shared" si="1"/>
        <v>2025</v>
      </c>
      <c r="I57" s="450">
        <f t="shared" si="1"/>
        <v>2026</v>
      </c>
      <c r="J57" s="450">
        <f t="shared" si="1"/>
        <v>2027</v>
      </c>
      <c r="K57" s="450">
        <f t="shared" si="1"/>
        <v>2028</v>
      </c>
      <c r="L57" s="450">
        <f t="shared" si="1"/>
        <v>2029</v>
      </c>
    </row>
    <row r="58" spans="1:12" ht="3.95" customHeight="1">
      <c r="B58" s="36"/>
      <c r="C58" s="36"/>
      <c r="D58" s="36"/>
      <c r="E58" s="36"/>
      <c r="F58" s="36"/>
      <c r="G58" s="36"/>
      <c r="H58" s="36"/>
      <c r="I58" s="36"/>
      <c r="J58" s="36"/>
      <c r="K58" s="36"/>
      <c r="L58" s="36"/>
    </row>
    <row r="59" spans="1:12" ht="15" customHeight="1">
      <c r="B59" s="374" t="s">
        <v>364</v>
      </c>
      <c r="D59" s="468" t="e">
        <f>+_xlfn.XLOOKUP($B59,#REF!,#REF!)</f>
        <v>#REF!</v>
      </c>
      <c r="E59" s="58">
        <f>FCFF!H31</f>
        <v>140866</v>
      </c>
      <c r="F59" s="58">
        <f>FCFF!N31</f>
        <v>153382</v>
      </c>
      <c r="G59" s="409">
        <f>FCFF!T31</f>
        <v>177184</v>
      </c>
      <c r="H59" s="469">
        <f>+H50</f>
        <v>350000</v>
      </c>
      <c r="I59" s="469">
        <f t="shared" ref="I59:L59" si="2">+I50</f>
        <v>352000</v>
      </c>
      <c r="J59" s="469">
        <f t="shared" si="2"/>
        <v>350000</v>
      </c>
      <c r="K59" s="469">
        <f t="shared" si="2"/>
        <v>352000</v>
      </c>
      <c r="L59" s="469">
        <f t="shared" si="2"/>
        <v>350000</v>
      </c>
    </row>
    <row r="60" spans="1:12" s="454" customFormat="1" ht="15" customHeight="1">
      <c r="A60" s="379"/>
      <c r="B60" s="31" t="s">
        <v>446</v>
      </c>
      <c r="C60" s="26"/>
      <c r="D60" s="26"/>
      <c r="E60" s="304">
        <f>E59/IS!N18-1</f>
        <v>0.60253464085003761</v>
      </c>
      <c r="F60" s="304">
        <f>F59/E59-1</f>
        <v>8.8850396831030798E-2</v>
      </c>
      <c r="G60" s="410">
        <f>G59/F59-1</f>
        <v>0.15518118162496242</v>
      </c>
      <c r="H60" s="304">
        <f t="shared" ref="H60:L60" si="3">H59/G59-1</f>
        <v>0.97534766118836913</v>
      </c>
      <c r="I60" s="304">
        <f t="shared" si="3"/>
        <v>5.7142857142857828E-3</v>
      </c>
      <c r="J60" s="304">
        <f t="shared" si="3"/>
        <v>-5.6818181818182323E-3</v>
      </c>
      <c r="K60" s="304">
        <f t="shared" si="3"/>
        <v>5.7142857142857828E-3</v>
      </c>
      <c r="L60" s="304">
        <f t="shared" si="3"/>
        <v>-5.6818181818182323E-3</v>
      </c>
    </row>
    <row r="61" spans="1:12" ht="15" customHeight="1">
      <c r="B61" s="398"/>
      <c r="E61" s="57"/>
      <c r="F61" s="57"/>
      <c r="G61" s="411"/>
      <c r="H61" s="431"/>
      <c r="I61" s="431"/>
      <c r="J61" s="431"/>
      <c r="K61" s="431"/>
      <c r="L61" s="431"/>
    </row>
    <row r="62" spans="1:12" ht="15" customHeight="1">
      <c r="B62" s="374" t="s">
        <v>447</v>
      </c>
      <c r="E62" s="58">
        <f>FCFF!H34</f>
        <v>22299</v>
      </c>
      <c r="F62" s="58">
        <f>FCFF!N34</f>
        <v>29103</v>
      </c>
      <c r="G62" s="409">
        <f>FCFF!T34</f>
        <v>33003</v>
      </c>
      <c r="H62" s="469">
        <f>H63*H$59</f>
        <v>0</v>
      </c>
      <c r="I62" s="469">
        <f>I63*I$59</f>
        <v>0</v>
      </c>
      <c r="J62" s="469">
        <f>J63*J$59</f>
        <v>0</v>
      </c>
      <c r="K62" s="469">
        <f>K63*K$59</f>
        <v>0</v>
      </c>
      <c r="L62" s="469">
        <f>L63*L$59</f>
        <v>0</v>
      </c>
    </row>
    <row r="63" spans="1:12" s="454" customFormat="1" ht="15" customHeight="1">
      <c r="A63" s="379"/>
      <c r="B63" s="31" t="s">
        <v>449</v>
      </c>
      <c r="C63" s="26"/>
      <c r="D63" s="26"/>
      <c r="E63" s="304">
        <f>E62/E59</f>
        <v>0.15829937671262051</v>
      </c>
      <c r="F63" s="304">
        <f t="shared" ref="F63:G63" si="4">F62/F59</f>
        <v>0.18974195146757769</v>
      </c>
      <c r="G63" s="410">
        <f t="shared" si="4"/>
        <v>0.18626399674914212</v>
      </c>
      <c r="H63" s="470"/>
      <c r="I63" s="470"/>
      <c r="J63" s="470"/>
      <c r="K63" s="470"/>
      <c r="L63" s="471"/>
    </row>
    <row r="64" spans="1:12" ht="15" customHeight="1">
      <c r="G64" s="203"/>
    </row>
    <row r="65" spans="2:12" ht="15" customHeight="1">
      <c r="B65" s="374" t="s">
        <v>451</v>
      </c>
      <c r="E65" s="58">
        <f>FCFF!H37</f>
        <v>0</v>
      </c>
      <c r="F65" s="58">
        <f>FCFF!N37</f>
        <v>0</v>
      </c>
      <c r="G65" s="409">
        <f>FCFF!T37</f>
        <v>0</v>
      </c>
      <c r="H65" s="469">
        <f>+H66*H62</f>
        <v>0</v>
      </c>
      <c r="I65" s="469">
        <f t="shared" ref="I65:L65" si="5">+I66*I62</f>
        <v>0</v>
      </c>
      <c r="J65" s="469">
        <f t="shared" si="5"/>
        <v>0</v>
      </c>
      <c r="K65" s="469">
        <f t="shared" si="5"/>
        <v>0</v>
      </c>
      <c r="L65" s="469">
        <f t="shared" si="5"/>
        <v>0</v>
      </c>
    </row>
    <row r="66" spans="2:12" s="454" customFormat="1" ht="15" customHeight="1">
      <c r="B66" s="31" t="s">
        <v>818</v>
      </c>
      <c r="C66" s="26"/>
      <c r="D66" s="26"/>
      <c r="E66" s="304">
        <f>E65/E62</f>
        <v>0</v>
      </c>
      <c r="F66" s="304">
        <f t="shared" ref="F66:G66" si="6">F65/F62</f>
        <v>0</v>
      </c>
      <c r="G66" s="410">
        <f t="shared" si="6"/>
        <v>0</v>
      </c>
      <c r="H66" s="470"/>
      <c r="I66" s="470"/>
      <c r="J66" s="470"/>
      <c r="K66" s="470"/>
      <c r="L66" s="470"/>
    </row>
    <row r="67" spans="2:12" ht="15" customHeight="1">
      <c r="B67" s="31"/>
      <c r="E67" s="179"/>
      <c r="F67" s="179"/>
      <c r="G67" s="412"/>
      <c r="H67" s="25"/>
      <c r="I67" s="25"/>
      <c r="J67" s="25"/>
      <c r="K67" s="25"/>
      <c r="L67" s="25"/>
    </row>
    <row r="68" spans="2:12" ht="15" customHeight="1">
      <c r="B68" s="374" t="s">
        <v>453</v>
      </c>
      <c r="E68" s="58">
        <f>FCFF!H40</f>
        <v>118567</v>
      </c>
      <c r="F68" s="58">
        <f>FCFF!N40</f>
        <v>124279</v>
      </c>
      <c r="G68" s="409">
        <f>FCFF!T40</f>
        <v>144181</v>
      </c>
      <c r="H68" s="469">
        <f>+H59-H62-H65</f>
        <v>350000</v>
      </c>
      <c r="I68" s="469">
        <f t="shared" ref="I68:L68" si="7">+I59-I62-I65</f>
        <v>352000</v>
      </c>
      <c r="J68" s="469">
        <f t="shared" si="7"/>
        <v>350000</v>
      </c>
      <c r="K68" s="469">
        <f t="shared" si="7"/>
        <v>352000</v>
      </c>
      <c r="L68" s="469">
        <f t="shared" si="7"/>
        <v>350000</v>
      </c>
    </row>
    <row r="69" spans="2:12" s="454" customFormat="1" ht="15" customHeight="1">
      <c r="B69" s="31" t="s">
        <v>449</v>
      </c>
      <c r="C69" s="26"/>
      <c r="D69" s="26"/>
      <c r="E69" s="306">
        <f>E68/E59</f>
        <v>0.84170062328737949</v>
      </c>
      <c r="F69" s="306">
        <f t="shared" ref="F69:G69" si="8">F68/F59</f>
        <v>0.81025804853242234</v>
      </c>
      <c r="G69" s="413">
        <f t="shared" si="8"/>
        <v>0.81373600325085782</v>
      </c>
      <c r="H69" s="472">
        <f t="shared" ref="H69:L69" si="9">IFERROR(H68/H$59,"")</f>
        <v>1</v>
      </c>
      <c r="I69" s="472">
        <f t="shared" si="9"/>
        <v>1</v>
      </c>
      <c r="J69" s="472">
        <f t="shared" si="9"/>
        <v>1</v>
      </c>
      <c r="K69" s="472">
        <f t="shared" si="9"/>
        <v>1</v>
      </c>
      <c r="L69" s="472">
        <f t="shared" si="9"/>
        <v>1</v>
      </c>
    </row>
    <row r="70" spans="2:12" ht="15" customHeight="1">
      <c r="B70" s="374"/>
      <c r="E70" s="66"/>
      <c r="F70" s="66"/>
      <c r="G70" s="414"/>
      <c r="H70" s="431"/>
      <c r="I70" s="431"/>
      <c r="J70" s="431"/>
      <c r="K70" s="431"/>
      <c r="L70" s="431"/>
    </row>
    <row r="71" spans="2:12" ht="15" customHeight="1">
      <c r="B71" s="374" t="s">
        <v>454</v>
      </c>
      <c r="E71" s="68">
        <f>FCFF!H43</f>
        <v>33991</v>
      </c>
      <c r="F71" s="68">
        <f>FCFF!N43</f>
        <v>45358</v>
      </c>
      <c r="G71" s="415">
        <f>FCFF!T43</f>
        <v>47375</v>
      </c>
      <c r="H71" s="469">
        <f>+H72*H59</f>
        <v>0</v>
      </c>
      <c r="I71" s="469">
        <f t="shared" ref="I71:L71" si="10">+I72*I59</f>
        <v>0</v>
      </c>
      <c r="J71" s="469">
        <f t="shared" si="10"/>
        <v>0</v>
      </c>
      <c r="K71" s="469">
        <f t="shared" si="10"/>
        <v>0</v>
      </c>
      <c r="L71" s="469">
        <f t="shared" si="10"/>
        <v>0</v>
      </c>
    </row>
    <row r="72" spans="2:12" s="454" customFormat="1" ht="15" customHeight="1">
      <c r="B72" s="31" t="s">
        <v>449</v>
      </c>
      <c r="C72" s="26"/>
      <c r="D72" s="26"/>
      <c r="E72" s="306">
        <f>E71/E59</f>
        <v>0.24130024278392231</v>
      </c>
      <c r="F72" s="306">
        <f t="shared" ref="F72:G72" si="11">F71/F59</f>
        <v>0.2957191847804827</v>
      </c>
      <c r="G72" s="413">
        <f t="shared" si="11"/>
        <v>0.2673774155679971</v>
      </c>
      <c r="H72" s="470"/>
      <c r="I72" s="470"/>
      <c r="J72" s="470"/>
      <c r="K72" s="470"/>
      <c r="L72" s="471"/>
    </row>
    <row r="73" spans="2:12" s="475" customFormat="1" ht="15" customHeight="1">
      <c r="B73" s="398"/>
      <c r="C73" s="473"/>
      <c r="D73" s="473"/>
      <c r="E73" s="66"/>
      <c r="F73" s="66"/>
      <c r="G73" s="414"/>
      <c r="H73" s="474"/>
      <c r="I73" s="474"/>
      <c r="J73" s="474"/>
      <c r="K73" s="474"/>
      <c r="L73" s="474"/>
    </row>
    <row r="74" spans="2:12" ht="15" customHeight="1">
      <c r="B74" s="374" t="s">
        <v>455</v>
      </c>
      <c r="E74" s="68">
        <f>FCFF!H46</f>
        <v>0</v>
      </c>
      <c r="F74" s="68">
        <f>FCFF!N46</f>
        <v>0</v>
      </c>
      <c r="G74" s="415">
        <f>FCFF!T46</f>
        <v>0</v>
      </c>
      <c r="H74" s="469">
        <f>+H75*H68</f>
        <v>0</v>
      </c>
      <c r="I74" s="469">
        <f t="shared" ref="I74:L74" si="12">+I75*I68</f>
        <v>0</v>
      </c>
      <c r="J74" s="469">
        <f t="shared" si="12"/>
        <v>0</v>
      </c>
      <c r="K74" s="469">
        <f t="shared" si="12"/>
        <v>0</v>
      </c>
      <c r="L74" s="469">
        <f t="shared" si="12"/>
        <v>0</v>
      </c>
    </row>
    <row r="75" spans="2:12" ht="15" customHeight="1">
      <c r="B75" s="31" t="s">
        <v>456</v>
      </c>
      <c r="E75" s="306">
        <f>E74/E68</f>
        <v>0</v>
      </c>
      <c r="F75" s="306">
        <f t="shared" ref="F75:G75" si="13">F74/F68</f>
        <v>0</v>
      </c>
      <c r="G75" s="413">
        <f t="shared" si="13"/>
        <v>0</v>
      </c>
      <c r="H75" s="470"/>
      <c r="I75" s="470"/>
      <c r="J75" s="470"/>
      <c r="K75" s="470"/>
      <c r="L75" s="470"/>
    </row>
    <row r="76" spans="2:12" ht="15" customHeight="1">
      <c r="B76" s="31"/>
      <c r="E76" s="66"/>
      <c r="F76" s="66"/>
      <c r="G76" s="414"/>
      <c r="H76" s="429"/>
      <c r="I76" s="429"/>
      <c r="J76" s="429"/>
      <c r="K76" s="429"/>
      <c r="L76" s="429"/>
    </row>
    <row r="77" spans="2:12" ht="15" customHeight="1">
      <c r="B77" s="374" t="s">
        <v>457</v>
      </c>
      <c r="E77" s="68">
        <f>FCFF!H49</f>
        <v>915</v>
      </c>
      <c r="F77" s="68">
        <f>FCFF!N49</f>
        <v>1977</v>
      </c>
      <c r="G77" s="415">
        <f>FCFF!T49</f>
        <v>1119</v>
      </c>
      <c r="H77" s="469">
        <f>+H80+H83</f>
        <v>0</v>
      </c>
      <c r="I77" s="469">
        <f t="shared" ref="I77:L77" si="14">+I80+I83</f>
        <v>0</v>
      </c>
      <c r="J77" s="469">
        <f t="shared" si="14"/>
        <v>0</v>
      </c>
      <c r="K77" s="469">
        <f t="shared" si="14"/>
        <v>0</v>
      </c>
      <c r="L77" s="469">
        <f t="shared" si="14"/>
        <v>0</v>
      </c>
    </row>
    <row r="78" spans="2:12" s="454" customFormat="1" ht="15" customHeight="1">
      <c r="B78" s="31" t="s">
        <v>458</v>
      </c>
      <c r="C78" s="26"/>
      <c r="D78" s="26"/>
      <c r="E78" s="306">
        <f>E77/(E111+E114)</f>
        <v>2.6540479016488161E-4</v>
      </c>
      <c r="F78" s="306">
        <f>F77/(F111+F114)</f>
        <v>5.1998058949544526E-4</v>
      </c>
      <c r="G78" s="413">
        <f>G77/(G111+G114)</f>
        <v>2.7391532956493725E-4</v>
      </c>
      <c r="H78" s="306">
        <f t="shared" ref="H78:L78" si="15">H77/(H111+H114)</f>
        <v>0</v>
      </c>
      <c r="I78" s="306">
        <f t="shared" si="15"/>
        <v>0</v>
      </c>
      <c r="J78" s="306">
        <f t="shared" si="15"/>
        <v>0</v>
      </c>
      <c r="K78" s="306">
        <f t="shared" si="15"/>
        <v>0</v>
      </c>
      <c r="L78" s="306">
        <f t="shared" si="15"/>
        <v>0</v>
      </c>
    </row>
    <row r="79" spans="2:12" ht="15" customHeight="1">
      <c r="B79" s="31"/>
      <c r="E79" s="306"/>
      <c r="F79" s="306"/>
      <c r="G79" s="413"/>
      <c r="H79" s="476"/>
      <c r="I79" s="476"/>
      <c r="J79" s="476"/>
      <c r="K79" s="476"/>
      <c r="L79" s="476"/>
    </row>
    <row r="80" spans="2:12" ht="15" customHeight="1">
      <c r="B80" s="477" t="s">
        <v>459</v>
      </c>
      <c r="E80" s="68">
        <f>FCFF!H52</f>
        <v>915</v>
      </c>
      <c r="F80" s="68">
        <f>FCFF!N52</f>
        <v>1977</v>
      </c>
      <c r="G80" s="415">
        <f>FCFF!T52</f>
        <v>2174</v>
      </c>
      <c r="H80" s="478">
        <f>H81*G111</f>
        <v>0</v>
      </c>
      <c r="I80" s="478">
        <f t="shared" ref="I80:L80" si="16">I81*H111</f>
        <v>0</v>
      </c>
      <c r="J80" s="478">
        <f t="shared" si="16"/>
        <v>0</v>
      </c>
      <c r="K80" s="478">
        <f t="shared" si="16"/>
        <v>0</v>
      </c>
      <c r="L80" s="478">
        <f t="shared" si="16"/>
        <v>0</v>
      </c>
    </row>
    <row r="81" spans="2:12" ht="15" customHeight="1">
      <c r="B81" s="300" t="s">
        <v>460</v>
      </c>
      <c r="E81" s="306">
        <f>E80/E111</f>
        <v>2.6635336912268732E-4</v>
      </c>
      <c r="F81" s="306">
        <f>FCFF!N53</f>
        <v>5.212572503403201E-4</v>
      </c>
      <c r="G81" s="413">
        <f>FCFF!T53</f>
        <v>5.375945241521882E-4</v>
      </c>
      <c r="H81" s="470"/>
      <c r="I81" s="470"/>
      <c r="J81" s="470"/>
      <c r="K81" s="470"/>
      <c r="L81" s="470"/>
    </row>
    <row r="82" spans="2:12" ht="15" customHeight="1">
      <c r="B82" s="31"/>
      <c r="E82" s="306"/>
      <c r="F82" s="306"/>
      <c r="G82" s="413"/>
    </row>
    <row r="83" spans="2:12" ht="15" customHeight="1">
      <c r="B83" s="477" t="s">
        <v>461</v>
      </c>
      <c r="E83" s="68">
        <f>FCFF!H55</f>
        <v>0</v>
      </c>
      <c r="F83" s="68">
        <f>FCFF!N55</f>
        <v>0</v>
      </c>
      <c r="G83" s="415">
        <f>FCFF!T55</f>
        <v>0</v>
      </c>
      <c r="H83" s="469">
        <f>H84*G114</f>
        <v>0</v>
      </c>
      <c r="I83" s="469">
        <f t="shared" ref="I83:L83" si="17">I84*H114</f>
        <v>0</v>
      </c>
      <c r="J83" s="469">
        <f t="shared" si="17"/>
        <v>0</v>
      </c>
      <c r="K83" s="469">
        <f t="shared" si="17"/>
        <v>0</v>
      </c>
      <c r="L83" s="469">
        <f t="shared" si="17"/>
        <v>0</v>
      </c>
    </row>
    <row r="84" spans="2:12" ht="15" customHeight="1">
      <c r="B84" s="300" t="s">
        <v>462</v>
      </c>
      <c r="C84" s="479"/>
      <c r="D84" s="479"/>
      <c r="E84" s="306">
        <f>E83/E114</f>
        <v>0</v>
      </c>
      <c r="F84" s="306">
        <f>F83/F114</f>
        <v>0</v>
      </c>
      <c r="G84" s="413">
        <f>G83/G114</f>
        <v>0</v>
      </c>
      <c r="H84" s="470"/>
      <c r="I84" s="470"/>
      <c r="J84" s="470"/>
      <c r="K84" s="470"/>
      <c r="L84" s="471"/>
    </row>
    <row r="85" spans="2:12" ht="15" customHeight="1">
      <c r="B85" s="480"/>
      <c r="C85" s="479"/>
      <c r="D85" s="479"/>
      <c r="E85" s="66"/>
      <c r="F85" s="66"/>
      <c r="G85" s="414"/>
      <c r="H85" s="472"/>
      <c r="I85" s="472"/>
      <c r="J85" s="472"/>
      <c r="K85" s="472"/>
      <c r="L85" s="472"/>
    </row>
    <row r="86" spans="2:12" ht="15" customHeight="1">
      <c r="B86" s="374" t="s">
        <v>464</v>
      </c>
      <c r="C86" s="479"/>
      <c r="D86" s="479"/>
      <c r="E86" s="68">
        <f>FCFF!H61</f>
        <v>84728</v>
      </c>
      <c r="F86" s="68">
        <f>FCFF!N61</f>
        <v>63989</v>
      </c>
      <c r="G86" s="415">
        <f>FCFF!T61</f>
        <v>93413</v>
      </c>
      <c r="H86" s="469">
        <f>H68-H71-H74-H77</f>
        <v>350000</v>
      </c>
      <c r="I86" s="469">
        <f t="shared" ref="I86:L86" si="18">I68-I71-I74-I77</f>
        <v>352000</v>
      </c>
      <c r="J86" s="469">
        <f t="shared" si="18"/>
        <v>350000</v>
      </c>
      <c r="K86" s="469">
        <f t="shared" si="18"/>
        <v>352000</v>
      </c>
      <c r="L86" s="469">
        <f t="shared" si="18"/>
        <v>350000</v>
      </c>
    </row>
    <row r="87" spans="2:12" ht="15" customHeight="1">
      <c r="B87" s="31" t="s">
        <v>449</v>
      </c>
      <c r="C87" s="479"/>
      <c r="D87" s="479"/>
      <c r="E87" s="306">
        <f t="shared" ref="E87:L87" si="19">E86/E59</f>
        <v>0.60147942015816447</v>
      </c>
      <c r="F87" s="306">
        <f t="shared" si="19"/>
        <v>0.41718715364253955</v>
      </c>
      <c r="G87" s="413">
        <f t="shared" si="19"/>
        <v>0.52720900307025464</v>
      </c>
      <c r="H87" s="306">
        <f t="shared" si="19"/>
        <v>1</v>
      </c>
      <c r="I87" s="306">
        <f t="shared" si="19"/>
        <v>1</v>
      </c>
      <c r="J87" s="306">
        <f t="shared" si="19"/>
        <v>1</v>
      </c>
      <c r="K87" s="306">
        <f t="shared" si="19"/>
        <v>1</v>
      </c>
      <c r="L87" s="306">
        <f t="shared" si="19"/>
        <v>1</v>
      </c>
    </row>
    <row r="88" spans="2:12" ht="15" customHeight="1">
      <c r="B88" s="31"/>
      <c r="C88" s="479"/>
      <c r="D88" s="479"/>
      <c r="E88" s="472"/>
      <c r="F88" s="472"/>
      <c r="G88" s="481"/>
      <c r="H88" s="472"/>
      <c r="I88" s="472"/>
      <c r="J88" s="472"/>
      <c r="K88" s="472"/>
      <c r="L88" s="472"/>
    </row>
    <row r="89" spans="2:12" ht="15" customHeight="1">
      <c r="B89" s="374" t="s">
        <v>819</v>
      </c>
      <c r="C89" s="479"/>
      <c r="D89" s="479"/>
      <c r="E89" s="68">
        <f>IS!T38</f>
        <v>115645</v>
      </c>
      <c r="F89" s="68">
        <f>IS!Z38</f>
        <v>122683</v>
      </c>
      <c r="G89" s="415">
        <f>IS!AF38</f>
        <v>143798</v>
      </c>
      <c r="H89" s="66">
        <f>+H164</f>
        <v>0</v>
      </c>
      <c r="I89" s="66">
        <f t="shared" ref="I89:L89" si="20">+I164</f>
        <v>0</v>
      </c>
      <c r="J89" s="66">
        <f t="shared" si="20"/>
        <v>0</v>
      </c>
      <c r="K89" s="66">
        <f t="shared" si="20"/>
        <v>0</v>
      </c>
      <c r="L89" s="66">
        <f t="shared" si="20"/>
        <v>0</v>
      </c>
    </row>
    <row r="90" spans="2:12" ht="15" customHeight="1">
      <c r="B90" s="374"/>
      <c r="C90" s="479"/>
      <c r="D90" s="479"/>
      <c r="E90" s="472"/>
      <c r="F90" s="472"/>
      <c r="G90" s="481"/>
      <c r="H90" s="472"/>
      <c r="I90" s="472"/>
      <c r="J90" s="472"/>
      <c r="K90" s="472"/>
      <c r="L90" s="472"/>
    </row>
    <row r="91" spans="2:12" ht="15" customHeight="1">
      <c r="B91" s="374" t="s">
        <v>609</v>
      </c>
      <c r="C91" s="479"/>
      <c r="D91" s="479"/>
      <c r="E91" s="68">
        <f>IS!T42</f>
        <v>-11935</v>
      </c>
      <c r="F91" s="68">
        <f>IS!Z42</f>
        <v>-51324</v>
      </c>
      <c r="G91" s="415">
        <f>IS!AF42</f>
        <v>-37358</v>
      </c>
      <c r="H91" s="66">
        <f>+H86-H89</f>
        <v>350000</v>
      </c>
      <c r="I91" s="66">
        <f t="shared" ref="I91:L91" si="21">+I86-I89</f>
        <v>352000</v>
      </c>
      <c r="J91" s="66">
        <f t="shared" si="21"/>
        <v>350000</v>
      </c>
      <c r="K91" s="66">
        <f t="shared" si="21"/>
        <v>352000</v>
      </c>
      <c r="L91" s="66">
        <f t="shared" si="21"/>
        <v>350000</v>
      </c>
    </row>
    <row r="92" spans="2:12" ht="15" customHeight="1">
      <c r="B92" s="31" t="s">
        <v>449</v>
      </c>
      <c r="C92" s="479"/>
      <c r="D92" s="479"/>
      <c r="E92" s="472">
        <f t="shared" ref="E92:L92" si="22">E91/E59</f>
        <v>-8.4725909729814156E-2</v>
      </c>
      <c r="F92" s="472">
        <f t="shared" si="22"/>
        <v>-0.33461553506930408</v>
      </c>
      <c r="G92" s="482">
        <f t="shared" si="22"/>
        <v>-0.21084296550478598</v>
      </c>
      <c r="H92" s="472">
        <f t="shared" si="22"/>
        <v>1</v>
      </c>
      <c r="I92" s="472">
        <f t="shared" si="22"/>
        <v>1</v>
      </c>
      <c r="J92" s="472">
        <f t="shared" si="22"/>
        <v>1</v>
      </c>
      <c r="K92" s="472">
        <f t="shared" si="22"/>
        <v>1</v>
      </c>
      <c r="L92" s="472">
        <f t="shared" si="22"/>
        <v>1</v>
      </c>
    </row>
    <row r="93" spans="2:12" ht="15" customHeight="1">
      <c r="B93" s="76"/>
      <c r="C93" s="479"/>
      <c r="D93" s="479"/>
      <c r="E93" s="472"/>
      <c r="F93" s="472"/>
      <c r="G93" s="482"/>
      <c r="H93" s="472"/>
      <c r="I93" s="472"/>
      <c r="J93" s="472"/>
      <c r="K93" s="472"/>
      <c r="L93" s="472"/>
    </row>
    <row r="94" spans="2:12" ht="15" customHeight="1">
      <c r="B94" s="374" t="s">
        <v>611</v>
      </c>
      <c r="C94" s="479"/>
      <c r="D94" s="479"/>
      <c r="E94" s="68">
        <f>IS!T45</f>
        <v>6023</v>
      </c>
      <c r="F94" s="68">
        <f>IS!Z45</f>
        <v>9679</v>
      </c>
      <c r="G94" s="415">
        <f>IS!AF45</f>
        <v>9411</v>
      </c>
      <c r="H94" s="66">
        <f>H95*H91</f>
        <v>0</v>
      </c>
      <c r="I94" s="66">
        <f t="shared" ref="I94:L94" si="23">I95*I91</f>
        <v>0</v>
      </c>
      <c r="J94" s="66">
        <f t="shared" si="23"/>
        <v>0</v>
      </c>
      <c r="K94" s="66">
        <f t="shared" si="23"/>
        <v>0</v>
      </c>
      <c r="L94" s="66">
        <f t="shared" si="23"/>
        <v>0</v>
      </c>
    </row>
    <row r="95" spans="2:12" ht="15" customHeight="1">
      <c r="B95" s="31" t="s">
        <v>820</v>
      </c>
      <c r="C95" s="479"/>
      <c r="D95" s="479"/>
      <c r="E95" s="472">
        <f>E94/E91</f>
        <v>-0.50465018852115628</v>
      </c>
      <c r="F95" s="472">
        <f t="shared" ref="F95:G95" si="24">F94/F91</f>
        <v>-0.18858623645857689</v>
      </c>
      <c r="G95" s="483">
        <f t="shared" si="24"/>
        <v>-0.2519139140210932</v>
      </c>
      <c r="H95" s="470"/>
      <c r="I95" s="470"/>
      <c r="J95" s="470"/>
      <c r="K95" s="470"/>
      <c r="L95" s="471"/>
    </row>
    <row r="96" spans="2:12" ht="15" customHeight="1">
      <c r="G96" s="203"/>
    </row>
    <row r="97" spans="1:12" ht="15" customHeight="1">
      <c r="B97" s="374" t="s">
        <v>665</v>
      </c>
      <c r="C97" s="479"/>
      <c r="D97" s="479"/>
      <c r="E97" s="68">
        <f>IS!T47</f>
        <v>15455.56</v>
      </c>
      <c r="F97" s="68">
        <f>IS!Z47</f>
        <v>11020.5</v>
      </c>
      <c r="G97" s="415">
        <f>IS!AF47</f>
        <v>10679.72</v>
      </c>
      <c r="H97" s="66">
        <f>H91-H94</f>
        <v>350000</v>
      </c>
      <c r="I97" s="66">
        <f t="shared" ref="I97:L97" si="25">I91-I94</f>
        <v>352000</v>
      </c>
      <c r="J97" s="66">
        <f t="shared" si="25"/>
        <v>350000</v>
      </c>
      <c r="K97" s="66">
        <f t="shared" si="25"/>
        <v>352000</v>
      </c>
      <c r="L97" s="66">
        <f t="shared" si="25"/>
        <v>350000</v>
      </c>
    </row>
    <row r="98" spans="1:12" ht="15" customHeight="1">
      <c r="B98" s="31" t="s">
        <v>449</v>
      </c>
      <c r="C98" s="479"/>
      <c r="D98" s="479"/>
      <c r="E98" s="472">
        <f t="shared" ref="E98:L98" si="26">E97/E59</f>
        <v>0.10971817187965868</v>
      </c>
      <c r="F98" s="472">
        <f t="shared" si="26"/>
        <v>7.1850021514910489E-2</v>
      </c>
      <c r="G98" s="482">
        <f t="shared" si="26"/>
        <v>6.0274742640418995E-2</v>
      </c>
      <c r="H98" s="472">
        <f t="shared" si="26"/>
        <v>1</v>
      </c>
      <c r="I98" s="472">
        <f t="shared" si="26"/>
        <v>1</v>
      </c>
      <c r="J98" s="472">
        <f t="shared" si="26"/>
        <v>1</v>
      </c>
      <c r="K98" s="472">
        <f t="shared" si="26"/>
        <v>1</v>
      </c>
      <c r="L98" s="472">
        <f t="shared" si="26"/>
        <v>1</v>
      </c>
    </row>
    <row r="99" spans="1:12" ht="15" customHeight="1">
      <c r="B99" s="31"/>
      <c r="C99" s="479"/>
      <c r="D99" s="479"/>
      <c r="E99" s="484"/>
      <c r="F99" s="484"/>
      <c r="G99" s="485"/>
      <c r="H99" s="472"/>
      <c r="I99" s="472"/>
      <c r="J99" s="472"/>
      <c r="K99" s="472"/>
      <c r="L99" s="472"/>
    </row>
    <row r="100" spans="1:12" ht="15" customHeight="1">
      <c r="A100" s="379" t="s">
        <v>39</v>
      </c>
      <c r="B100" s="371" t="s">
        <v>467</v>
      </c>
      <c r="C100" s="32"/>
      <c r="D100" s="32"/>
      <c r="E100" s="449">
        <f t="shared" ref="E100:L100" si="27">E57</f>
        <v>2022</v>
      </c>
      <c r="F100" s="449">
        <f t="shared" si="27"/>
        <v>2023</v>
      </c>
      <c r="G100" s="449">
        <f t="shared" si="27"/>
        <v>2024</v>
      </c>
      <c r="H100" s="450">
        <f t="shared" si="27"/>
        <v>2025</v>
      </c>
      <c r="I100" s="450">
        <f t="shared" si="27"/>
        <v>2026</v>
      </c>
      <c r="J100" s="450">
        <f t="shared" si="27"/>
        <v>2027</v>
      </c>
      <c r="K100" s="450">
        <f t="shared" si="27"/>
        <v>2028</v>
      </c>
      <c r="L100" s="450">
        <f t="shared" si="27"/>
        <v>2029</v>
      </c>
    </row>
    <row r="101" spans="1:12" ht="3.95" customHeight="1">
      <c r="B101" s="486"/>
      <c r="C101" s="36"/>
      <c r="D101" s="36"/>
      <c r="E101" s="36"/>
      <c r="F101" s="36"/>
      <c r="G101" s="36"/>
      <c r="H101" s="36"/>
      <c r="I101" s="36"/>
      <c r="J101" s="36"/>
      <c r="K101" s="36"/>
      <c r="L101" s="36"/>
    </row>
    <row r="102" spans="1:12" ht="15" customHeight="1">
      <c r="B102" s="374" t="s">
        <v>496</v>
      </c>
      <c r="E102" s="68">
        <f>FCFF!H70</f>
        <v>27790</v>
      </c>
      <c r="F102" s="68">
        <f>FCFF!N70</f>
        <v>64174</v>
      </c>
      <c r="G102" s="415">
        <f>FCFF!T70</f>
        <v>57612</v>
      </c>
      <c r="H102" s="487">
        <f>+H103*H59/365</f>
        <v>0</v>
      </c>
      <c r="I102" s="487">
        <f t="shared" ref="I102:L102" si="28">+I103*I59/365</f>
        <v>0</v>
      </c>
      <c r="J102" s="487">
        <f t="shared" si="28"/>
        <v>0</v>
      </c>
      <c r="K102" s="487">
        <f>+K103*K59/366</f>
        <v>0</v>
      </c>
      <c r="L102" s="487">
        <f t="shared" si="28"/>
        <v>0</v>
      </c>
    </row>
    <row r="103" spans="1:12" ht="15" customHeight="1">
      <c r="B103" s="31" t="s">
        <v>497</v>
      </c>
      <c r="E103" s="322">
        <f>FCFF!H71</f>
        <v>72.007084747206562</v>
      </c>
      <c r="F103" s="322">
        <f>FCFF!N71</f>
        <v>152.71355178573756</v>
      </c>
      <c r="G103" s="416">
        <f>FCFF!T71</f>
        <v>118.68103214737222</v>
      </c>
      <c r="H103" s="488"/>
      <c r="I103" s="488"/>
      <c r="J103" s="488"/>
      <c r="K103" s="488"/>
      <c r="L103" s="488"/>
    </row>
    <row r="104" spans="1:12" ht="15" customHeight="1">
      <c r="B104" s="374"/>
      <c r="E104" s="96"/>
      <c r="F104" s="96"/>
      <c r="G104" s="417"/>
      <c r="H104" s="487"/>
      <c r="I104" s="487"/>
      <c r="J104" s="487"/>
      <c r="K104" s="487"/>
      <c r="L104" s="487"/>
    </row>
    <row r="105" spans="1:12" ht="15" customHeight="1">
      <c r="B105" s="374" t="s">
        <v>498</v>
      </c>
      <c r="E105" s="68">
        <f>FCFF!H73</f>
        <v>0</v>
      </c>
      <c r="F105" s="68">
        <f>FCFF!N73</f>
        <v>0</v>
      </c>
      <c r="G105" s="415">
        <f>FCFF!T73</f>
        <v>0</v>
      </c>
      <c r="H105" s="487">
        <f>+H106*H62/365</f>
        <v>0</v>
      </c>
      <c r="I105" s="487">
        <f t="shared" ref="I105:L105" si="29">+I106*I62/365</f>
        <v>0</v>
      </c>
      <c r="J105" s="487">
        <f t="shared" si="29"/>
        <v>0</v>
      </c>
      <c r="K105" s="487">
        <f>+K106*K62/366</f>
        <v>0</v>
      </c>
      <c r="L105" s="487">
        <f t="shared" si="29"/>
        <v>0</v>
      </c>
    </row>
    <row r="106" spans="1:12" ht="15" customHeight="1">
      <c r="B106" s="31" t="s">
        <v>499</v>
      </c>
      <c r="E106" s="322">
        <f>FCFF!H74</f>
        <v>0</v>
      </c>
      <c r="F106" s="322">
        <f>FCFF!N74</f>
        <v>0</v>
      </c>
      <c r="G106" s="416">
        <f>FCFF!T74</f>
        <v>0</v>
      </c>
      <c r="H106" s="488"/>
      <c r="I106" s="488"/>
      <c r="J106" s="488"/>
      <c r="K106" s="488"/>
      <c r="L106" s="488"/>
    </row>
    <row r="107" spans="1:12" ht="15" customHeight="1">
      <c r="B107" s="374"/>
      <c r="E107" s="96"/>
      <c r="F107" s="96"/>
      <c r="G107" s="417"/>
    </row>
    <row r="108" spans="1:12" ht="15" customHeight="1">
      <c r="B108" s="374" t="s">
        <v>500</v>
      </c>
      <c r="E108" s="68">
        <f>FCFF!H76</f>
        <v>305858</v>
      </c>
      <c r="F108" s="68">
        <f>FCFF!N76</f>
        <v>384295</v>
      </c>
      <c r="G108" s="415">
        <f>FCFF!T76</f>
        <v>398261</v>
      </c>
      <c r="H108" s="487">
        <f>+H109*H59</f>
        <v>0</v>
      </c>
      <c r="I108" s="487">
        <f t="shared" ref="I108:L108" si="30">+I109*I59</f>
        <v>0</v>
      </c>
      <c r="J108" s="487">
        <f t="shared" si="30"/>
        <v>0</v>
      </c>
      <c r="K108" s="487">
        <f t="shared" si="30"/>
        <v>0</v>
      </c>
      <c r="L108" s="487">
        <f t="shared" si="30"/>
        <v>0</v>
      </c>
    </row>
    <row r="109" spans="1:12" s="454" customFormat="1" ht="15" customHeight="1">
      <c r="A109" s="379"/>
      <c r="B109" s="31" t="s">
        <v>449</v>
      </c>
      <c r="C109" s="26"/>
      <c r="D109" s="26"/>
      <c r="E109" s="306">
        <f>FCFF!H77</f>
        <v>2.1712691494043983</v>
      </c>
      <c r="F109" s="306">
        <f>FCFF!N77</f>
        <v>2.505476522668892</v>
      </c>
      <c r="G109" s="413">
        <f>FCFF!T77</f>
        <v>2.2477255282644033</v>
      </c>
      <c r="H109" s="470"/>
      <c r="I109" s="470"/>
      <c r="J109" s="470"/>
      <c r="K109" s="470"/>
      <c r="L109" s="470"/>
    </row>
    <row r="110" spans="1:12" ht="15" customHeight="1">
      <c r="B110" s="374"/>
      <c r="E110" s="96"/>
      <c r="F110" s="96"/>
      <c r="G110" s="417"/>
      <c r="H110" s="487"/>
      <c r="I110" s="487"/>
      <c r="J110" s="487"/>
      <c r="K110" s="487"/>
      <c r="L110" s="487"/>
    </row>
    <row r="111" spans="1:12" ht="15" customHeight="1">
      <c r="B111" s="374" t="s">
        <v>501</v>
      </c>
      <c r="E111" s="68">
        <f>FCFF!H79</f>
        <v>3435286</v>
      </c>
      <c r="F111" s="68">
        <f>FCFF!N79</f>
        <v>3792753</v>
      </c>
      <c r="G111" s="415">
        <f>FCFF!T79</f>
        <v>4043940</v>
      </c>
      <c r="H111" s="66">
        <f>+G111-H112*H131-H80-H65</f>
        <v>4043940</v>
      </c>
      <c r="I111" s="66">
        <f t="shared" ref="I111:L111" si="31">+H111-I112*I131-I80-I65</f>
        <v>4043940</v>
      </c>
      <c r="J111" s="66">
        <f t="shared" si="31"/>
        <v>4043940</v>
      </c>
      <c r="K111" s="66">
        <f t="shared" si="31"/>
        <v>4043940</v>
      </c>
      <c r="L111" s="66">
        <f t="shared" si="31"/>
        <v>4043940</v>
      </c>
    </row>
    <row r="112" spans="1:12" ht="15" customHeight="1">
      <c r="B112" s="31" t="s">
        <v>502</v>
      </c>
      <c r="E112" s="306">
        <f>FCFF!H80</f>
        <v>0</v>
      </c>
      <c r="F112" s="306">
        <f>FCFF!N80</f>
        <v>0</v>
      </c>
      <c r="G112" s="413">
        <f>FCFF!T80</f>
        <v>0</v>
      </c>
      <c r="H112" s="470"/>
      <c r="I112" s="470"/>
      <c r="J112" s="470"/>
      <c r="K112" s="470"/>
      <c r="L112" s="470"/>
    </row>
    <row r="113" spans="1:12" ht="15" customHeight="1">
      <c r="G113" s="203"/>
    </row>
    <row r="114" spans="1:12" ht="15" customHeight="1">
      <c r="B114" s="374" t="s">
        <v>639</v>
      </c>
      <c r="E114" s="68">
        <f>FCFF!H82</f>
        <v>12278</v>
      </c>
      <c r="F114" s="68">
        <f>FCFF!N82</f>
        <v>9312</v>
      </c>
      <c r="G114" s="415">
        <f>FCFF!T82</f>
        <v>41264</v>
      </c>
      <c r="H114" s="66">
        <f>+G114+H115*H74-(1-H112)*H131-H83</f>
        <v>41264</v>
      </c>
      <c r="I114" s="66">
        <f>+H114+I115*I74-(1-I112)*I131-I83</f>
        <v>41264</v>
      </c>
      <c r="J114" s="66">
        <f>+I114+J115*J74-(1-J112)*J131-J83</f>
        <v>41264</v>
      </c>
      <c r="K114" s="66">
        <f>+J114+K115*K74-(1-K112)*K131-K83</f>
        <v>41264</v>
      </c>
      <c r="L114" s="66">
        <f>+K114+L115*L74-(1-L112)*L131-L83</f>
        <v>41264</v>
      </c>
    </row>
    <row r="115" spans="1:12" ht="15" customHeight="1">
      <c r="B115" s="31" t="s">
        <v>821</v>
      </c>
      <c r="E115" s="306">
        <f>FCFF!H83</f>
        <v>0</v>
      </c>
      <c r="F115" s="306">
        <f>FCFF!N83</f>
        <v>0</v>
      </c>
      <c r="G115" s="413">
        <f>FCFF!T83</f>
        <v>0</v>
      </c>
      <c r="H115" s="470"/>
      <c r="I115" s="470"/>
      <c r="J115" s="470"/>
      <c r="K115" s="470"/>
      <c r="L115" s="470"/>
    </row>
    <row r="116" spans="1:12" s="454" customFormat="1" ht="15" customHeight="1">
      <c r="A116" s="379"/>
      <c r="B116" s="96"/>
      <c r="C116" s="22"/>
      <c r="D116" s="22"/>
      <c r="E116" s="96"/>
      <c r="F116" s="96"/>
      <c r="G116" s="417"/>
      <c r="H116" s="487"/>
      <c r="I116" s="487"/>
      <c r="J116" s="487"/>
      <c r="K116" s="487"/>
      <c r="L116" s="487"/>
    </row>
    <row r="117" spans="1:12" ht="15" customHeight="1">
      <c r="B117" s="374" t="s">
        <v>505</v>
      </c>
      <c r="E117" s="68">
        <f>FCFF!H85</f>
        <v>115496</v>
      </c>
      <c r="F117" s="68">
        <f>FCFF!N85</f>
        <v>102367</v>
      </c>
      <c r="G117" s="415">
        <f>FCFF!T85</f>
        <v>109922</v>
      </c>
      <c r="H117" s="66">
        <f>+H118*H62/365</f>
        <v>0</v>
      </c>
      <c r="I117" s="66">
        <f t="shared" ref="I117:L117" si="32">+I118*I62/365</f>
        <v>0</v>
      </c>
      <c r="J117" s="66">
        <f t="shared" si="32"/>
        <v>0</v>
      </c>
      <c r="K117" s="66">
        <f>+K118*K62/366</f>
        <v>0</v>
      </c>
      <c r="L117" s="66">
        <f t="shared" si="32"/>
        <v>0</v>
      </c>
    </row>
    <row r="118" spans="1:12" ht="15" customHeight="1">
      <c r="B118" s="31" t="s">
        <v>506</v>
      </c>
      <c r="E118" s="322">
        <f>FCFF!H86</f>
        <v>2403.9407955596671</v>
      </c>
      <c r="F118" s="322">
        <f>FCFF!N86</f>
        <v>315.30955884869434</v>
      </c>
      <c r="G118" s="416">
        <f>FCFF!T86</f>
        <v>1610.9721543722519</v>
      </c>
      <c r="H118" s="488"/>
      <c r="I118" s="488"/>
      <c r="J118" s="488"/>
      <c r="K118" s="488"/>
      <c r="L118" s="488"/>
    </row>
    <row r="119" spans="1:12" ht="15" customHeight="1">
      <c r="B119" s="374"/>
      <c r="E119" s="96"/>
      <c r="F119" s="96"/>
      <c r="G119" s="417"/>
      <c r="H119" s="489"/>
      <c r="I119" s="489"/>
      <c r="J119" s="489"/>
      <c r="K119" s="489"/>
      <c r="L119" s="489"/>
    </row>
    <row r="120" spans="1:12" ht="15" customHeight="1">
      <c r="B120" s="374" t="s">
        <v>507</v>
      </c>
      <c r="E120" s="68">
        <f>FCFF!H88</f>
        <v>101678</v>
      </c>
      <c r="F120" s="68">
        <f>FCFF!N88</f>
        <v>89242</v>
      </c>
      <c r="G120" s="415">
        <f>FCFF!T88</f>
        <v>143540</v>
      </c>
      <c r="H120" s="66">
        <f>+H121*H71</f>
        <v>0</v>
      </c>
      <c r="I120" s="66">
        <f t="shared" ref="I120:L120" si="33">+I121*I71</f>
        <v>0</v>
      </c>
      <c r="J120" s="66">
        <f t="shared" si="33"/>
        <v>0</v>
      </c>
      <c r="K120" s="66">
        <f t="shared" si="33"/>
        <v>0</v>
      </c>
      <c r="L120" s="66">
        <f t="shared" si="33"/>
        <v>0</v>
      </c>
    </row>
    <row r="121" spans="1:12" ht="15" customHeight="1">
      <c r="B121" s="31" t="s">
        <v>508</v>
      </c>
      <c r="E121" s="306">
        <f>FCFF!H89</f>
        <v>2.9913212320908475</v>
      </c>
      <c r="F121" s="306">
        <f>FCFF!N89</f>
        <v>1.9675029763217073</v>
      </c>
      <c r="G121" s="413">
        <f>FCFF!T89</f>
        <v>3.0298680738786281</v>
      </c>
      <c r="H121" s="470"/>
      <c r="I121" s="470"/>
      <c r="J121" s="470"/>
      <c r="K121" s="470"/>
      <c r="L121" s="470"/>
    </row>
    <row r="122" spans="1:12" ht="15" customHeight="1">
      <c r="B122" s="374"/>
      <c r="C122" s="479"/>
      <c r="D122" s="479"/>
      <c r="E122" s="472"/>
      <c r="F122" s="472"/>
      <c r="G122" s="482"/>
      <c r="H122" s="490"/>
      <c r="I122" s="490"/>
      <c r="J122" s="490"/>
      <c r="K122" s="490"/>
      <c r="L122" s="490"/>
    </row>
    <row r="123" spans="1:12" ht="15" customHeight="1">
      <c r="A123" s="379" t="s">
        <v>39</v>
      </c>
      <c r="B123" s="371" t="s">
        <v>822</v>
      </c>
      <c r="C123" s="371"/>
      <c r="D123" s="371"/>
      <c r="E123" s="449">
        <f t="shared" ref="E123:L123" si="34">E57</f>
        <v>2022</v>
      </c>
      <c r="F123" s="449">
        <f t="shared" si="34"/>
        <v>2023</v>
      </c>
      <c r="G123" s="449">
        <f t="shared" si="34"/>
        <v>2024</v>
      </c>
      <c r="H123" s="450">
        <f t="shared" si="34"/>
        <v>2025</v>
      </c>
      <c r="I123" s="450">
        <f t="shared" si="34"/>
        <v>2026</v>
      </c>
      <c r="J123" s="450">
        <f t="shared" si="34"/>
        <v>2027</v>
      </c>
      <c r="K123" s="450">
        <f t="shared" si="34"/>
        <v>2028</v>
      </c>
      <c r="L123" s="450">
        <f t="shared" si="34"/>
        <v>2029</v>
      </c>
    </row>
    <row r="124" spans="1:12" ht="3.95" customHeight="1">
      <c r="B124" s="36"/>
      <c r="C124" s="36"/>
      <c r="D124" s="36"/>
      <c r="E124" s="491"/>
      <c r="F124" s="491"/>
      <c r="G124" s="491"/>
      <c r="H124" s="36"/>
      <c r="I124" s="36"/>
      <c r="J124" s="36"/>
      <c r="K124" s="36"/>
      <c r="L124" s="36"/>
    </row>
    <row r="125" spans="1:12" ht="15" customHeight="1">
      <c r="B125" s="374" t="s">
        <v>457</v>
      </c>
      <c r="E125" s="68">
        <f>FCFF!H94</f>
        <v>915</v>
      </c>
      <c r="F125" s="68">
        <f>FCFF!N94</f>
        <v>1977</v>
      </c>
      <c r="G125" s="415">
        <f>FCFF!T94</f>
        <v>4544</v>
      </c>
      <c r="H125" s="492">
        <f>+H77+H65</f>
        <v>0</v>
      </c>
      <c r="I125" s="492">
        <f t="shared" ref="I125:L125" si="35">+I77+I65</f>
        <v>0</v>
      </c>
      <c r="J125" s="492">
        <f t="shared" si="35"/>
        <v>0</v>
      </c>
      <c r="K125" s="492">
        <f t="shared" si="35"/>
        <v>0</v>
      </c>
      <c r="L125" s="492">
        <f t="shared" si="35"/>
        <v>0</v>
      </c>
    </row>
    <row r="126" spans="1:12" ht="15" customHeight="1">
      <c r="B126" s="31" t="s">
        <v>458</v>
      </c>
      <c r="E126" s="306">
        <f>FCFF!H95</f>
        <v>2.6540479016488161E-4</v>
      </c>
      <c r="F126" s="306">
        <f>FCFF!N95</f>
        <v>5.1998058949544526E-4</v>
      </c>
      <c r="G126" s="413">
        <f>FCFF!T95</f>
        <v>1.1123067538365281E-3</v>
      </c>
      <c r="H126" s="493">
        <f>+H125/(H111+H114)</f>
        <v>0</v>
      </c>
      <c r="I126" s="493">
        <f>+I125/(I111+I114)</f>
        <v>0</v>
      </c>
      <c r="J126" s="493">
        <f>+J125/(J111+J114)</f>
        <v>0</v>
      </c>
      <c r="K126" s="493">
        <f>+K125/(K111+K114)</f>
        <v>0</v>
      </c>
      <c r="L126" s="493">
        <f>+L125/(L111+L114)</f>
        <v>0</v>
      </c>
    </row>
    <row r="127" spans="1:12" s="341" customFormat="1" ht="15" customHeight="1">
      <c r="A127" s="494"/>
      <c r="B127" s="96"/>
      <c r="C127" s="33"/>
      <c r="D127" s="33"/>
      <c r="E127" s="96"/>
      <c r="F127" s="96"/>
      <c r="G127" s="417"/>
      <c r="H127" s="33"/>
      <c r="I127" s="33"/>
      <c r="J127" s="33"/>
      <c r="K127" s="33"/>
      <c r="L127" s="33"/>
    </row>
    <row r="128" spans="1:12" ht="15" customHeight="1">
      <c r="B128" s="374" t="s">
        <v>514</v>
      </c>
      <c r="E128" s="68">
        <f>FCFF!H103</f>
        <v>212780</v>
      </c>
      <c r="F128" s="68">
        <f>FCFF!N103</f>
        <v>-140386</v>
      </c>
      <c r="G128" s="415">
        <f>FCFF!T103</f>
        <v>54449</v>
      </c>
      <c r="H128" s="495">
        <f>-((H102+H105+H108-H117-H120)-(G102+G105+G108-G117-G120))</f>
        <v>202411</v>
      </c>
      <c r="I128" s="495">
        <f>-((I102+I105+I108-I117-I120)-(H102+H105+H108-H117-H120))</f>
        <v>0</v>
      </c>
      <c r="J128" s="495">
        <f>-((J102+J105+J108-J117-J120)-(I102+I105+I108-I117-I120))</f>
        <v>0</v>
      </c>
      <c r="K128" s="495">
        <f>-((K102+K105+K108-K117-K120)-(J102+J105+J108-J117-J120))</f>
        <v>0</v>
      </c>
      <c r="L128" s="495">
        <f>-((L102+L105+L108-L117-L120)-(K102+K105+K108-K117-K120))</f>
        <v>0</v>
      </c>
    </row>
    <row r="129" spans="1:12" ht="15" customHeight="1">
      <c r="B129" s="31" t="s">
        <v>515</v>
      </c>
      <c r="E129" s="306">
        <f>FCFF!H104</f>
        <v>2.4206502696184389</v>
      </c>
      <c r="F129" s="306">
        <f>FCFF!N104</f>
        <v>-0.9965925063535559</v>
      </c>
      <c r="G129" s="413">
        <f>FCFF!T104</f>
        <v>0.35498950333155127</v>
      </c>
      <c r="H129" s="453">
        <f>H128/(H59-G59)</f>
        <v>1.1712515044903249</v>
      </c>
      <c r="I129" s="453">
        <f>I128/(I59-H59)</f>
        <v>0</v>
      </c>
      <c r="J129" s="453">
        <f>J128/(J59-I59)</f>
        <v>0</v>
      </c>
      <c r="K129" s="453">
        <f>K128/(K59-J59)</f>
        <v>0</v>
      </c>
      <c r="L129" s="453">
        <f>L128/(L59-K59)</f>
        <v>0</v>
      </c>
    </row>
    <row r="130" spans="1:12" ht="15" customHeight="1">
      <c r="B130" s="96"/>
      <c r="E130" s="96"/>
      <c r="F130" s="96"/>
      <c r="G130" s="417"/>
      <c r="H130" s="496"/>
      <c r="I130" s="496"/>
      <c r="J130" s="496"/>
      <c r="K130" s="496"/>
      <c r="L130" s="496"/>
    </row>
    <row r="131" spans="1:12" ht="15" customHeight="1">
      <c r="B131" s="374" t="s">
        <v>525</v>
      </c>
      <c r="E131" s="68">
        <f>FCFF!H106+FCFF!H109</f>
        <v>-603.84500000000003</v>
      </c>
      <c r="F131" s="68">
        <f>FCFF!N106+FCFF!N109</f>
        <v>-9.8129999999999882</v>
      </c>
      <c r="G131" s="415">
        <f>FCFF!T106+FCFF!T109</f>
        <v>-66.789999999999992</v>
      </c>
      <c r="H131" s="487">
        <f>-H132*H59</f>
        <v>0</v>
      </c>
      <c r="I131" s="487">
        <f t="shared" ref="I131:L131" si="36">-I132*I59</f>
        <v>0</v>
      </c>
      <c r="J131" s="487">
        <f t="shared" si="36"/>
        <v>0</v>
      </c>
      <c r="K131" s="487">
        <f t="shared" si="36"/>
        <v>0</v>
      </c>
      <c r="L131" s="487">
        <f t="shared" si="36"/>
        <v>0</v>
      </c>
    </row>
    <row r="132" spans="1:12" ht="15" customHeight="1">
      <c r="B132" s="31" t="s">
        <v>449</v>
      </c>
      <c r="E132" s="306">
        <f>FCFF!H107</f>
        <v>4.2866625019522099E-3</v>
      </c>
      <c r="F132" s="306">
        <f>FCFF!N107</f>
        <v>8.7241658082434694E-4</v>
      </c>
      <c r="G132" s="413">
        <f>FCFF!T107</f>
        <v>4.7572015531876464E-4</v>
      </c>
      <c r="H132" s="470"/>
      <c r="I132" s="470"/>
      <c r="J132" s="470"/>
      <c r="K132" s="470"/>
      <c r="L132" s="470"/>
    </row>
    <row r="133" spans="1:12" ht="15" customHeight="1">
      <c r="B133" s="374"/>
      <c r="G133" s="497"/>
      <c r="H133" s="25"/>
      <c r="I133" s="25"/>
      <c r="J133" s="25"/>
      <c r="K133" s="25"/>
      <c r="L133" s="25"/>
    </row>
    <row r="134" spans="1:12" ht="15" customHeight="1">
      <c r="A134" s="379" t="s">
        <v>39</v>
      </c>
      <c r="B134" s="371" t="s">
        <v>823</v>
      </c>
      <c r="C134" s="371"/>
      <c r="D134" s="371"/>
      <c r="E134" s="449"/>
      <c r="F134" s="449"/>
      <c r="G134" s="498"/>
      <c r="H134" s="450">
        <f>H57</f>
        <v>2025</v>
      </c>
      <c r="I134" s="450">
        <f>I57</f>
        <v>2026</v>
      </c>
      <c r="J134" s="450">
        <f>J57</f>
        <v>2027</v>
      </c>
      <c r="K134" s="450">
        <f>K57</f>
        <v>2028</v>
      </c>
      <c r="L134" s="450">
        <f>L57</f>
        <v>2029</v>
      </c>
    </row>
    <row r="135" spans="1:12" ht="3.95" customHeight="1">
      <c r="B135" s="36"/>
      <c r="C135" s="36"/>
      <c r="D135" s="36"/>
      <c r="E135" s="36"/>
      <c r="F135" s="36"/>
      <c r="G135" s="499"/>
      <c r="H135" s="36"/>
      <c r="I135" s="36"/>
      <c r="J135" s="36"/>
      <c r="K135" s="36"/>
      <c r="L135" s="36"/>
    </row>
    <row r="136" spans="1:12" ht="15" customHeight="1">
      <c r="B136" s="374" t="s">
        <v>824</v>
      </c>
      <c r="G136" s="203"/>
      <c r="H136" s="492">
        <f>H97</f>
        <v>350000</v>
      </c>
      <c r="I136" s="492">
        <f t="shared" ref="I136:L136" si="37">I97</f>
        <v>352000</v>
      </c>
      <c r="J136" s="492">
        <f t="shared" si="37"/>
        <v>350000</v>
      </c>
      <c r="K136" s="492">
        <f t="shared" si="37"/>
        <v>352000</v>
      </c>
      <c r="L136" s="492">
        <f t="shared" si="37"/>
        <v>350000</v>
      </c>
    </row>
    <row r="137" spans="1:12" ht="15" customHeight="1">
      <c r="B137" s="374" t="s">
        <v>825</v>
      </c>
      <c r="E137" s="492"/>
      <c r="F137" s="492"/>
      <c r="G137" s="500"/>
      <c r="H137" s="492">
        <f>+H125</f>
        <v>0</v>
      </c>
      <c r="I137" s="492">
        <f>+I125</f>
        <v>0</v>
      </c>
      <c r="J137" s="492">
        <f>+J125</f>
        <v>0</v>
      </c>
      <c r="K137" s="492">
        <f>+K125</f>
        <v>0</v>
      </c>
      <c r="L137" s="492">
        <f>+L125</f>
        <v>0</v>
      </c>
    </row>
    <row r="138" spans="1:12" ht="15" customHeight="1">
      <c r="B138" s="374" t="s">
        <v>457</v>
      </c>
      <c r="E138" s="492"/>
      <c r="F138" s="492"/>
      <c r="G138" s="501"/>
      <c r="H138" s="492">
        <f>+H128</f>
        <v>202411</v>
      </c>
      <c r="I138" s="492">
        <f>+I128</f>
        <v>0</v>
      </c>
      <c r="J138" s="492">
        <f>+J128</f>
        <v>0</v>
      </c>
      <c r="K138" s="492">
        <f>+K128</f>
        <v>0</v>
      </c>
      <c r="L138" s="492">
        <f>+L128</f>
        <v>0</v>
      </c>
    </row>
    <row r="139" spans="1:12" ht="15" customHeight="1">
      <c r="B139" s="374" t="s">
        <v>525</v>
      </c>
      <c r="E139" s="469"/>
      <c r="F139" s="469"/>
      <c r="G139" s="502"/>
      <c r="H139" s="492">
        <f>+H131</f>
        <v>0</v>
      </c>
      <c r="I139" s="492">
        <f>+I131</f>
        <v>0</v>
      </c>
      <c r="J139" s="492">
        <f>+J131</f>
        <v>0</v>
      </c>
      <c r="K139" s="492">
        <f>+K131</f>
        <v>0</v>
      </c>
      <c r="L139" s="492">
        <f>+L131</f>
        <v>0</v>
      </c>
    </row>
    <row r="140" spans="1:12" ht="15" customHeight="1">
      <c r="B140" s="503" t="s">
        <v>826</v>
      </c>
      <c r="C140" s="504"/>
      <c r="D140" s="504"/>
      <c r="E140" s="505"/>
      <c r="F140" s="505"/>
      <c r="G140" s="506"/>
      <c r="H140" s="505">
        <f>H136+H137+H138+H139</f>
        <v>552411</v>
      </c>
      <c r="I140" s="505">
        <f>I136+I137+I138+I139</f>
        <v>352000</v>
      </c>
      <c r="J140" s="505">
        <f>J136+J137+J138+J139</f>
        <v>350000</v>
      </c>
      <c r="K140" s="505">
        <f>K136+K137+K138+K139</f>
        <v>352000</v>
      </c>
      <c r="L140" s="507">
        <f>L136+L137+L138+L139</f>
        <v>350000</v>
      </c>
    </row>
    <row r="141" spans="1:12" ht="15" customHeight="1">
      <c r="G141" s="497"/>
    </row>
    <row r="142" spans="1:12" ht="15" customHeight="1">
      <c r="A142" s="379" t="s">
        <v>39</v>
      </c>
      <c r="B142" s="371" t="s">
        <v>827</v>
      </c>
      <c r="C142" s="371"/>
      <c r="D142" s="371"/>
      <c r="E142" s="449"/>
      <c r="F142" s="449"/>
      <c r="G142" s="498"/>
      <c r="H142" s="450">
        <f>H134</f>
        <v>2025</v>
      </c>
      <c r="I142" s="450">
        <f>I134</f>
        <v>2026</v>
      </c>
      <c r="J142" s="450">
        <f>J134</f>
        <v>2027</v>
      </c>
      <c r="K142" s="450">
        <f>K134</f>
        <v>2028</v>
      </c>
      <c r="L142" s="450">
        <f>L134</f>
        <v>2029</v>
      </c>
    </row>
    <row r="143" spans="1:12" ht="3.95" customHeight="1">
      <c r="B143" s="36"/>
      <c r="C143" s="36"/>
      <c r="D143" s="36"/>
      <c r="E143" s="36"/>
      <c r="F143" s="36"/>
      <c r="G143" s="499"/>
      <c r="H143" s="36"/>
      <c r="I143" s="36"/>
      <c r="J143" s="36"/>
      <c r="K143" s="36"/>
      <c r="L143" s="36"/>
    </row>
    <row r="144" spans="1:12" ht="15" customHeight="1">
      <c r="B144" s="372" t="s">
        <v>796</v>
      </c>
      <c r="C144" s="419"/>
      <c r="D144" s="419"/>
      <c r="E144" s="419"/>
      <c r="F144" s="419"/>
      <c r="G144" s="508"/>
    </row>
    <row r="145" spans="2:12" ht="15" customHeight="1">
      <c r="B145" s="509" t="s">
        <v>828</v>
      </c>
      <c r="C145" s="419"/>
      <c r="D145" s="419"/>
      <c r="E145" s="419"/>
      <c r="F145" s="419"/>
      <c r="G145" s="508"/>
      <c r="H145" s="487">
        <f>G148</f>
        <v>0</v>
      </c>
      <c r="I145" s="487">
        <f t="shared" ref="I145:L145" si="38">H148</f>
        <v>0</v>
      </c>
      <c r="J145" s="487">
        <f t="shared" si="38"/>
        <v>0</v>
      </c>
      <c r="K145" s="487">
        <f t="shared" si="38"/>
        <v>0</v>
      </c>
      <c r="L145" s="487">
        <f t="shared" si="38"/>
        <v>0</v>
      </c>
    </row>
    <row r="146" spans="2:12" ht="15" customHeight="1">
      <c r="B146" s="509" t="s">
        <v>792</v>
      </c>
      <c r="C146" s="419"/>
      <c r="D146" s="419"/>
      <c r="E146" s="419"/>
      <c r="F146" s="419"/>
      <c r="G146" s="508"/>
      <c r="H146" s="487">
        <f>H145*$J$11</f>
        <v>0</v>
      </c>
      <c r="I146" s="487">
        <f t="shared" ref="I146:L146" si="39">I145*$J$11</f>
        <v>0</v>
      </c>
      <c r="J146" s="487">
        <f t="shared" si="39"/>
        <v>0</v>
      </c>
      <c r="K146" s="487">
        <f t="shared" si="39"/>
        <v>0</v>
      </c>
      <c r="L146" s="487">
        <f t="shared" si="39"/>
        <v>0</v>
      </c>
    </row>
    <row r="147" spans="2:12" ht="15" customHeight="1">
      <c r="B147" s="509" t="s">
        <v>829</v>
      </c>
      <c r="C147" s="419"/>
      <c r="D147" s="419"/>
      <c r="E147" s="419"/>
      <c r="F147" s="419"/>
      <c r="G147" s="508"/>
      <c r="H147" s="487">
        <f>MIN(H140,H145)</f>
        <v>0</v>
      </c>
      <c r="I147" s="487">
        <f t="shared" ref="I147:L147" si="40">MIN(I140,I145)</f>
        <v>0</v>
      </c>
      <c r="J147" s="487">
        <f t="shared" si="40"/>
        <v>0</v>
      </c>
      <c r="K147" s="487">
        <f t="shared" si="40"/>
        <v>0</v>
      </c>
      <c r="L147" s="487">
        <f t="shared" si="40"/>
        <v>0</v>
      </c>
    </row>
    <row r="148" spans="2:12" ht="15" customHeight="1">
      <c r="B148" s="510" t="s">
        <v>830</v>
      </c>
      <c r="C148" s="504"/>
      <c r="D148" s="504"/>
      <c r="E148" s="505"/>
      <c r="F148" s="505"/>
      <c r="G148" s="506">
        <f>L11</f>
        <v>0</v>
      </c>
      <c r="H148" s="505">
        <f>H145-H147</f>
        <v>0</v>
      </c>
      <c r="I148" s="505">
        <f t="shared" ref="I148:L148" si="41">I145-I147</f>
        <v>0</v>
      </c>
      <c r="J148" s="505">
        <f t="shared" si="41"/>
        <v>0</v>
      </c>
      <c r="K148" s="505">
        <f t="shared" si="41"/>
        <v>0</v>
      </c>
      <c r="L148" s="507">
        <f t="shared" si="41"/>
        <v>0</v>
      </c>
    </row>
    <row r="149" spans="2:12" ht="15" customHeight="1">
      <c r="B149" s="511"/>
      <c r="E149" s="487"/>
      <c r="F149" s="487"/>
      <c r="G149" s="512"/>
      <c r="H149" s="487"/>
      <c r="I149" s="487"/>
      <c r="J149" s="487"/>
      <c r="K149" s="487"/>
      <c r="L149" s="487"/>
    </row>
    <row r="150" spans="2:12" ht="15" customHeight="1">
      <c r="B150" s="372" t="s">
        <v>798</v>
      </c>
      <c r="C150" s="419"/>
      <c r="D150" s="419"/>
      <c r="E150" s="419"/>
      <c r="F150" s="419"/>
      <c r="G150" s="508"/>
      <c r="H150" s="487"/>
    </row>
    <row r="151" spans="2:12" ht="15" customHeight="1">
      <c r="B151" s="509" t="s">
        <v>828</v>
      </c>
      <c r="C151" s="419"/>
      <c r="D151" s="419"/>
      <c r="E151" s="419"/>
      <c r="F151" s="419"/>
      <c r="G151" s="508"/>
      <c r="H151" s="487">
        <f>G154</f>
        <v>0</v>
      </c>
      <c r="I151" s="487">
        <f t="shared" ref="I151:L151" si="42">H154</f>
        <v>0</v>
      </c>
      <c r="J151" s="487">
        <f t="shared" si="42"/>
        <v>0</v>
      </c>
      <c r="K151" s="487">
        <f t="shared" si="42"/>
        <v>0</v>
      </c>
      <c r="L151" s="487">
        <f t="shared" si="42"/>
        <v>0</v>
      </c>
    </row>
    <row r="152" spans="2:12" ht="15" customHeight="1">
      <c r="B152" s="509" t="s">
        <v>792</v>
      </c>
      <c r="C152" s="419"/>
      <c r="D152" s="419"/>
      <c r="E152" s="419"/>
      <c r="F152" s="419"/>
      <c r="G152" s="508"/>
      <c r="H152" s="487">
        <f>H151*$J$12</f>
        <v>0</v>
      </c>
      <c r="I152" s="487">
        <f t="shared" ref="I152:L152" si="43">I151*$J$12</f>
        <v>0</v>
      </c>
      <c r="J152" s="487">
        <f t="shared" si="43"/>
        <v>0</v>
      </c>
      <c r="K152" s="487">
        <f t="shared" si="43"/>
        <v>0</v>
      </c>
      <c r="L152" s="487">
        <f t="shared" si="43"/>
        <v>0</v>
      </c>
    </row>
    <row r="153" spans="2:12" ht="15" customHeight="1">
      <c r="B153" s="509" t="s">
        <v>829</v>
      </c>
      <c r="C153" s="419"/>
      <c r="D153" s="419"/>
      <c r="E153" s="419"/>
      <c r="F153" s="419"/>
      <c r="G153" s="508"/>
      <c r="H153" s="487">
        <f>MIN(H151,H140-H147)</f>
        <v>0</v>
      </c>
      <c r="I153" s="487">
        <f>MIN(I151,I140-I147)</f>
        <v>0</v>
      </c>
      <c r="J153" s="487">
        <f t="shared" ref="J153:K153" si="44">MIN(J151,J140-J147)</f>
        <v>0</v>
      </c>
      <c r="K153" s="487">
        <f t="shared" si="44"/>
        <v>0</v>
      </c>
      <c r="L153" s="487">
        <f>MIN(L151,L140-L147)</f>
        <v>0</v>
      </c>
    </row>
    <row r="154" spans="2:12" ht="15" customHeight="1">
      <c r="B154" s="510" t="s">
        <v>830</v>
      </c>
      <c r="C154" s="504"/>
      <c r="D154" s="504"/>
      <c r="E154" s="505"/>
      <c r="F154" s="505"/>
      <c r="G154" s="506">
        <f>L12</f>
        <v>0</v>
      </c>
      <c r="H154" s="505">
        <f>H151-H153</f>
        <v>0</v>
      </c>
      <c r="I154" s="505">
        <f t="shared" ref="I154:L154" si="45">I151-I153</f>
        <v>0</v>
      </c>
      <c r="J154" s="505">
        <f t="shared" si="45"/>
        <v>0</v>
      </c>
      <c r="K154" s="505">
        <f t="shared" si="45"/>
        <v>0</v>
      </c>
      <c r="L154" s="507">
        <f t="shared" si="45"/>
        <v>0</v>
      </c>
    </row>
    <row r="155" spans="2:12" ht="15" customHeight="1">
      <c r="B155" s="511"/>
      <c r="E155" s="487"/>
      <c r="F155" s="487"/>
      <c r="G155" s="512"/>
      <c r="H155" s="487"/>
      <c r="I155" s="487"/>
      <c r="J155" s="487"/>
      <c r="K155" s="487"/>
      <c r="L155" s="487"/>
    </row>
    <row r="156" spans="2:12" ht="15" customHeight="1">
      <c r="B156" s="372" t="s">
        <v>831</v>
      </c>
      <c r="G156" s="497"/>
    </row>
    <row r="157" spans="2:12" ht="15" customHeight="1">
      <c r="B157" s="509" t="s">
        <v>828</v>
      </c>
      <c r="G157" s="497"/>
      <c r="H157" s="487">
        <f>G160</f>
        <v>0</v>
      </c>
      <c r="I157" s="487">
        <f t="shared" ref="I157:L157" si="46">H160</f>
        <v>0</v>
      </c>
      <c r="J157" s="487">
        <f t="shared" si="46"/>
        <v>0</v>
      </c>
      <c r="K157" s="487">
        <f t="shared" si="46"/>
        <v>0</v>
      </c>
      <c r="L157" s="487">
        <f t="shared" si="46"/>
        <v>0</v>
      </c>
    </row>
    <row r="158" spans="2:12" ht="15" customHeight="1">
      <c r="B158" s="509" t="s">
        <v>792</v>
      </c>
      <c r="G158" s="497"/>
      <c r="H158" s="487">
        <f>H157*$J$13</f>
        <v>0</v>
      </c>
      <c r="I158" s="487">
        <f t="shared" ref="I158:L158" si="47">I157*$J$13</f>
        <v>0</v>
      </c>
      <c r="J158" s="487">
        <f t="shared" si="47"/>
        <v>0</v>
      </c>
      <c r="K158" s="487">
        <f t="shared" si="47"/>
        <v>0</v>
      </c>
      <c r="L158" s="487">
        <f t="shared" si="47"/>
        <v>0</v>
      </c>
    </row>
    <row r="159" spans="2:12" ht="15" customHeight="1">
      <c r="B159" s="509" t="s">
        <v>829</v>
      </c>
      <c r="G159" s="497"/>
      <c r="H159" s="487">
        <f>MIN(H157,H140-H147-H153)</f>
        <v>0</v>
      </c>
      <c r="I159" s="487">
        <f t="shared" ref="I159:L159" si="48">MIN(I157,I140-I147-I153)</f>
        <v>0</v>
      </c>
      <c r="J159" s="487">
        <f t="shared" si="48"/>
        <v>0</v>
      </c>
      <c r="K159" s="487">
        <f t="shared" si="48"/>
        <v>0</v>
      </c>
      <c r="L159" s="487">
        <f t="shared" si="48"/>
        <v>0</v>
      </c>
    </row>
    <row r="160" spans="2:12" ht="15" customHeight="1">
      <c r="B160" s="510" t="s">
        <v>830</v>
      </c>
      <c r="C160" s="504"/>
      <c r="D160" s="504"/>
      <c r="E160" s="505"/>
      <c r="F160" s="505"/>
      <c r="G160" s="506">
        <f>L13</f>
        <v>0</v>
      </c>
      <c r="H160" s="505">
        <f>H157-H159</f>
        <v>0</v>
      </c>
      <c r="I160" s="505">
        <f t="shared" ref="I160:L160" si="49">I157-I159</f>
        <v>0</v>
      </c>
      <c r="J160" s="505">
        <f t="shared" si="49"/>
        <v>0</v>
      </c>
      <c r="K160" s="505">
        <f t="shared" si="49"/>
        <v>0</v>
      </c>
      <c r="L160" s="507">
        <f t="shared" si="49"/>
        <v>0</v>
      </c>
    </row>
    <row r="161" spans="1:12" ht="15" customHeight="1">
      <c r="G161" s="670"/>
    </row>
    <row r="162" spans="1:12" ht="15" customHeight="1">
      <c r="B162" s="372" t="s">
        <v>832</v>
      </c>
      <c r="G162" s="497"/>
    </row>
    <row r="163" spans="1:12" ht="15" customHeight="1">
      <c r="B163" s="509" t="s">
        <v>828</v>
      </c>
      <c r="G163" s="497"/>
      <c r="H163" s="487">
        <f>H145+H151+H157</f>
        <v>0</v>
      </c>
      <c r="I163" s="487">
        <f t="shared" ref="I163:L163" si="50">I145+I151+I157</f>
        <v>0</v>
      </c>
      <c r="J163" s="487">
        <f t="shared" si="50"/>
        <v>0</v>
      </c>
      <c r="K163" s="487">
        <f t="shared" si="50"/>
        <v>0</v>
      </c>
      <c r="L163" s="487">
        <f t="shared" si="50"/>
        <v>0</v>
      </c>
    </row>
    <row r="164" spans="1:12" ht="15" customHeight="1">
      <c r="B164" s="509" t="s">
        <v>792</v>
      </c>
      <c r="G164" s="497"/>
      <c r="H164" s="487">
        <f>H146+H152+H158</f>
        <v>0</v>
      </c>
      <c r="I164" s="487">
        <f t="shared" ref="I164:L164" si="51">I146+I152+I158</f>
        <v>0</v>
      </c>
      <c r="J164" s="487">
        <f t="shared" si="51"/>
        <v>0</v>
      </c>
      <c r="K164" s="487">
        <f t="shared" si="51"/>
        <v>0</v>
      </c>
      <c r="L164" s="487">
        <f t="shared" si="51"/>
        <v>0</v>
      </c>
    </row>
    <row r="165" spans="1:12" ht="15" customHeight="1">
      <c r="B165" s="509" t="s">
        <v>829</v>
      </c>
      <c r="G165" s="497"/>
      <c r="H165" s="487">
        <f>H147+H153+H159</f>
        <v>0</v>
      </c>
      <c r="I165" s="487">
        <f t="shared" ref="I165:L165" si="52">I147+I153+I159</f>
        <v>0</v>
      </c>
      <c r="J165" s="487">
        <f t="shared" si="52"/>
        <v>0</v>
      </c>
      <c r="K165" s="487">
        <f t="shared" si="52"/>
        <v>0</v>
      </c>
      <c r="L165" s="487">
        <f t="shared" si="52"/>
        <v>0</v>
      </c>
    </row>
    <row r="166" spans="1:12" ht="15" customHeight="1">
      <c r="B166" s="510" t="s">
        <v>830</v>
      </c>
      <c r="C166" s="504"/>
      <c r="D166" s="504"/>
      <c r="E166" s="505"/>
      <c r="F166" s="505"/>
      <c r="G166" s="506">
        <f>G148+G154+G160</f>
        <v>0</v>
      </c>
      <c r="H166" s="505">
        <f>H148+H154+H160</f>
        <v>0</v>
      </c>
      <c r="I166" s="505">
        <f t="shared" ref="I166:K166" si="53">I148+I154+I160</f>
        <v>0</v>
      </c>
      <c r="J166" s="505">
        <f t="shared" si="53"/>
        <v>0</v>
      </c>
      <c r="K166" s="505">
        <f t="shared" si="53"/>
        <v>0</v>
      </c>
      <c r="L166" s="507">
        <f>L148+L154+L160</f>
        <v>0</v>
      </c>
    </row>
    <row r="167" spans="1:12" s="341" customFormat="1" ht="15" customHeight="1">
      <c r="A167" s="494"/>
      <c r="B167" s="33"/>
      <c r="C167" s="33"/>
      <c r="D167" s="33"/>
      <c r="E167" s="33"/>
      <c r="F167" s="33"/>
      <c r="G167" s="33"/>
      <c r="H167" s="33"/>
      <c r="I167" s="33"/>
      <c r="J167" s="33"/>
      <c r="K167" s="33"/>
      <c r="L167" s="33"/>
    </row>
    <row r="168" spans="1:12" s="341" customFormat="1" ht="15" customHeight="1">
      <c r="A168" s="494"/>
      <c r="B168" s="371" t="s">
        <v>805</v>
      </c>
      <c r="C168" s="371"/>
      <c r="D168" s="371"/>
      <c r="E168" s="371"/>
      <c r="F168" s="371"/>
      <c r="G168" s="371"/>
      <c r="H168" s="371"/>
      <c r="I168" s="371"/>
      <c r="J168" s="371"/>
      <c r="K168" s="371"/>
      <c r="L168" s="371"/>
    </row>
    <row r="169" spans="1:12" s="341" customFormat="1" ht="15" customHeight="1">
      <c r="A169" s="494"/>
      <c r="B169" s="371"/>
      <c r="C169" s="371"/>
      <c r="D169" s="371"/>
      <c r="E169" s="371"/>
      <c r="F169" s="371"/>
      <c r="G169" s="371"/>
      <c r="H169" s="371"/>
      <c r="I169" s="371"/>
      <c r="J169" s="371"/>
      <c r="K169" s="371"/>
      <c r="L169" s="371"/>
    </row>
    <row r="170" spans="1:12" ht="15" customHeight="1">
      <c r="A170" s="379" t="s">
        <v>39</v>
      </c>
      <c r="B170" s="371"/>
      <c r="C170" s="371"/>
      <c r="D170" s="371"/>
      <c r="E170" s="449"/>
      <c r="F170" s="449"/>
      <c r="G170" s="449"/>
      <c r="H170" s="450"/>
      <c r="I170" s="450"/>
      <c r="J170" s="450"/>
      <c r="K170" s="450"/>
      <c r="L170" s="450"/>
    </row>
    <row r="171" spans="1:12" ht="3.95" customHeight="1">
      <c r="B171" s="36"/>
      <c r="C171" s="36"/>
      <c r="D171" s="36"/>
      <c r="E171" s="36"/>
      <c r="F171" s="36"/>
      <c r="G171" s="36"/>
      <c r="H171" s="36"/>
      <c r="I171" s="36"/>
      <c r="J171" s="36"/>
      <c r="K171" s="36"/>
      <c r="L171" s="36"/>
    </row>
    <row r="172" spans="1:12" ht="15" customHeight="1">
      <c r="B172" s="374" t="s">
        <v>833</v>
      </c>
      <c r="L172" s="422">
        <f>(L77+L86)</f>
        <v>350000</v>
      </c>
    </row>
    <row r="173" spans="1:12" ht="15" customHeight="1">
      <c r="B173" s="513" t="s">
        <v>807</v>
      </c>
      <c r="C173" s="352"/>
      <c r="D173" s="352"/>
      <c r="E173" s="352"/>
      <c r="F173" s="352"/>
      <c r="G173" s="352"/>
      <c r="H173" s="352"/>
      <c r="I173" s="352"/>
      <c r="J173" s="352"/>
      <c r="K173" s="352"/>
      <c r="L173" s="514">
        <f>E20</f>
        <v>0</v>
      </c>
    </row>
    <row r="174" spans="1:12" ht="15" customHeight="1">
      <c r="B174" s="374" t="s">
        <v>731</v>
      </c>
      <c r="L174" s="48">
        <f>L172*L173</f>
        <v>0</v>
      </c>
    </row>
    <row r="175" spans="1:12" ht="15" customHeight="1">
      <c r="B175" s="374" t="s">
        <v>834</v>
      </c>
      <c r="L175" s="422">
        <f>L166</f>
        <v>0</v>
      </c>
    </row>
    <row r="176" spans="1:12" ht="15" customHeight="1">
      <c r="B176" s="374" t="s">
        <v>835</v>
      </c>
      <c r="L176" s="24">
        <f>L174-L175</f>
        <v>0</v>
      </c>
    </row>
    <row r="178" spans="2:12" ht="15" customHeight="1">
      <c r="B178" s="374" t="s">
        <v>836</v>
      </c>
      <c r="L178" s="422">
        <f>C32</f>
        <v>0</v>
      </c>
    </row>
    <row r="179" spans="2:12" ht="15" customHeight="1">
      <c r="B179" s="374"/>
    </row>
    <row r="180" spans="2:12" ht="15" customHeight="1">
      <c r="B180" s="515" t="s">
        <v>803</v>
      </c>
      <c r="C180" s="516"/>
      <c r="D180" s="516"/>
      <c r="E180" s="516"/>
      <c r="F180" s="516"/>
      <c r="G180" s="516"/>
      <c r="H180" s="516"/>
      <c r="I180" s="516"/>
      <c r="J180" s="516"/>
      <c r="K180" s="516"/>
      <c r="L180" s="517" t="e">
        <f>L176/L178</f>
        <v>#DIV/0!</v>
      </c>
    </row>
    <row r="181" spans="2:12" ht="15" customHeight="1">
      <c r="B181" s="518" t="s">
        <v>805</v>
      </c>
      <c r="C181" s="519"/>
      <c r="D181" s="519"/>
      <c r="E181" s="519"/>
      <c r="F181" s="519"/>
      <c r="G181" s="519"/>
      <c r="H181" s="519"/>
      <c r="I181" s="519"/>
      <c r="J181" s="519"/>
      <c r="K181" s="519"/>
      <c r="L181" s="520" t="e">
        <f>L180^(1/5)-1</f>
        <v>#DIV/0!</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B988D-8D01-4A93-B497-E21446BB3F17}"/>
</file>

<file path=customXml/itemProps2.xml><?xml version="1.0" encoding="utf-8"?>
<ds:datastoreItem xmlns:ds="http://schemas.openxmlformats.org/officeDocument/2006/customXml" ds:itemID="{AB79CB92-5331-4E6D-BCCA-3ED810C77402}"/>
</file>

<file path=customXml/itemProps3.xml><?xml version="1.0" encoding="utf-8"?>
<ds:datastoreItem xmlns:ds="http://schemas.openxmlformats.org/officeDocument/2006/customXml" ds:itemID="{BF949B8D-E3C6-4017-9340-D0E0185A6CF8}"/>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João Pedro Botelho Pereira de Rodrigues Ferreira</cp:lastModifiedBy>
  <cp:revision/>
  <dcterms:created xsi:type="dcterms:W3CDTF">2025-02-25T16:23:47Z</dcterms:created>
  <dcterms:modified xsi:type="dcterms:W3CDTF">2025-10-11T17:22:17Z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