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omments2.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Research/Equity Research/Team 11 - Luísa Ditomaso/"/>
    </mc:Choice>
  </mc:AlternateContent>
  <xr:revisionPtr revIDLastSave="4763" documentId="13_ncr:1_{E4F0FE66-A577-4445-899C-E4A64E7EE29B}" xr6:coauthVersionLast="47" xr6:coauthVersionMax="47" xr10:uidLastSave="{F83F48BE-106B-4D72-9958-03AC06392FAD}"/>
  <bookViews>
    <workbookView xWindow="2895" yWindow="-16320" windowWidth="29040" windowHeight="15720" tabRatio="731" firstSheet="3" activeTab="2" xr2:uid="{00000000-000D-0000-FFFF-FFFF00000000}"/>
  </bookViews>
  <sheets>
    <sheet name="Dashboard" sheetId="66" r:id="rId1"/>
    <sheet name="Key Info" sheetId="85" r:id="rId2"/>
    <sheet name="Industry" sheetId="3" r:id="rId3"/>
    <sheet name="ESG" sheetId="2" r:id="rId4"/>
    <sheet name="Segments" sheetId="84" r:id="rId5"/>
    <sheet name="Peers" sheetId="89" r:id="rId6"/>
    <sheet name="Trading Comps" sheetId="87" r:id="rId7"/>
    <sheet name="WACC" sheetId="6" r:id="rId8"/>
    <sheet name="FCFF" sheetId="78" r:id="rId9"/>
    <sheet name="LBO" sheetId="65" state="hidden" r:id="rId10"/>
    <sheet name="Sensitivity" sheetId="91" r:id="rId11"/>
    <sheet name="IS" sheetId="74" r:id="rId12"/>
    <sheet name="BS" sheetId="76" r:id="rId13"/>
    <sheet name="CF" sheetId="77" r:id="rId14"/>
    <sheet name="Error Check" sheetId="79" r:id="rId15"/>
    <sheet name="Inputs" sheetId="83" r:id="rId16"/>
    <sheet name="Stock Data" sheetId="86" r:id="rId17"/>
  </sheets>
  <definedNames>
    <definedName name="COOLFUCNTION" comment="No description available" localSheetId="12">_xlfn.LAMBDA(_xldudf_BOARDFLARE_EXEC("workbook-settings:coolfucntion"))</definedName>
    <definedName name="COOLFUCNTION" comment="No description available" localSheetId="13">_xlfn.LAMBDA(_xldudf_BOARDFLARE_EXEC("workbook-settings:coolfucntion"))</definedName>
    <definedName name="COOLFUCNTION" comment="No description available" localSheetId="14">_xlfn.LAMBDA(_xldudf_BOARDFLARE_EXEC("workbook-settings:coolfucntion"))</definedName>
    <definedName name="COOLFUCNTION" comment="No description available" localSheetId="3">_xlfn.LAMBDA(_xldudf_BOARDFLARE_EXEC("workbook-settings:coolfucntion"))</definedName>
    <definedName name="COOLFUCNTION" comment="No description available" localSheetId="8">_xlfn.LAMBDA(_xldudf_BOARDFLARE_EXEC("workbook-settings:coolfucntion"))</definedName>
    <definedName name="COOLFUCNTION" comment="No description available" localSheetId="2">_xlfn.LAMBDA(_xldudf_BOARDFLARE_EXEC("workbook-settings:coolfucntion"))</definedName>
    <definedName name="COOLFUCNTION" comment="No description available" localSheetId="11">_xlfn.LAMBDA(_xldudf_BOARDFLARE_EXEC("workbook-settings:coolfucntion"))</definedName>
    <definedName name="COOLFUCNTION" comment="No description available" localSheetId="9">_xlfn.LAMBDA(_xldudf_BOARDFLARE_EXEC("workbook-settings:coolfucntion"))</definedName>
    <definedName name="COOLFUCNTION" comment="No description available" localSheetId="4">_xlfn.LAMBDA(_xldudf_BOARDFLARE_EXEC("workbook-settings:coolfucntion"))</definedName>
    <definedName name="COOLFUCNTION" comment="No description available" localSheetId="7">_xlfn.LAMBDA(_xldudf_BOARDFLARE_EXEC("workbook-settings:coolfucntion"))</definedName>
    <definedName name="COOLFUCNTION" comment="No description available">_xlfn.LAMBDA(_xldudf_BOARDFLARE_EXEC("workbook-settings:coolfucntion"))</definedName>
    <definedName name="HTML_CodePage" hidden="1">1252</definedName>
    <definedName name="HTML_Control" localSheetId="12" hidden="1">{"'Sheet1'!$A$1:$H$145"}</definedName>
    <definedName name="HTML_Control" localSheetId="13" hidden="1">{"'Sheet1'!$A$1:$H$145"}</definedName>
    <definedName name="HTML_Control" localSheetId="14" hidden="1">{"'Sheet1'!$A$1:$H$145"}</definedName>
    <definedName name="HTML_Control" localSheetId="3" hidden="1">{"'Sheet1'!$A$1:$H$145"}</definedName>
    <definedName name="HTML_Control" localSheetId="8" hidden="1">{"'Sheet1'!$A$1:$H$145"}</definedName>
    <definedName name="HTML_Control" localSheetId="2" hidden="1">{"'Sheet1'!$A$1:$H$145"}</definedName>
    <definedName name="HTML_Control" localSheetId="11" hidden="1">{"'Sheet1'!$A$1:$H$145"}</definedName>
    <definedName name="HTML_Control" localSheetId="9" hidden="1">{"'Sheet1'!$A$1:$H$145"}</definedName>
    <definedName name="HTML_Control" localSheetId="4" hidden="1">{"'Sheet1'!$A$1:$H$145"}</definedName>
    <definedName name="HTML_Control" localSheetId="7"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Sectors" localSheetId="12">#REF!</definedName>
    <definedName name="Sectors" localSheetId="13">#REF!</definedName>
    <definedName name="Sectors" localSheetId="14">#REF!</definedName>
    <definedName name="Sectors" localSheetId="3">#REF!</definedName>
    <definedName name="Sectors" localSheetId="8">#REF!</definedName>
    <definedName name="Sectors" localSheetId="11">#REF!</definedName>
    <definedName name="Sectors" localSheetId="4">#REF!</definedName>
    <definedName name="Sector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85" i="78" l="1"/>
  <c r="AH35" i="78"/>
  <c r="AF35" i="78"/>
  <c r="BG81" i="78"/>
  <c r="BF81" i="78"/>
  <c r="AV82" i="78"/>
  <c r="AW82" i="78" s="1"/>
  <c r="AX82" i="78" s="1"/>
  <c r="AV75" i="78"/>
  <c r="AW75" i="78" s="1"/>
  <c r="AL125" i="78"/>
  <c r="AJ125" i="78"/>
  <c r="AH125" i="78"/>
  <c r="AF125" i="78"/>
  <c r="Z125" i="78"/>
  <c r="AW84" i="78"/>
  <c r="AX84" i="78" s="1"/>
  <c r="BG74" i="78"/>
  <c r="BF74" i="78"/>
  <c r="AU76" i="78"/>
  <c r="AV76" i="78" s="1"/>
  <c r="AW76" i="78" s="1"/>
  <c r="AX76" i="78" s="1"/>
  <c r="T16" i="6"/>
  <c r="T15" i="6"/>
  <c r="AJ59" i="78"/>
  <c r="AH59" i="78"/>
  <c r="AF59" i="78"/>
  <c r="Z59" i="78"/>
  <c r="W59" i="78"/>
  <c r="W58" i="78"/>
  <c r="G14" i="3"/>
  <c r="H14" i="3" s="1"/>
  <c r="I14" i="3" s="1"/>
  <c r="J14" i="3" s="1"/>
  <c r="K14" i="3" s="1"/>
  <c r="H42" i="6"/>
  <c r="G42" i="6"/>
  <c r="G12" i="3"/>
  <c r="H12" i="3" s="1"/>
  <c r="I12" i="3" s="1"/>
  <c r="J12" i="3" s="1"/>
  <c r="K12" i="3" s="1"/>
  <c r="H16" i="85"/>
  <c r="AF166" i="78"/>
  <c r="E30" i="6"/>
  <c r="F30" i="6" s="1"/>
  <c r="G30" i="6" s="1"/>
  <c r="D31" i="6"/>
  <c r="O18" i="6"/>
  <c r="N17" i="6"/>
  <c r="Z147" i="78"/>
  <c r="D75" i="89"/>
  <c r="F75" i="89"/>
  <c r="G75" i="89"/>
  <c r="H75" i="89"/>
  <c r="I75" i="89"/>
  <c r="J75" i="89"/>
  <c r="K75" i="89"/>
  <c r="L75" i="89"/>
  <c r="M75" i="89"/>
  <c r="N75" i="89"/>
  <c r="O75" i="89"/>
  <c r="P75" i="89"/>
  <c r="Q75" i="89"/>
  <c r="N88" i="89"/>
  <c r="O89" i="89"/>
  <c r="W103" i="78"/>
  <c r="H27" i="85"/>
  <c r="D22" i="6"/>
  <c r="H13" i="6"/>
  <c r="G13" i="6"/>
  <c r="F13" i="6"/>
  <c r="E13" i="6"/>
  <c r="AJ35" i="78" l="1"/>
  <c r="AL35" i="78" s="1"/>
  <c r="AF147" i="78"/>
  <c r="AH147" i="78" s="1"/>
  <c r="AJ147" i="78" s="1"/>
  <c r="AL147" i="78" s="1"/>
  <c r="Z148" i="78"/>
  <c r="BN80" i="78"/>
  <c r="BO80" i="78"/>
  <c r="AX25" i="84"/>
  <c r="AV25" i="84"/>
  <c r="AT25" i="84"/>
  <c r="AR25" i="84"/>
  <c r="AL25" i="84"/>
  <c r="N18" i="6"/>
  <c r="E37" i="6"/>
  <c r="D37" i="6"/>
  <c r="H19" i="85"/>
  <c r="D35" i="6"/>
  <c r="D29" i="6"/>
  <c r="H28" i="6"/>
  <c r="G28" i="6"/>
  <c r="F28" i="6"/>
  <c r="E28" i="6"/>
  <c r="AA103" i="78"/>
  <c r="AA88" i="78"/>
  <c r="T103" i="78"/>
  <c r="T125" i="78"/>
  <c r="BN79" i="78"/>
  <c r="BN78" i="78"/>
  <c r="T14" i="6"/>
  <c r="T13" i="6"/>
  <c r="D13" i="6"/>
  <c r="BM82" i="78"/>
  <c r="T94" i="78"/>
  <c r="AS91" i="78"/>
  <c r="AS89" i="78"/>
  <c r="AS84" i="78"/>
  <c r="AS83" i="78"/>
  <c r="AT83" i="78" s="1"/>
  <c r="AU83" i="78" s="1"/>
  <c r="AV83" i="78" s="1"/>
  <c r="AW83" i="78" s="1"/>
  <c r="AX83" i="78" s="1"/>
  <c r="AY83" i="78" s="1"/>
  <c r="AS82" i="78"/>
  <c r="AT82" i="78" s="1"/>
  <c r="AU82" i="78" s="1"/>
  <c r="AS78" i="78"/>
  <c r="AT78" i="78" s="1"/>
  <c r="AU78" i="78" s="1"/>
  <c r="AV78" i="78" s="1"/>
  <c r="AS77" i="78"/>
  <c r="AT77" i="78" s="1"/>
  <c r="AU77" i="78" s="1"/>
  <c r="AV77" i="78" s="1"/>
  <c r="AW77" i="78" s="1"/>
  <c r="AS76" i="78"/>
  <c r="AT76" i="78" s="1"/>
  <c r="AS75" i="78"/>
  <c r="BB76" i="78"/>
  <c r="BB75" i="78"/>
  <c r="BB74" i="78"/>
  <c r="BB81" i="78"/>
  <c r="BB82" i="78"/>
  <c r="BB83" i="78"/>
  <c r="BC74" i="78"/>
  <c r="BD74" i="78" s="1"/>
  <c r="BE74" i="78" s="1"/>
  <c r="BH74" i="78" s="1"/>
  <c r="BC81" i="78"/>
  <c r="BD81" i="78" s="1"/>
  <c r="BE81" i="78" s="1"/>
  <c r="BH81" i="78" s="1"/>
  <c r="BC76" i="78"/>
  <c r="BD76" i="78" s="1"/>
  <c r="BE76" i="78" s="1"/>
  <c r="BF76" i="78" s="1"/>
  <c r="BG76" i="78" s="1"/>
  <c r="BH76" i="78" s="1"/>
  <c r="BC75" i="78"/>
  <c r="AT91" i="78"/>
  <c r="AT89" i="78"/>
  <c r="BC83" i="78"/>
  <c r="BD83" i="78" s="1"/>
  <c r="BC82" i="78"/>
  <c r="BD82" i="78" s="1"/>
  <c r="BE82" i="78" s="1"/>
  <c r="AT84" i="78"/>
  <c r="AU84" i="78" s="1"/>
  <c r="AV84" i="78" s="1"/>
  <c r="AY84" i="78"/>
  <c r="BB84" i="78"/>
  <c r="BB77" i="78"/>
  <c r="BC77" i="78" s="1"/>
  <c r="BD77" i="78" s="1"/>
  <c r="BE77" i="78" s="1"/>
  <c r="BF77" i="78" s="1"/>
  <c r="BG77" i="78" s="1"/>
  <c r="AS92" i="78"/>
  <c r="AS90" i="78"/>
  <c r="AT90" i="78" s="1"/>
  <c r="AU90" i="78" s="1"/>
  <c r="AS85" i="78"/>
  <c r="AT85" i="78" s="1"/>
  <c r="AU85" i="78" s="1"/>
  <c r="AV85" i="78" s="1"/>
  <c r="AT88" i="78"/>
  <c r="AU81" i="78"/>
  <c r="AT81" i="78"/>
  <c r="BC73" i="78"/>
  <c r="BN75" i="78" s="1"/>
  <c r="M12" i="3"/>
  <c r="Z99" i="78"/>
  <c r="T106" i="78"/>
  <c r="Q49" i="89"/>
  <c r="O90" i="89"/>
  <c r="S28" i="87"/>
  <c r="O28" i="87"/>
  <c r="L28" i="87"/>
  <c r="N59" i="89"/>
  <c r="N36" i="89"/>
  <c r="H44" i="89"/>
  <c r="T88" i="78"/>
  <c r="G44" i="89"/>
  <c r="J44" i="89"/>
  <c r="J45" i="89"/>
  <c r="H45" i="89"/>
  <c r="G45" i="89"/>
  <c r="Q28" i="89"/>
  <c r="Q23" i="89"/>
  <c r="P28" i="89"/>
  <c r="O28" i="89"/>
  <c r="M28" i="89"/>
  <c r="G28" i="89"/>
  <c r="E28" i="89"/>
  <c r="C28" i="89"/>
  <c r="T58" i="78"/>
  <c r="G30" i="89"/>
  <c r="G39" i="89" s="1"/>
  <c r="H30" i="89"/>
  <c r="H39" i="89" s="1"/>
  <c r="F30" i="89"/>
  <c r="F39" i="89" s="1"/>
  <c r="G21" i="89"/>
  <c r="H21" i="89"/>
  <c r="F21" i="89"/>
  <c r="AF14" i="84"/>
  <c r="AF15" i="84"/>
  <c r="AF16" i="84"/>
  <c r="Z14" i="84"/>
  <c r="Z15" i="84"/>
  <c r="Z16" i="84"/>
  <c r="T14" i="84"/>
  <c r="T15" i="84"/>
  <c r="T16" i="84"/>
  <c r="N14" i="84"/>
  <c r="N15" i="84"/>
  <c r="N16" i="84"/>
  <c r="J13" i="84"/>
  <c r="K13" i="84"/>
  <c r="L13" i="84"/>
  <c r="M13" i="84"/>
  <c r="N13" i="84"/>
  <c r="P13" i="84"/>
  <c r="Q13" i="84"/>
  <c r="R13" i="84"/>
  <c r="S13" i="84"/>
  <c r="T13" i="84"/>
  <c r="V13" i="84"/>
  <c r="W13" i="84"/>
  <c r="X13" i="84"/>
  <c r="Y13" i="84"/>
  <c r="Z13" i="84"/>
  <c r="AB13" i="84"/>
  <c r="AC13" i="84"/>
  <c r="AD13" i="84"/>
  <c r="AE13" i="84"/>
  <c r="AF13" i="84"/>
  <c r="H14" i="84"/>
  <c r="H15" i="84"/>
  <c r="H16" i="84"/>
  <c r="H13" i="84"/>
  <c r="AL41" i="78"/>
  <c r="AJ41" i="78"/>
  <c r="AH41" i="78"/>
  <c r="AF41" i="78"/>
  <c r="L173" i="65"/>
  <c r="AF148" i="78" l="1"/>
  <c r="AF151" i="78" s="1"/>
  <c r="AF153" i="78" s="1"/>
  <c r="Z151" i="78"/>
  <c r="Z88" i="78"/>
  <c r="AF88" i="78" s="1"/>
  <c r="AH88" i="78" s="1"/>
  <c r="AJ88" i="78" s="1"/>
  <c r="AL88" i="78" s="1"/>
  <c r="BP80" i="78"/>
  <c r="BO78" i="78"/>
  <c r="BP78" i="78" s="1"/>
  <c r="BO79" i="78"/>
  <c r="BP79" i="78" s="1"/>
  <c r="BQ80" i="78"/>
  <c r="BQ78" i="78"/>
  <c r="BQ79" i="78"/>
  <c r="BE83" i="78"/>
  <c r="BF83" i="78" s="1"/>
  <c r="BG83" i="78" s="1"/>
  <c r="BH83" i="78" s="1"/>
  <c r="AU89" i="78"/>
  <c r="AV89" i="78" s="1"/>
  <c r="AW89" i="78" s="1"/>
  <c r="AX89" i="78" s="1"/>
  <c r="AY89" i="78" s="1"/>
  <c r="AU91" i="78"/>
  <c r="AV91" i="78" s="1"/>
  <c r="AW91" i="78" s="1"/>
  <c r="AX91" i="78" s="1"/>
  <c r="AY91" i="78" s="1"/>
  <c r="BD75" i="78"/>
  <c r="BE75" i="78" s="1"/>
  <c r="BF75" i="78" s="1"/>
  <c r="BG75" i="78" s="1"/>
  <c r="BH75" i="78" s="1"/>
  <c r="AW85" i="78"/>
  <c r="AX85" i="78" s="1"/>
  <c r="AV90" i="78"/>
  <c r="AW90" i="78" s="1"/>
  <c r="AX90" i="78" s="1"/>
  <c r="AY90" i="78" s="1"/>
  <c r="BF82" i="78"/>
  <c r="BG82" i="78" s="1"/>
  <c r="BH82" i="78" s="1"/>
  <c r="AT75" i="78"/>
  <c r="AU75" i="78" s="1"/>
  <c r="AX75" i="78" s="1"/>
  <c r="AY75" i="78" s="1"/>
  <c r="AY76" i="78"/>
  <c r="AW78" i="78"/>
  <c r="AX78" i="78" s="1"/>
  <c r="AY78" i="78" s="1"/>
  <c r="BC84" i="78"/>
  <c r="BD84" i="78" s="1"/>
  <c r="BE84" i="78" s="1"/>
  <c r="BF84" i="78" s="1"/>
  <c r="BG84" i="78" s="1"/>
  <c r="BH84" i="78" s="1"/>
  <c r="AU88" i="78"/>
  <c r="BC80" i="78"/>
  <c r="AH148" i="78" l="1"/>
  <c r="AJ148" i="78" s="1"/>
  <c r="AL148" i="78" s="1"/>
  <c r="BR79" i="78"/>
  <c r="BR78" i="78"/>
  <c r="BR80" i="78"/>
  <c r="AV81" i="78"/>
  <c r="AX77" i="78"/>
  <c r="AY77" i="78" s="1"/>
  <c r="AT74" i="78"/>
  <c r="BD73" i="78"/>
  <c r="BO75" i="78" s="1"/>
  <c r="AV88" i="78"/>
  <c r="BD80" i="78"/>
  <c r="BN74" i="78" l="1"/>
  <c r="AU74" i="78"/>
  <c r="BO74" i="78" s="1"/>
  <c r="AW81" i="78"/>
  <c r="BE73" i="78"/>
  <c r="BP75" i="78" s="1"/>
  <c r="AW88" i="78"/>
  <c r="BE80" i="78"/>
  <c r="AX81" i="78" l="1"/>
  <c r="AY81" i="78" s="1"/>
  <c r="AY82" i="78"/>
  <c r="BN82" i="78"/>
  <c r="BO82" i="78"/>
  <c r="AF31" i="78" s="1"/>
  <c r="AF103" i="78" s="1"/>
  <c r="AV74" i="78"/>
  <c r="BP74" i="78" s="1"/>
  <c r="BF73" i="78"/>
  <c r="BQ75" i="78" s="1"/>
  <c r="AX88" i="78"/>
  <c r="AY88" i="78" s="1"/>
  <c r="BF80" i="78"/>
  <c r="BO85" i="78" l="1"/>
  <c r="Z31" i="78"/>
  <c r="BN86" i="78"/>
  <c r="BN89" i="78"/>
  <c r="BN87" i="78"/>
  <c r="BN88" i="78"/>
  <c r="BN85" i="78"/>
  <c r="BO89" i="78"/>
  <c r="BO88" i="78"/>
  <c r="BO87" i="78"/>
  <c r="BO86" i="78"/>
  <c r="BP82" i="78"/>
  <c r="BP85" i="78"/>
  <c r="Z73" i="78"/>
  <c r="Z61" i="78"/>
  <c r="Z123" i="78" s="1"/>
  <c r="Z127" i="78" s="1"/>
  <c r="AX74" i="78"/>
  <c r="BR74" i="78" s="1"/>
  <c r="AW74" i="78"/>
  <c r="BQ74" i="78" s="1"/>
  <c r="BG73" i="78"/>
  <c r="BR75" i="78" s="1"/>
  <c r="BG80" i="78"/>
  <c r="R163" i="78"/>
  <c r="BQ82" i="78" l="1"/>
  <c r="BQ85" i="78"/>
  <c r="AH31" i="78"/>
  <c r="AH73" i="78" s="1"/>
  <c r="BP89" i="78"/>
  <c r="BP87" i="78"/>
  <c r="BP88" i="78"/>
  <c r="BP86" i="78"/>
  <c r="BR82" i="78"/>
  <c r="AL31" i="78" s="1"/>
  <c r="AF163" i="78" s="1"/>
  <c r="BH73" i="78"/>
  <c r="AY74" i="78"/>
  <c r="AF73" i="78"/>
  <c r="AF40" i="78"/>
  <c r="AF61" i="78"/>
  <c r="BH80" i="78"/>
  <c r="H21" i="85"/>
  <c r="H22" i="85"/>
  <c r="BR85" i="78" l="1"/>
  <c r="AJ31" i="78"/>
  <c r="BQ88" i="78"/>
  <c r="BQ87" i="78"/>
  <c r="BQ89" i="78"/>
  <c r="BQ86" i="78"/>
  <c r="BR89" i="78"/>
  <c r="BR88" i="78"/>
  <c r="BR86" i="78"/>
  <c r="BR87" i="78"/>
  <c r="AH61" i="78"/>
  <c r="AL73" i="78"/>
  <c r="AN31" i="78"/>
  <c r="AL61" i="78"/>
  <c r="AL43" i="78"/>
  <c r="AJ43" i="78"/>
  <c r="AH43" i="78"/>
  <c r="AJ73" i="78" l="1"/>
  <c r="AJ61" i="78"/>
  <c r="W113" i="78"/>
  <c r="J116" i="78"/>
  <c r="T116" i="78"/>
  <c r="Z116" i="78" s="1"/>
  <c r="AF116" i="78" s="1"/>
  <c r="AH116" i="78" s="1"/>
  <c r="AJ116" i="78" s="1"/>
  <c r="V113" i="78"/>
  <c r="F113" i="78"/>
  <c r="T113" i="78"/>
  <c r="Z113" i="78" s="1"/>
  <c r="L113" i="78"/>
  <c r="L116" i="78"/>
  <c r="Q116" i="78"/>
  <c r="J113" i="78"/>
  <c r="D116" i="78"/>
  <c r="E116" i="78"/>
  <c r="M113" i="78"/>
  <c r="R116" i="78"/>
  <c r="D113" i="78"/>
  <c r="D28" i="6"/>
  <c r="N113" i="78"/>
  <c r="M116" i="78"/>
  <c r="P116" i="78"/>
  <c r="W116" i="78"/>
  <c r="F116" i="78"/>
  <c r="V116" i="78"/>
  <c r="E113" i="78"/>
  <c r="H113" i="78"/>
  <c r="S113" i="78"/>
  <c r="Q113" i="78"/>
  <c r="P113" i="78"/>
  <c r="G116" i="78"/>
  <c r="R113" i="78"/>
  <c r="N116" i="78"/>
  <c r="G113" i="78"/>
  <c r="K116" i="78"/>
  <c r="S116" i="78"/>
  <c r="K113" i="78"/>
  <c r="H116" i="78"/>
  <c r="AL116" i="78" l="1"/>
  <c r="AF113" i="78"/>
  <c r="F20" i="85"/>
  <c r="AH113" i="78" l="1"/>
  <c r="AJ113" i="78" s="1"/>
  <c r="AL113" i="78" s="1"/>
  <c r="H30" i="85"/>
  <c r="H31" i="85"/>
  <c r="H28" i="85" l="1"/>
  <c r="H25" i="85" l="1"/>
  <c r="H26" i="85"/>
  <c r="H23" i="85" l="1"/>
  <c r="J82" i="78" l="1"/>
  <c r="M82" i="78"/>
  <c r="D82" i="78"/>
  <c r="D83" i="78" s="1"/>
  <c r="V82" i="78"/>
  <c r="Q82" i="78"/>
  <c r="E82" i="78"/>
  <c r="K82" i="78"/>
  <c r="P82" i="78"/>
  <c r="W82" i="78"/>
  <c r="F82" i="78"/>
  <c r="L82" i="78"/>
  <c r="G82" i="78"/>
  <c r="S82" i="78"/>
  <c r="R82" i="78"/>
  <c r="D52" i="78" l="1"/>
  <c r="B7" i="87" l="1"/>
  <c r="S55" i="87"/>
  <c r="S54" i="87"/>
  <c r="S52" i="87"/>
  <c r="S51" i="87"/>
  <c r="S46" i="87"/>
  <c r="S45" i="87"/>
  <c r="S35" i="87"/>
  <c r="S34" i="87"/>
  <c r="S23" i="87"/>
  <c r="S22" i="87"/>
  <c r="J35" i="87" l="1"/>
  <c r="L35" i="87"/>
  <c r="L34" i="87"/>
  <c r="L54" i="87"/>
  <c r="O55" i="87"/>
  <c r="V34" i="87"/>
  <c r="W55" i="87"/>
  <c r="M34" i="87"/>
  <c r="X35" i="87"/>
  <c r="X34" i="87"/>
  <c r="W23" i="87"/>
  <c r="O35" i="87"/>
  <c r="N45" i="87"/>
  <c r="N55" i="87"/>
  <c r="N52" i="87"/>
  <c r="N54" i="87"/>
  <c r="N51" i="87"/>
  <c r="N46" i="87"/>
  <c r="N35" i="87"/>
  <c r="K55" i="87"/>
  <c r="V23" i="87"/>
  <c r="V22" i="87"/>
  <c r="T34" i="87"/>
  <c r="Q34" i="87"/>
  <c r="X55" i="87"/>
  <c r="X51" i="87"/>
  <c r="X54" i="87"/>
  <c r="X52" i="87"/>
  <c r="X45" i="87"/>
  <c r="X46" i="87"/>
  <c r="P34" i="87"/>
  <c r="V55" i="87"/>
  <c r="V52" i="87"/>
  <c r="I34" i="87"/>
  <c r="K34" i="87"/>
  <c r="J45" i="87"/>
  <c r="Z23" i="87"/>
  <c r="M45" i="87"/>
  <c r="Z52" i="87"/>
  <c r="T45" i="87"/>
  <c r="W35" i="87"/>
  <c r="T23" i="87"/>
  <c r="Z34" i="87"/>
  <c r="X23" i="87"/>
  <c r="P51" i="87"/>
  <c r="W45" i="87"/>
  <c r="V46" i="87"/>
  <c r="V45" i="87"/>
  <c r="V51" i="87"/>
  <c r="V54" i="87"/>
  <c r="W46" i="87"/>
  <c r="W54" i="87"/>
  <c r="W52" i="87"/>
  <c r="W51" i="87"/>
  <c r="M52" i="87"/>
  <c r="M51" i="87"/>
  <c r="M55" i="87"/>
  <c r="M54" i="87"/>
  <c r="N34" i="87"/>
  <c r="P54" i="87"/>
  <c r="P55" i="87"/>
  <c r="P52" i="87"/>
  <c r="P46" i="87"/>
  <c r="V35" i="87"/>
  <c r="M46" i="87"/>
  <c r="P45" i="87"/>
  <c r="K35" i="87"/>
  <c r="W34" i="87"/>
  <c r="W22" i="87"/>
  <c r="P35" i="87"/>
  <c r="O34" i="87"/>
  <c r="L46" i="87"/>
  <c r="J52" i="87"/>
  <c r="L52" i="87"/>
  <c r="O46" i="87"/>
  <c r="Q35" i="87"/>
  <c r="L51" i="87"/>
  <c r="O51" i="87"/>
  <c r="J54" i="87"/>
  <c r="M35" i="87"/>
  <c r="J55" i="87"/>
  <c r="K45" i="87"/>
  <c r="O52" i="87"/>
  <c r="L45" i="87"/>
  <c r="J46" i="87"/>
  <c r="O45" i="87"/>
  <c r="J51" i="87"/>
  <c r="O54" i="87"/>
  <c r="L55" i="87"/>
  <c r="X22" i="87"/>
  <c r="K52" i="87"/>
  <c r="I35" i="87"/>
  <c r="K46" i="87"/>
  <c r="K54" i="87"/>
  <c r="K51" i="87"/>
  <c r="T52" i="87"/>
  <c r="T55" i="87"/>
  <c r="Z55" i="87"/>
  <c r="J34" i="87"/>
  <c r="Z35" i="87"/>
  <c r="I45" i="87"/>
  <c r="I51" i="87"/>
  <c r="I54" i="87"/>
  <c r="I52" i="87"/>
  <c r="I55" i="87"/>
  <c r="I46" i="87"/>
  <c r="Z46" i="87"/>
  <c r="Q45" i="87"/>
  <c r="Q51" i="87"/>
  <c r="Q55" i="87"/>
  <c r="T22" i="87"/>
  <c r="T35" i="87"/>
  <c r="Q46" i="87"/>
  <c r="Q54" i="87"/>
  <c r="Z45" i="87"/>
  <c r="Z54" i="87"/>
  <c r="Z51" i="87"/>
  <c r="Q52" i="87"/>
  <c r="Z22" i="87"/>
  <c r="T51" i="87"/>
  <c r="T54" i="87"/>
  <c r="T46" i="87"/>
  <c r="Q23" i="87"/>
  <c r="Q22" i="87"/>
  <c r="P23" i="87"/>
  <c r="P22" i="87"/>
  <c r="O23" i="87"/>
  <c r="O22" i="87"/>
  <c r="N22" i="87"/>
  <c r="N23" i="87"/>
  <c r="M23" i="87"/>
  <c r="M22" i="87"/>
  <c r="L23" i="87"/>
  <c r="L22" i="87"/>
  <c r="K22" i="87"/>
  <c r="K23" i="87"/>
  <c r="J23" i="87"/>
  <c r="J22" i="87"/>
  <c r="I23" i="87"/>
  <c r="I22" i="87"/>
  <c r="H32" i="6"/>
  <c r="G32" i="6"/>
  <c r="F32" i="6"/>
  <c r="K16" i="6"/>
  <c r="K15" i="6"/>
  <c r="K14" i="6"/>
  <c r="K13" i="6"/>
  <c r="K12" i="6"/>
  <c r="O9" i="6"/>
  <c r="P9" i="6" s="1"/>
  <c r="Q9" i="6" s="1"/>
  <c r="R9" i="6" s="1"/>
  <c r="E31" i="6"/>
  <c r="F31" i="6"/>
  <c r="G31" i="6"/>
  <c r="H31" i="6"/>
  <c r="E9" i="6"/>
  <c r="F9" i="6" s="1"/>
  <c r="G9" i="6" s="1"/>
  <c r="H9" i="6" s="1"/>
  <c r="H33" i="6" l="1"/>
  <c r="D16" i="6"/>
  <c r="G33" i="6"/>
  <c r="F33" i="6"/>
  <c r="M15" i="3" l="1"/>
  <c r="M13" i="3"/>
  <c r="M14" i="3"/>
  <c r="E9" i="3"/>
  <c r="F9" i="3" s="1"/>
  <c r="G9" i="3" s="1"/>
  <c r="H9" i="3" s="1"/>
  <c r="I9" i="3" s="1"/>
  <c r="J9" i="3" s="1"/>
  <c r="K9" i="3" s="1"/>
  <c r="M9" i="3" s="1"/>
  <c r="J8" i="84"/>
  <c r="P8" i="84" s="1"/>
  <c r="V8" i="84" s="1"/>
  <c r="AB8" i="84" s="1"/>
  <c r="AH8" i="84" s="1"/>
  <c r="AN8" i="84" s="1"/>
  <c r="AT8" i="84" s="1"/>
  <c r="AV8" i="84" s="1"/>
  <c r="AX8" i="84" s="1"/>
  <c r="AR7" i="84"/>
  <c r="AQ7" i="84"/>
  <c r="AO7" i="84"/>
  <c r="AN7" i="84"/>
  <c r="AL7" i="84"/>
  <c r="AK7" i="84"/>
  <c r="AI7" i="84"/>
  <c r="AH7" i="84"/>
  <c r="AF7" i="84"/>
  <c r="AE7" i="84"/>
  <c r="AC7" i="84"/>
  <c r="AB7" i="84"/>
  <c r="Z7" i="84"/>
  <c r="Y7" i="84"/>
  <c r="W7" i="84"/>
  <c r="V7" i="84"/>
  <c r="T7" i="84"/>
  <c r="S7" i="84"/>
  <c r="Q7" i="84"/>
  <c r="P7" i="84"/>
  <c r="N7" i="84"/>
  <c r="M7" i="84"/>
  <c r="K7" i="84"/>
  <c r="J7" i="84"/>
  <c r="H7" i="84"/>
  <c r="G7" i="84"/>
  <c r="E7" i="84"/>
  <c r="D7" i="84"/>
  <c r="C193" i="66" l="1"/>
  <c r="C192" i="66" s="1"/>
  <c r="C194" i="66" l="1"/>
  <c r="C191" i="66"/>
  <c r="C195" i="66" l="1"/>
  <c r="C190" i="66"/>
  <c r="L59" i="65"/>
  <c r="L108" i="65" s="1"/>
  <c r="K59" i="65"/>
  <c r="K102" i="65" s="1"/>
  <c r="J59" i="65"/>
  <c r="J108" i="65" s="1"/>
  <c r="I59" i="65"/>
  <c r="I71" i="65" s="1"/>
  <c r="I120" i="65" s="1"/>
  <c r="H59" i="65"/>
  <c r="H71" i="65" s="1"/>
  <c r="H120" i="65" s="1"/>
  <c r="G112" i="65"/>
  <c r="F112" i="65"/>
  <c r="E112" i="65"/>
  <c r="C196" i="66" l="1"/>
  <c r="C189" i="66"/>
  <c r="H131" i="65"/>
  <c r="I131" i="65"/>
  <c r="J131" i="65"/>
  <c r="K131" i="65"/>
  <c r="L131" i="65"/>
  <c r="J71" i="65"/>
  <c r="J120" i="65" s="1"/>
  <c r="K71" i="65"/>
  <c r="K120" i="65" s="1"/>
  <c r="L71" i="65"/>
  <c r="L120" i="65" s="1"/>
  <c r="H108" i="65"/>
  <c r="J102" i="65"/>
  <c r="K108" i="65"/>
  <c r="J60" i="65"/>
  <c r="L60" i="65"/>
  <c r="L102" i="65"/>
  <c r="I108" i="65"/>
  <c r="I60" i="65"/>
  <c r="K60" i="65"/>
  <c r="H102" i="65"/>
  <c r="I102" i="65"/>
  <c r="C197" i="66" l="1"/>
  <c r="C188" i="66"/>
  <c r="C198" i="66" l="1"/>
  <c r="C187" i="66"/>
  <c r="C199" i="66" l="1"/>
  <c r="C186" i="66"/>
  <c r="C200" i="66" l="1"/>
  <c r="C185" i="66"/>
  <c r="C201" i="66" l="1"/>
  <c r="C184" i="66"/>
  <c r="C202" i="66" l="1"/>
  <c r="C183" i="66"/>
  <c r="C203" i="66" l="1"/>
  <c r="C182" i="66"/>
  <c r="C181" i="66" l="1"/>
  <c r="C204" i="66"/>
  <c r="C205" i="66" l="1"/>
  <c r="C180" i="66"/>
  <c r="C206" i="66" l="1"/>
  <c r="C179" i="66"/>
  <c r="E14" i="65"/>
  <c r="C207" i="66" l="1"/>
  <c r="C178" i="66"/>
  <c r="AD17" i="84"/>
  <c r="AD25" i="84"/>
  <c r="AD67" i="79"/>
  <c r="R25" i="84"/>
  <c r="R17" i="84"/>
  <c r="R67" i="79"/>
  <c r="F25" i="84"/>
  <c r="F17" i="84"/>
  <c r="F67" i="79"/>
  <c r="X25" i="84"/>
  <c r="X17" i="84"/>
  <c r="X67" i="79"/>
  <c r="L17" i="84"/>
  <c r="L25" i="84"/>
  <c r="L67" i="79"/>
  <c r="C208" i="66" l="1"/>
  <c r="C177" i="66"/>
  <c r="C209" i="66" l="1"/>
  <c r="C176" i="66"/>
  <c r="C210" i="66" l="1"/>
  <c r="C175" i="66"/>
  <c r="C211" i="66" l="1"/>
  <c r="C174" i="66"/>
  <c r="C212" i="66" l="1"/>
  <c r="C173" i="66"/>
  <c r="C213" i="66" l="1"/>
  <c r="C172" i="66"/>
  <c r="C214" i="66" l="1"/>
  <c r="C171" i="66"/>
  <c r="C215" i="66" l="1"/>
  <c r="C170" i="66"/>
  <c r="C169" i="66" l="1"/>
  <c r="C216" i="66"/>
  <c r="C217" i="66" l="1"/>
  <c r="C168" i="66"/>
  <c r="C218" i="66" l="1"/>
  <c r="C167" i="66"/>
  <c r="E32" i="6"/>
  <c r="E33" i="6" s="1"/>
  <c r="AF99" i="78"/>
  <c r="AF83" i="78"/>
  <c r="C219" i="66" l="1"/>
  <c r="C166" i="66"/>
  <c r="W55" i="78"/>
  <c r="V55" i="78"/>
  <c r="W52" i="78"/>
  <c r="V52" i="78"/>
  <c r="R65" i="78"/>
  <c r="R64" i="78"/>
  <c r="T55" i="78"/>
  <c r="G83" i="65" s="1"/>
  <c r="S55" i="78"/>
  <c r="R55" i="78"/>
  <c r="Q55" i="78"/>
  <c r="P55" i="78"/>
  <c r="T52" i="78"/>
  <c r="G80" i="65" s="1"/>
  <c r="S52" i="78"/>
  <c r="R52" i="78"/>
  <c r="Q52" i="78"/>
  <c r="P52" i="78"/>
  <c r="L65" i="78"/>
  <c r="L64" i="78"/>
  <c r="N55" i="78"/>
  <c r="F83" i="65" s="1"/>
  <c r="M55" i="78"/>
  <c r="L55" i="78"/>
  <c r="K55" i="78"/>
  <c r="J55" i="78"/>
  <c r="N52" i="78"/>
  <c r="F80" i="65" s="1"/>
  <c r="M52" i="78"/>
  <c r="L52" i="78"/>
  <c r="K52" i="78"/>
  <c r="J52" i="78"/>
  <c r="C220" i="66" l="1"/>
  <c r="C165" i="66"/>
  <c r="AX67" i="79"/>
  <c r="AT67" i="79"/>
  <c r="AL32" i="78"/>
  <c r="AJ32" i="78"/>
  <c r="H55" i="78"/>
  <c r="E83" i="65" s="1"/>
  <c r="G55" i="78"/>
  <c r="F55" i="78"/>
  <c r="E55" i="78"/>
  <c r="H52" i="78"/>
  <c r="E80" i="65" s="1"/>
  <c r="G52" i="78"/>
  <c r="F52" i="78"/>
  <c r="E52" i="78"/>
  <c r="D55" i="78"/>
  <c r="AD140" i="78"/>
  <c r="AF140" i="78" s="1"/>
  <c r="X140" i="78"/>
  <c r="Z140" i="78" s="1"/>
  <c r="AD119" i="78"/>
  <c r="AF119" i="78" s="1"/>
  <c r="X119" i="78"/>
  <c r="Y119" i="78" s="1"/>
  <c r="R119" i="78"/>
  <c r="Q119" i="78" s="1"/>
  <c r="L119" i="78"/>
  <c r="N119" i="78" s="1"/>
  <c r="F119" i="78"/>
  <c r="E119" i="78" s="1"/>
  <c r="D119" i="78"/>
  <c r="AM24" i="78"/>
  <c r="AD24" i="78"/>
  <c r="AF24" i="78" s="1"/>
  <c r="X24" i="78"/>
  <c r="Y24" i="78" s="1"/>
  <c r="R24" i="78"/>
  <c r="T24" i="78" s="1"/>
  <c r="L24" i="78"/>
  <c r="K24" i="78" s="1"/>
  <c r="D24" i="78"/>
  <c r="F24" i="78"/>
  <c r="J8" i="78"/>
  <c r="P8" i="78" s="1"/>
  <c r="V8" i="78" s="1"/>
  <c r="AB8" i="78" s="1"/>
  <c r="AH8" i="78" s="1"/>
  <c r="AJ8" i="78" s="1"/>
  <c r="AL8" i="78" s="1"/>
  <c r="AL140" i="78" s="1"/>
  <c r="J161" i="79"/>
  <c r="P161" i="79" s="1"/>
  <c r="V161" i="79" s="1"/>
  <c r="AB161" i="79" s="1"/>
  <c r="AH161" i="79" s="1"/>
  <c r="AN161" i="79" s="1"/>
  <c r="AT161" i="79" s="1"/>
  <c r="AV161" i="79" s="1"/>
  <c r="AX161" i="79" s="1"/>
  <c r="AR160" i="79"/>
  <c r="AQ160" i="79"/>
  <c r="AO160" i="79"/>
  <c r="AN160" i="79"/>
  <c r="AL160" i="79"/>
  <c r="AK160" i="79"/>
  <c r="AI160" i="79"/>
  <c r="AH160" i="79"/>
  <c r="AF160" i="79"/>
  <c r="AE160" i="79"/>
  <c r="AC160" i="79"/>
  <c r="AB160" i="79"/>
  <c r="Z160" i="79"/>
  <c r="Y160" i="79"/>
  <c r="W160" i="79"/>
  <c r="V160" i="79"/>
  <c r="T160" i="79"/>
  <c r="S160" i="79"/>
  <c r="Q160" i="79"/>
  <c r="P160" i="79"/>
  <c r="N160" i="79"/>
  <c r="M160" i="79"/>
  <c r="K160" i="79"/>
  <c r="J160" i="79"/>
  <c r="H160" i="79"/>
  <c r="G160" i="79"/>
  <c r="E160" i="79"/>
  <c r="J119" i="79"/>
  <c r="P119" i="79" s="1"/>
  <c r="V119" i="79" s="1"/>
  <c r="AB119" i="79" s="1"/>
  <c r="AH119" i="79" s="1"/>
  <c r="AN119" i="79" s="1"/>
  <c r="AT119" i="79" s="1"/>
  <c r="AV119" i="79" s="1"/>
  <c r="AX119" i="79" s="1"/>
  <c r="AR118" i="79"/>
  <c r="AQ118" i="79"/>
  <c r="AO118" i="79"/>
  <c r="AN118" i="79"/>
  <c r="AL118" i="79"/>
  <c r="AK118" i="79"/>
  <c r="AI118" i="79"/>
  <c r="AH118" i="79"/>
  <c r="AF118" i="79"/>
  <c r="AE118" i="79"/>
  <c r="AC118" i="79"/>
  <c r="AB118" i="79"/>
  <c r="Z118" i="79"/>
  <c r="Y118" i="79"/>
  <c r="W118" i="79"/>
  <c r="V118" i="79"/>
  <c r="T118" i="79"/>
  <c r="S118" i="79"/>
  <c r="Q118" i="79"/>
  <c r="P118" i="79"/>
  <c r="N118" i="79"/>
  <c r="M118" i="79"/>
  <c r="K118" i="79"/>
  <c r="J118" i="79"/>
  <c r="H118" i="79"/>
  <c r="G118" i="79"/>
  <c r="E118" i="79"/>
  <c r="D118" i="79"/>
  <c r="J89" i="79"/>
  <c r="P89" i="79" s="1"/>
  <c r="V89" i="79" s="1"/>
  <c r="AB89" i="79" s="1"/>
  <c r="AH89" i="79" s="1"/>
  <c r="AN89" i="79" s="1"/>
  <c r="AT89" i="79" s="1"/>
  <c r="AV89" i="79" s="1"/>
  <c r="AX89" i="79" s="1"/>
  <c r="AR88" i="79"/>
  <c r="AQ88" i="79"/>
  <c r="AO88" i="79"/>
  <c r="AN88" i="79"/>
  <c r="AL88" i="79"/>
  <c r="AK88" i="79"/>
  <c r="AI88" i="79"/>
  <c r="AH88" i="79"/>
  <c r="AF88" i="79"/>
  <c r="AE88" i="79"/>
  <c r="AC88" i="79"/>
  <c r="AB88" i="79"/>
  <c r="Z88" i="79"/>
  <c r="Y88" i="79"/>
  <c r="W88" i="79"/>
  <c r="V88" i="79"/>
  <c r="T88" i="79"/>
  <c r="S88" i="79"/>
  <c r="Q88" i="79"/>
  <c r="P88" i="79"/>
  <c r="N88" i="79"/>
  <c r="M88" i="79"/>
  <c r="K88" i="79"/>
  <c r="J88" i="79"/>
  <c r="H88" i="79"/>
  <c r="G88" i="79"/>
  <c r="E88" i="79"/>
  <c r="D88" i="79"/>
  <c r="J8" i="79"/>
  <c r="P8" i="79" s="1"/>
  <c r="V8" i="79" s="1"/>
  <c r="AB8" i="79" s="1"/>
  <c r="AH8" i="79" s="1"/>
  <c r="AN8" i="79" s="1"/>
  <c r="AT8" i="79" s="1"/>
  <c r="AV8" i="79" s="1"/>
  <c r="AX8" i="79" s="1"/>
  <c r="AR7" i="79"/>
  <c r="AQ7" i="79"/>
  <c r="AO7" i="79"/>
  <c r="AN7" i="79"/>
  <c r="AL7" i="79"/>
  <c r="AK7" i="79"/>
  <c r="AI7" i="79"/>
  <c r="AH7" i="79"/>
  <c r="AF7" i="79"/>
  <c r="AE7" i="79"/>
  <c r="AC7" i="79"/>
  <c r="AB7" i="79"/>
  <c r="Z7" i="79"/>
  <c r="Y7" i="79"/>
  <c r="W7" i="79"/>
  <c r="V7" i="79"/>
  <c r="T7" i="79"/>
  <c r="S7" i="79"/>
  <c r="Q7" i="79"/>
  <c r="P7" i="79"/>
  <c r="N7" i="79"/>
  <c r="M7" i="79"/>
  <c r="K7" i="79"/>
  <c r="J7" i="79"/>
  <c r="H7" i="79"/>
  <c r="G7" i="79"/>
  <c r="E7" i="79"/>
  <c r="D7" i="79"/>
  <c r="AX176" i="79"/>
  <c r="AX175" i="79"/>
  <c r="AX173" i="79"/>
  <c r="AX167" i="79"/>
  <c r="AV176" i="79"/>
  <c r="AV175" i="79"/>
  <c r="AV173" i="79"/>
  <c r="AV167" i="79"/>
  <c r="AT176" i="79"/>
  <c r="AT175" i="79"/>
  <c r="AT173" i="79"/>
  <c r="AT167" i="79"/>
  <c r="AR176" i="79"/>
  <c r="AQ176" i="79"/>
  <c r="AP176" i="79"/>
  <c r="AO176" i="79"/>
  <c r="AN176" i="79"/>
  <c r="AR175" i="79"/>
  <c r="AQ175" i="79"/>
  <c r="AP175" i="79"/>
  <c r="AO175" i="79"/>
  <c r="AN175" i="79"/>
  <c r="AR173" i="79"/>
  <c r="AQ173" i="79"/>
  <c r="AP173" i="79"/>
  <c r="AO173" i="79"/>
  <c r="AN173" i="79"/>
  <c r="AL176" i="79"/>
  <c r="AK176" i="79"/>
  <c r="AJ176" i="79"/>
  <c r="AL175" i="79"/>
  <c r="AK175" i="79"/>
  <c r="AL173" i="79"/>
  <c r="AK173" i="79"/>
  <c r="AJ173" i="79"/>
  <c r="AX97" i="79"/>
  <c r="AX96" i="79"/>
  <c r="AV96" i="79"/>
  <c r="AT96" i="79"/>
  <c r="AR96" i="79"/>
  <c r="AQ96" i="79"/>
  <c r="AP96" i="79"/>
  <c r="AO96" i="79"/>
  <c r="AN96" i="79"/>
  <c r="AL96" i="79"/>
  <c r="AK96" i="79"/>
  <c r="AJ96" i="79"/>
  <c r="AX158" i="79"/>
  <c r="AX156" i="79"/>
  <c r="AX154" i="79"/>
  <c r="AX153" i="79"/>
  <c r="AX152" i="79"/>
  <c r="AX151" i="79"/>
  <c r="AX150" i="79"/>
  <c r="AX149" i="79"/>
  <c r="AX148" i="79"/>
  <c r="AX145" i="79"/>
  <c r="AX144" i="79"/>
  <c r="AX143" i="79"/>
  <c r="AX142" i="79"/>
  <c r="AX141" i="79"/>
  <c r="AX140" i="79"/>
  <c r="AX139" i="79"/>
  <c r="AX134" i="79"/>
  <c r="AX133" i="79"/>
  <c r="AX132" i="79"/>
  <c r="AX131" i="79"/>
  <c r="AX130" i="79"/>
  <c r="AX128" i="79"/>
  <c r="AX127" i="79"/>
  <c r="AX126" i="79"/>
  <c r="AX124" i="79"/>
  <c r="AV158" i="79"/>
  <c r="AV156" i="79"/>
  <c r="AV154" i="79"/>
  <c r="AV153" i="79"/>
  <c r="AV152" i="79"/>
  <c r="AV151" i="79"/>
  <c r="AV150" i="79"/>
  <c r="AV149" i="79"/>
  <c r="AV148" i="79"/>
  <c r="AV145" i="79"/>
  <c r="AV144" i="79"/>
  <c r="AV143" i="79"/>
  <c r="AV142" i="79"/>
  <c r="AV141" i="79"/>
  <c r="AV140" i="79"/>
  <c r="AV139" i="79"/>
  <c r="AV134" i="79"/>
  <c r="AV128" i="79"/>
  <c r="AV124" i="79"/>
  <c r="AT158" i="79"/>
  <c r="AT156" i="79"/>
  <c r="AT154" i="79"/>
  <c r="AT153" i="79"/>
  <c r="AT152" i="79"/>
  <c r="AT151" i="79"/>
  <c r="AT150" i="79"/>
  <c r="AT149" i="79"/>
  <c r="AT148" i="79"/>
  <c r="AT145" i="79"/>
  <c r="AT144" i="79"/>
  <c r="AT143" i="79"/>
  <c r="AT142" i="79"/>
  <c r="AT141" i="79"/>
  <c r="AT140" i="79"/>
  <c r="AT139" i="79"/>
  <c r="AT134" i="79"/>
  <c r="AT128" i="79"/>
  <c r="AT124" i="79"/>
  <c r="AR158" i="79"/>
  <c r="AR156" i="79"/>
  <c r="AR154" i="79"/>
  <c r="AR153" i="79"/>
  <c r="AR152" i="79"/>
  <c r="AR151" i="79"/>
  <c r="AR150" i="79"/>
  <c r="AR149" i="79"/>
  <c r="AR148" i="79"/>
  <c r="AR145" i="79"/>
  <c r="AR144" i="79"/>
  <c r="AR143" i="79"/>
  <c r="AR142" i="79"/>
  <c r="AR141" i="79"/>
  <c r="AR140" i="79"/>
  <c r="AR139" i="79"/>
  <c r="AR134" i="79"/>
  <c r="AR128" i="79"/>
  <c r="AR124" i="79"/>
  <c r="AX116" i="79"/>
  <c r="AX115" i="79"/>
  <c r="AX112" i="79"/>
  <c r="AX111" i="79"/>
  <c r="AX108" i="79"/>
  <c r="AX103" i="79"/>
  <c r="AX102" i="79"/>
  <c r="AX101" i="79"/>
  <c r="AX100" i="79"/>
  <c r="AV116" i="79"/>
  <c r="AV115" i="79"/>
  <c r="AV112" i="79"/>
  <c r="AV111" i="79"/>
  <c r="AV103" i="79"/>
  <c r="AT116" i="79"/>
  <c r="AT115" i="79"/>
  <c r="AT112" i="79"/>
  <c r="AT111" i="79"/>
  <c r="AT103" i="79"/>
  <c r="AR116" i="79"/>
  <c r="AQ116" i="79"/>
  <c r="AP116" i="79"/>
  <c r="AO116" i="79"/>
  <c r="AN116" i="79"/>
  <c r="AR115" i="79"/>
  <c r="AQ115" i="79"/>
  <c r="AP115" i="79"/>
  <c r="AO115" i="79"/>
  <c r="AN115" i="79"/>
  <c r="AR112" i="79"/>
  <c r="AQ112" i="79"/>
  <c r="AP112" i="79"/>
  <c r="AO112" i="79"/>
  <c r="AN112" i="79"/>
  <c r="AR111" i="79"/>
  <c r="AQ111" i="79"/>
  <c r="AP111" i="79"/>
  <c r="AO111" i="79"/>
  <c r="AN111" i="79"/>
  <c r="AR103" i="79"/>
  <c r="AQ103" i="79"/>
  <c r="AP103" i="79"/>
  <c r="AO103" i="79"/>
  <c r="AN103" i="79"/>
  <c r="AL116" i="79"/>
  <c r="AK116" i="79"/>
  <c r="AJ116" i="79"/>
  <c r="AL115" i="79"/>
  <c r="AK115" i="79"/>
  <c r="AJ115" i="79"/>
  <c r="AL112" i="79"/>
  <c r="AK112" i="79"/>
  <c r="AJ112" i="79"/>
  <c r="AL111" i="79"/>
  <c r="AK111" i="79"/>
  <c r="AJ111" i="79"/>
  <c r="AL103" i="79"/>
  <c r="AK103" i="79"/>
  <c r="AJ103" i="79"/>
  <c r="AX82" i="79"/>
  <c r="AX79" i="79"/>
  <c r="AV82" i="79"/>
  <c r="AV79" i="79"/>
  <c r="AT82" i="79"/>
  <c r="AT79" i="79"/>
  <c r="AR82" i="79"/>
  <c r="AQ82" i="79"/>
  <c r="AP82" i="79"/>
  <c r="AO82" i="79"/>
  <c r="AN82" i="79"/>
  <c r="AR79" i="79"/>
  <c r="AQ79" i="79"/>
  <c r="AP79" i="79"/>
  <c r="AO79" i="79"/>
  <c r="AN79" i="79"/>
  <c r="AL82" i="79"/>
  <c r="AK82" i="79"/>
  <c r="AJ82" i="79"/>
  <c r="AL79" i="79"/>
  <c r="AK79" i="79"/>
  <c r="AJ79" i="79"/>
  <c r="C221" i="66" l="1"/>
  <c r="C164" i="66"/>
  <c r="AP170" i="79"/>
  <c r="AP25" i="84"/>
  <c r="AP17" i="84"/>
  <c r="AP67" i="79"/>
  <c r="AQ17" i="84"/>
  <c r="AQ25" i="84"/>
  <c r="AQ67" i="79"/>
  <c r="AV67" i="79"/>
  <c r="AO17" i="84"/>
  <c r="AO25" i="84"/>
  <c r="AO67" i="79"/>
  <c r="AN17" i="84"/>
  <c r="AN25" i="84"/>
  <c r="AN67" i="79"/>
  <c r="AJ17" i="84"/>
  <c r="AJ25" i="84"/>
  <c r="AJ67" i="79"/>
  <c r="AK25" i="84"/>
  <c r="AK17" i="84"/>
  <c r="AK67" i="79"/>
  <c r="AK170" i="79"/>
  <c r="AC135" i="78"/>
  <c r="AO170" i="79"/>
  <c r="AX170" i="79"/>
  <c r="AV170" i="79"/>
  <c r="AE135" i="78"/>
  <c r="AQ170" i="79"/>
  <c r="AF109" i="78"/>
  <c r="AR138" i="79" s="1"/>
  <c r="AB135" i="78"/>
  <c r="AN170" i="79"/>
  <c r="AB131" i="78"/>
  <c r="AT170" i="79"/>
  <c r="AX138" i="79"/>
  <c r="X135" i="78"/>
  <c r="AJ170" i="79"/>
  <c r="AD135" i="78"/>
  <c r="AE131" i="78"/>
  <c r="AD131" i="78"/>
  <c r="AF43" i="78"/>
  <c r="AC131" i="78"/>
  <c r="Y135" i="78"/>
  <c r="AH32" i="78"/>
  <c r="X37" i="78"/>
  <c r="AJ97" i="79"/>
  <c r="Y37" i="78"/>
  <c r="Z24" i="78"/>
  <c r="Z119" i="78"/>
  <c r="AC140" i="78"/>
  <c r="AL24" i="78"/>
  <c r="V140" i="78"/>
  <c r="AH119" i="78"/>
  <c r="W24" i="78"/>
  <c r="AB140" i="78"/>
  <c r="P119" i="78"/>
  <c r="J24" i="78"/>
  <c r="M119" i="78"/>
  <c r="AB119" i="78"/>
  <c r="M24" i="78"/>
  <c r="N24" i="78"/>
  <c r="AB24" i="78"/>
  <c r="G119" i="78"/>
  <c r="T119" i="78"/>
  <c r="AJ119" i="78"/>
  <c r="P24" i="78"/>
  <c r="H119" i="78"/>
  <c r="V119" i="78"/>
  <c r="AL119" i="78"/>
  <c r="AH140" i="78"/>
  <c r="AH24" i="78"/>
  <c r="J119" i="78"/>
  <c r="W119" i="78"/>
  <c r="AJ140" i="78"/>
  <c r="V24" i="78"/>
  <c r="AJ24" i="78"/>
  <c r="K119" i="78"/>
  <c r="AE140" i="78"/>
  <c r="W140" i="78"/>
  <c r="Y140" i="78"/>
  <c r="S119" i="78"/>
  <c r="AC119" i="78"/>
  <c r="AE119" i="78"/>
  <c r="Q24" i="78"/>
  <c r="S24" i="78"/>
  <c r="AC24" i="78"/>
  <c r="AE24" i="78"/>
  <c r="H24" i="78"/>
  <c r="G24" i="78"/>
  <c r="E24" i="78"/>
  <c r="C222" i="66" l="1"/>
  <c r="C163" i="66"/>
  <c r="R18" i="6"/>
  <c r="AF111" i="78"/>
  <c r="AT138" i="79"/>
  <c r="AR67" i="79"/>
  <c r="AV138" i="79"/>
  <c r="AV108" i="79"/>
  <c r="AT130" i="79"/>
  <c r="AT108" i="79"/>
  <c r="AX137" i="79"/>
  <c r="AT97" i="79"/>
  <c r="AO97" i="79"/>
  <c r="AO108" i="79"/>
  <c r="AL97" i="79"/>
  <c r="AK97" i="79"/>
  <c r="AP108" i="79"/>
  <c r="AP97" i="79"/>
  <c r="AQ97" i="79"/>
  <c r="AN108" i="79"/>
  <c r="AN97" i="79"/>
  <c r="AJ108" i="79"/>
  <c r="AQ70" i="79"/>
  <c r="Y131" i="78"/>
  <c r="X131" i="78"/>
  <c r="H18" i="6" l="1"/>
  <c r="H37" i="6"/>
  <c r="C223" i="66"/>
  <c r="C162" i="66"/>
  <c r="C161" i="66" s="1"/>
  <c r="C160" i="66" s="1"/>
  <c r="C159" i="66" s="1"/>
  <c r="C158" i="66" s="1"/>
  <c r="C157" i="66" s="1"/>
  <c r="C156" i="66" s="1"/>
  <c r="C155" i="66" s="1"/>
  <c r="C154" i="66" s="1"/>
  <c r="D96" i="79"/>
  <c r="P18" i="6"/>
  <c r="E18" i="6"/>
  <c r="AV130" i="79"/>
  <c r="AR108" i="79"/>
  <c r="AR130" i="79"/>
  <c r="AV133" i="79"/>
  <c r="AQ108" i="79"/>
  <c r="AK108" i="79"/>
  <c r="AV127" i="79"/>
  <c r="AR127" i="79"/>
  <c r="AV70" i="79"/>
  <c r="AT127" i="79"/>
  <c r="AX70" i="79"/>
  <c r="AV131" i="79"/>
  <c r="AR137" i="79"/>
  <c r="AR170" i="79"/>
  <c r="AT137" i="79"/>
  <c r="AV137" i="79"/>
  <c r="AT132" i="79"/>
  <c r="AL108" i="79"/>
  <c r="AR97" i="79"/>
  <c r="AP70" i="79"/>
  <c r="AO70" i="79"/>
  <c r="AK70" i="79"/>
  <c r="AJ70" i="79"/>
  <c r="Y133" i="78"/>
  <c r="D97" i="79"/>
  <c r="F18" i="6" l="1"/>
  <c r="F37" i="6"/>
  <c r="C224" i="66"/>
  <c r="Q18" i="6"/>
  <c r="AR133" i="79"/>
  <c r="AT133" i="79"/>
  <c r="AV132" i="79"/>
  <c r="AR132" i="79"/>
  <c r="AT131" i="79"/>
  <c r="AR131" i="79"/>
  <c r="AN70" i="79"/>
  <c r="AT70" i="79"/>
  <c r="G18" i="6" l="1"/>
  <c r="G37" i="6"/>
  <c r="C225" i="66"/>
  <c r="E67" i="79"/>
  <c r="G67" i="79"/>
  <c r="G17" i="84"/>
  <c r="G25" i="84"/>
  <c r="E17" i="84"/>
  <c r="E25" i="84"/>
  <c r="H67" i="79"/>
  <c r="H17" i="84"/>
  <c r="H25" i="84"/>
  <c r="H79" i="79"/>
  <c r="H86" i="79"/>
  <c r="AR70" i="79"/>
  <c r="R73" i="78"/>
  <c r="R70" i="78"/>
  <c r="H76" i="79"/>
  <c r="H70" i="79"/>
  <c r="H85" i="79"/>
  <c r="H82" i="79"/>
  <c r="H73" i="79"/>
  <c r="AD96" i="79"/>
  <c r="C226" i="66" l="1"/>
  <c r="H124" i="79"/>
  <c r="C227" i="66" l="1"/>
  <c r="N124" i="79"/>
  <c r="C228" i="66" l="1"/>
  <c r="S94" i="78"/>
  <c r="Q94" i="78"/>
  <c r="R94" i="78"/>
  <c r="P94" i="78"/>
  <c r="M94" i="78"/>
  <c r="K94" i="78"/>
  <c r="W94" i="78"/>
  <c r="V94" i="78"/>
  <c r="L94" i="78"/>
  <c r="J94" i="78"/>
  <c r="E94" i="78"/>
  <c r="E129" i="78" s="1"/>
  <c r="F94" i="78"/>
  <c r="F129" i="78" s="1"/>
  <c r="G94" i="78"/>
  <c r="G129" i="78" s="1"/>
  <c r="D94" i="78"/>
  <c r="D129" i="78" s="1"/>
  <c r="AL124" i="79"/>
  <c r="T124" i="79"/>
  <c r="N126" i="79"/>
  <c r="AF124" i="79"/>
  <c r="H126" i="79"/>
  <c r="Z124" i="79"/>
  <c r="H127" i="79"/>
  <c r="N127" i="79"/>
  <c r="C229" i="66" l="1"/>
  <c r="AL127" i="79"/>
  <c r="L97" i="78"/>
  <c r="L131" i="78" s="1"/>
  <c r="P97" i="78"/>
  <c r="P131" i="78" s="1"/>
  <c r="K97" i="78"/>
  <c r="K131" i="78" s="1"/>
  <c r="J97" i="78"/>
  <c r="J131" i="78" s="1"/>
  <c r="Q97" i="78"/>
  <c r="Q131" i="78" s="1"/>
  <c r="S97" i="78"/>
  <c r="S131" i="78" s="1"/>
  <c r="M97" i="78"/>
  <c r="M131" i="78" s="1"/>
  <c r="W97" i="78"/>
  <c r="W131" i="78" s="1"/>
  <c r="R97" i="78"/>
  <c r="R131" i="78" s="1"/>
  <c r="V97" i="78"/>
  <c r="J129" i="78"/>
  <c r="L129" i="78"/>
  <c r="K129" i="78"/>
  <c r="M129" i="78"/>
  <c r="P129" i="78"/>
  <c r="AF126" i="79"/>
  <c r="G125" i="65"/>
  <c r="R129" i="78"/>
  <c r="V129" i="78"/>
  <c r="Q129" i="78"/>
  <c r="Z126" i="79"/>
  <c r="N94" i="78"/>
  <c r="F125" i="65" s="1"/>
  <c r="W129" i="78"/>
  <c r="S129" i="78"/>
  <c r="G97" i="78"/>
  <c r="G131" i="78" s="1"/>
  <c r="E97" i="78"/>
  <c r="E131" i="78" s="1"/>
  <c r="F97" i="78"/>
  <c r="F131" i="78" s="1"/>
  <c r="D97" i="78"/>
  <c r="D131" i="78" s="1"/>
  <c r="T126" i="79"/>
  <c r="H94" i="78"/>
  <c r="E125" i="65" s="1"/>
  <c r="H128" i="79"/>
  <c r="N128" i="79"/>
  <c r="C230" i="66" l="1"/>
  <c r="AL167" i="78"/>
  <c r="Z167" i="78"/>
  <c r="AF167" i="78"/>
  <c r="N129" i="78"/>
  <c r="V131" i="78"/>
  <c r="Z127" i="79"/>
  <c r="N97" i="78"/>
  <c r="N131" i="78" s="1"/>
  <c r="AF127" i="79"/>
  <c r="T97" i="78"/>
  <c r="T129" i="78"/>
  <c r="H129" i="78"/>
  <c r="T127" i="79"/>
  <c r="H97" i="78"/>
  <c r="AL128" i="79"/>
  <c r="AF128" i="79"/>
  <c r="Z128" i="79"/>
  <c r="T128" i="79"/>
  <c r="H130" i="79"/>
  <c r="N130" i="79"/>
  <c r="T131" i="78" l="1"/>
  <c r="Z97" i="78"/>
  <c r="C231" i="66"/>
  <c r="H131" i="78"/>
  <c r="H131" i="79"/>
  <c r="N131" i="79"/>
  <c r="AF97" i="78" l="1"/>
  <c r="Z131" i="78"/>
  <c r="C232" i="66"/>
  <c r="AF130" i="79"/>
  <c r="Z130" i="79"/>
  <c r="T130" i="79"/>
  <c r="AF131" i="79"/>
  <c r="Z131" i="79"/>
  <c r="T131" i="79"/>
  <c r="H132" i="79"/>
  <c r="N132" i="79"/>
  <c r="AH97" i="78" l="1"/>
  <c r="AF98" i="78"/>
  <c r="AF131" i="78"/>
  <c r="C233" i="66"/>
  <c r="V103" i="78"/>
  <c r="Q103" i="78"/>
  <c r="Q133" i="78" s="1"/>
  <c r="P103" i="78"/>
  <c r="P133" i="78" s="1"/>
  <c r="J103" i="78"/>
  <c r="J133" i="78" s="1"/>
  <c r="M103" i="78"/>
  <c r="M133" i="78" s="1"/>
  <c r="L103" i="78"/>
  <c r="L133" i="78" s="1"/>
  <c r="S103" i="78"/>
  <c r="S133" i="78" s="1"/>
  <c r="K103" i="78"/>
  <c r="K133" i="78" s="1"/>
  <c r="R103" i="78"/>
  <c r="R133" i="78" s="1"/>
  <c r="W133" i="78"/>
  <c r="J167" i="79"/>
  <c r="K167" i="79"/>
  <c r="G103" i="78"/>
  <c r="M167" i="79"/>
  <c r="F103" i="78"/>
  <c r="L167" i="79"/>
  <c r="E103" i="78"/>
  <c r="D103" i="78"/>
  <c r="F167" i="79"/>
  <c r="E167" i="79"/>
  <c r="D167" i="79"/>
  <c r="G167" i="79"/>
  <c r="AF133" i="79"/>
  <c r="T133" i="79"/>
  <c r="Z132" i="79"/>
  <c r="H133" i="79"/>
  <c r="Z133" i="79"/>
  <c r="N133" i="79"/>
  <c r="T132" i="79"/>
  <c r="AJ97" i="78" l="1"/>
  <c r="AH131" i="78"/>
  <c r="C234" i="66"/>
  <c r="S109" i="78"/>
  <c r="Q109" i="78"/>
  <c r="P109" i="78"/>
  <c r="P106" i="78"/>
  <c r="Q106" i="78"/>
  <c r="J106" i="78"/>
  <c r="W109" i="78"/>
  <c r="V106" i="78"/>
  <c r="M106" i="78"/>
  <c r="V109" i="78"/>
  <c r="K106" i="78"/>
  <c r="K109" i="78"/>
  <c r="W106" i="78"/>
  <c r="M109" i="78"/>
  <c r="L106" i="78"/>
  <c r="L109" i="78"/>
  <c r="S106" i="78"/>
  <c r="R109" i="78"/>
  <c r="R106" i="78"/>
  <c r="J109" i="78"/>
  <c r="AF132" i="79"/>
  <c r="T104" i="78"/>
  <c r="N103" i="78"/>
  <c r="V133" i="78"/>
  <c r="D133" i="78"/>
  <c r="E133" i="78"/>
  <c r="F133" i="78"/>
  <c r="G133" i="78"/>
  <c r="H103" i="78"/>
  <c r="E128" i="65" s="1"/>
  <c r="D109" i="78"/>
  <c r="X167" i="79"/>
  <c r="G106" i="78"/>
  <c r="AE167" i="79"/>
  <c r="P167" i="79"/>
  <c r="AD167" i="79"/>
  <c r="E109" i="78"/>
  <c r="AH167" i="79"/>
  <c r="Y167" i="79"/>
  <c r="S167" i="79"/>
  <c r="G109" i="78"/>
  <c r="F106" i="78"/>
  <c r="V167" i="79"/>
  <c r="AB167" i="79"/>
  <c r="R167" i="79"/>
  <c r="E106" i="78"/>
  <c r="AI167" i="79"/>
  <c r="AC167" i="79"/>
  <c r="D106" i="78"/>
  <c r="W167" i="79"/>
  <c r="Q167" i="79"/>
  <c r="F109" i="78"/>
  <c r="N134" i="79"/>
  <c r="N167" i="79"/>
  <c r="AL141" i="79"/>
  <c r="AL139" i="79"/>
  <c r="AL142" i="79"/>
  <c r="AL140" i="79"/>
  <c r="AL143" i="79"/>
  <c r="AL134" i="79"/>
  <c r="H134" i="79"/>
  <c r="H167" i="79"/>
  <c r="AF143" i="79"/>
  <c r="Z139" i="79"/>
  <c r="AF141" i="79"/>
  <c r="H141" i="79"/>
  <c r="Z140" i="79"/>
  <c r="N137" i="79"/>
  <c r="T142" i="79"/>
  <c r="Z141" i="79"/>
  <c r="T143" i="79"/>
  <c r="N139" i="79"/>
  <c r="N142" i="79"/>
  <c r="T140" i="79"/>
  <c r="AF140" i="79"/>
  <c r="H137" i="79"/>
  <c r="T141" i="79"/>
  <c r="N140" i="79"/>
  <c r="N143" i="79"/>
  <c r="AF139" i="79"/>
  <c r="H139" i="79"/>
  <c r="AF142" i="79"/>
  <c r="H142" i="79"/>
  <c r="N138" i="79"/>
  <c r="N141" i="79"/>
  <c r="H140" i="79"/>
  <c r="H106" i="78"/>
  <c r="Z142" i="79"/>
  <c r="H138" i="79"/>
  <c r="H143" i="79"/>
  <c r="Z143" i="79"/>
  <c r="T139" i="79"/>
  <c r="G170" i="79"/>
  <c r="F170" i="79"/>
  <c r="E170" i="79"/>
  <c r="D170" i="79"/>
  <c r="AL97" i="78" l="1"/>
  <c r="AJ131" i="78"/>
  <c r="C235" i="66"/>
  <c r="N133" i="78"/>
  <c r="F128" i="65"/>
  <c r="T133" i="78"/>
  <c r="G128" i="65"/>
  <c r="W135" i="78"/>
  <c r="K111" i="78"/>
  <c r="S135" i="78"/>
  <c r="R135" i="78"/>
  <c r="J111" i="78"/>
  <c r="L111" i="78"/>
  <c r="P135" i="78"/>
  <c r="M135" i="78"/>
  <c r="P111" i="78"/>
  <c r="Q111" i="78"/>
  <c r="R111" i="78"/>
  <c r="L135" i="78"/>
  <c r="Z138" i="79"/>
  <c r="N109" i="78"/>
  <c r="M111" i="78"/>
  <c r="AF138" i="79"/>
  <c r="T109" i="78"/>
  <c r="K135" i="78"/>
  <c r="V111" i="78"/>
  <c r="Z109" i="78"/>
  <c r="AL138" i="79" s="1"/>
  <c r="V135" i="78"/>
  <c r="Z137" i="79"/>
  <c r="N106" i="78"/>
  <c r="W111" i="78"/>
  <c r="J135" i="78"/>
  <c r="Q135" i="78"/>
  <c r="AF137" i="79"/>
  <c r="S111" i="78"/>
  <c r="E111" i="78"/>
  <c r="F111" i="78"/>
  <c r="D111" i="78"/>
  <c r="H133" i="78"/>
  <c r="D135" i="78"/>
  <c r="G135" i="78"/>
  <c r="G111" i="78"/>
  <c r="F135" i="78"/>
  <c r="E135" i="78"/>
  <c r="T138" i="79"/>
  <c r="H109" i="78"/>
  <c r="E131" i="65" s="1"/>
  <c r="T137" i="79"/>
  <c r="T134" i="79"/>
  <c r="T167" i="79"/>
  <c r="AF134" i="79"/>
  <c r="AF167" i="79"/>
  <c r="Z134" i="79"/>
  <c r="Z167" i="79"/>
  <c r="H145" i="79"/>
  <c r="H144" i="79"/>
  <c r="M170" i="79"/>
  <c r="L170" i="79"/>
  <c r="K170" i="79"/>
  <c r="J170" i="79"/>
  <c r="AN97" i="78" l="1"/>
  <c r="AL131" i="78"/>
  <c r="C236" i="66"/>
  <c r="G131" i="65"/>
  <c r="F131" i="65"/>
  <c r="AL170" i="79"/>
  <c r="AL137" i="79"/>
  <c r="N135" i="78"/>
  <c r="T135" i="78"/>
  <c r="N111" i="78"/>
  <c r="T111" i="78"/>
  <c r="H135" i="78"/>
  <c r="H111" i="78"/>
  <c r="N145" i="79"/>
  <c r="H170" i="79"/>
  <c r="N144" i="79"/>
  <c r="S170" i="79"/>
  <c r="R170" i="79"/>
  <c r="Q170" i="79"/>
  <c r="P170" i="79"/>
  <c r="C237" i="66" l="1"/>
  <c r="N170" i="79"/>
  <c r="T145" i="79"/>
  <c r="Y170" i="79"/>
  <c r="X170" i="79"/>
  <c r="W170" i="79"/>
  <c r="V170" i="79"/>
  <c r="T144" i="79"/>
  <c r="C238" i="66" l="1"/>
  <c r="T170" i="79"/>
  <c r="Z145" i="79"/>
  <c r="Z144" i="79"/>
  <c r="AE170" i="79"/>
  <c r="AD170" i="79"/>
  <c r="AC170" i="79"/>
  <c r="AB170" i="79"/>
  <c r="C239" i="66" l="1"/>
  <c r="Z170" i="79"/>
  <c r="AF145" i="79"/>
  <c r="AL145" i="79"/>
  <c r="AF144" i="79"/>
  <c r="AI170" i="79"/>
  <c r="AL144" i="79"/>
  <c r="C240" i="66" l="1"/>
  <c r="AF170" i="79"/>
  <c r="AH170" i="79"/>
  <c r="AL151" i="79"/>
  <c r="AL148" i="79"/>
  <c r="AL152" i="79"/>
  <c r="AL149" i="79"/>
  <c r="AL150" i="79"/>
  <c r="N151" i="79"/>
  <c r="N148" i="79"/>
  <c r="T150" i="79"/>
  <c r="N152" i="79"/>
  <c r="N149" i="79"/>
  <c r="AF148" i="79"/>
  <c r="H148" i="79"/>
  <c r="AF151" i="79"/>
  <c r="AF152" i="79"/>
  <c r="H152" i="79"/>
  <c r="N150" i="79"/>
  <c r="Z151" i="79"/>
  <c r="Z149" i="79"/>
  <c r="H151" i="79"/>
  <c r="Z148" i="79"/>
  <c r="H150" i="79"/>
  <c r="Z152" i="79"/>
  <c r="T151" i="79"/>
  <c r="T149" i="79"/>
  <c r="H149" i="79"/>
  <c r="AF150" i="79"/>
  <c r="T148" i="79"/>
  <c r="AF149" i="79"/>
  <c r="Z150" i="79"/>
  <c r="T152" i="79"/>
  <c r="G173" i="79"/>
  <c r="F173" i="79"/>
  <c r="E173" i="79"/>
  <c r="D173" i="79"/>
  <c r="C241" i="66" l="1"/>
  <c r="H154" i="79"/>
  <c r="H153" i="79"/>
  <c r="M173" i="79"/>
  <c r="L173" i="79"/>
  <c r="K173" i="79"/>
  <c r="J173" i="79"/>
  <c r="C242" i="66" l="1"/>
  <c r="N154" i="79"/>
  <c r="H173" i="79"/>
  <c r="N153" i="79"/>
  <c r="S173" i="79"/>
  <c r="R173" i="79"/>
  <c r="Q173" i="79"/>
  <c r="P173" i="79"/>
  <c r="C243" i="66" l="1"/>
  <c r="N173" i="79"/>
  <c r="T154" i="79"/>
  <c r="T153" i="79"/>
  <c r="Y173" i="79"/>
  <c r="X173" i="79"/>
  <c r="W173" i="79"/>
  <c r="V173" i="79"/>
  <c r="C244" i="66" l="1"/>
  <c r="T173" i="79"/>
  <c r="Z154" i="79"/>
  <c r="Z153" i="79"/>
  <c r="AE173" i="79"/>
  <c r="AD173" i="79"/>
  <c r="AC173" i="79"/>
  <c r="AB173" i="79"/>
  <c r="C245" i="66" l="1"/>
  <c r="Z173" i="79"/>
  <c r="AF154" i="79"/>
  <c r="AL154" i="79"/>
  <c r="AF153" i="79"/>
  <c r="AI173" i="79"/>
  <c r="AL153" i="79"/>
  <c r="C246" i="66" l="1"/>
  <c r="H96" i="79"/>
  <c r="G176" i="79"/>
  <c r="D176" i="79"/>
  <c r="E176" i="79"/>
  <c r="F176" i="79"/>
  <c r="AF173" i="79"/>
  <c r="AH173" i="79"/>
  <c r="R175" i="79"/>
  <c r="R176" i="79"/>
  <c r="AH175" i="79"/>
  <c r="AH176" i="79"/>
  <c r="K175" i="79"/>
  <c r="K176" i="79"/>
  <c r="L175" i="79"/>
  <c r="L176" i="79"/>
  <c r="P175" i="79"/>
  <c r="P176" i="79"/>
  <c r="M175" i="79"/>
  <c r="M176" i="79"/>
  <c r="J175" i="79"/>
  <c r="J176" i="79"/>
  <c r="AD175" i="79"/>
  <c r="AD176" i="79"/>
  <c r="AC175" i="79"/>
  <c r="AC176" i="79"/>
  <c r="Y175" i="79"/>
  <c r="Y176" i="79"/>
  <c r="X175" i="79"/>
  <c r="X176" i="79"/>
  <c r="V175" i="79"/>
  <c r="V176" i="79"/>
  <c r="Q175" i="79"/>
  <c r="Q176" i="79"/>
  <c r="AE175" i="79"/>
  <c r="AE176" i="79"/>
  <c r="AB175" i="79"/>
  <c r="AB176" i="79"/>
  <c r="AI175" i="79"/>
  <c r="AI176" i="79"/>
  <c r="W175" i="79"/>
  <c r="W176" i="79"/>
  <c r="S175" i="79"/>
  <c r="S176" i="79"/>
  <c r="G96" i="79"/>
  <c r="F96" i="79"/>
  <c r="E96" i="79"/>
  <c r="AL158" i="79"/>
  <c r="AL156" i="79"/>
  <c r="F175" i="79"/>
  <c r="D175" i="79"/>
  <c r="G175" i="79"/>
  <c r="E175" i="79"/>
  <c r="N156" i="79"/>
  <c r="H156" i="79"/>
  <c r="AF156" i="79"/>
  <c r="H176" i="79"/>
  <c r="Z156" i="79"/>
  <c r="T156" i="79"/>
  <c r="C247" i="66" l="1"/>
  <c r="Z158" i="79"/>
  <c r="Z175" i="79"/>
  <c r="Z176" i="79"/>
  <c r="AF158" i="79"/>
  <c r="AF175" i="79"/>
  <c r="AF176" i="79"/>
  <c r="N158" i="79"/>
  <c r="N175" i="79"/>
  <c r="N176" i="79"/>
  <c r="T158" i="79"/>
  <c r="T175" i="79"/>
  <c r="T176" i="79"/>
  <c r="J96" i="79"/>
  <c r="K96" i="79"/>
  <c r="M96" i="79"/>
  <c r="L96" i="79"/>
  <c r="H158" i="79"/>
  <c r="H175" i="79"/>
  <c r="N96" i="79"/>
  <c r="C248" i="66" l="1"/>
  <c r="Q96" i="79"/>
  <c r="P96" i="79"/>
  <c r="R96" i="79"/>
  <c r="S96" i="79"/>
  <c r="T96" i="79"/>
  <c r="C249" i="66" l="1"/>
  <c r="X96" i="79"/>
  <c r="Y96" i="79"/>
  <c r="W96" i="79"/>
  <c r="V96" i="79"/>
  <c r="Z96" i="79"/>
  <c r="C250" i="66" l="1"/>
  <c r="AB96" i="79"/>
  <c r="AE96" i="79"/>
  <c r="AC96" i="79"/>
  <c r="AF96" i="79"/>
  <c r="C251" i="66" l="1"/>
  <c r="P73" i="78"/>
  <c r="V73" i="78"/>
  <c r="W73" i="78"/>
  <c r="AL131" i="79" s="1"/>
  <c r="J70" i="78"/>
  <c r="L70" i="78"/>
  <c r="Q70" i="78"/>
  <c r="K73" i="78"/>
  <c r="M73" i="78"/>
  <c r="W70" i="78"/>
  <c r="S70" i="78"/>
  <c r="J73" i="78"/>
  <c r="L73" i="78"/>
  <c r="S73" i="78"/>
  <c r="M70" i="78"/>
  <c r="P70" i="78"/>
  <c r="V70" i="78"/>
  <c r="Q73" i="78"/>
  <c r="K70" i="78"/>
  <c r="D70" i="78"/>
  <c r="D73" i="78"/>
  <c r="F70" i="78"/>
  <c r="E70" i="78"/>
  <c r="G73" i="78"/>
  <c r="G70" i="78"/>
  <c r="E73" i="78"/>
  <c r="F73" i="78"/>
  <c r="AH96" i="79"/>
  <c r="AI96" i="79"/>
  <c r="H70" i="78"/>
  <c r="E102" i="65" s="1"/>
  <c r="T70" i="78"/>
  <c r="Z70" i="78" s="1"/>
  <c r="N70" i="78"/>
  <c r="F102" i="65" s="1"/>
  <c r="N73" i="78"/>
  <c r="F105" i="65" s="1"/>
  <c r="T73" i="78"/>
  <c r="G105" i="65" s="1"/>
  <c r="H73" i="78"/>
  <c r="E105" i="65" s="1"/>
  <c r="F97" i="79"/>
  <c r="E97" i="79"/>
  <c r="G102" i="65" l="1"/>
  <c r="AF70" i="78"/>
  <c r="C252" i="66"/>
  <c r="AL130" i="79"/>
  <c r="H97" i="79"/>
  <c r="G97" i="79"/>
  <c r="L97" i="79"/>
  <c r="K97" i="79"/>
  <c r="J97" i="79"/>
  <c r="AH70" i="78" l="1"/>
  <c r="AF71" i="78"/>
  <c r="C253" i="66"/>
  <c r="N97" i="79"/>
  <c r="M97" i="79"/>
  <c r="AH71" i="78" l="1"/>
  <c r="AJ70" i="78"/>
  <c r="AL70" i="78" s="1"/>
  <c r="C254" i="66"/>
  <c r="R97" i="79"/>
  <c r="F76" i="78"/>
  <c r="Q97" i="79"/>
  <c r="E76" i="78"/>
  <c r="H76" i="78"/>
  <c r="E108" i="65" s="1"/>
  <c r="G76" i="78"/>
  <c r="P97" i="79"/>
  <c r="D76" i="78"/>
  <c r="S97" i="79"/>
  <c r="AJ71" i="78" l="1"/>
  <c r="AL71" i="78"/>
  <c r="C255" i="66"/>
  <c r="V97" i="79"/>
  <c r="J76" i="78"/>
  <c r="W97" i="79"/>
  <c r="K76" i="78"/>
  <c r="X97" i="79"/>
  <c r="L76" i="78"/>
  <c r="N76" i="78"/>
  <c r="F108" i="65" s="1"/>
  <c r="M76" i="78"/>
  <c r="T97" i="79"/>
  <c r="Y97" i="79"/>
  <c r="C256" i="66" l="1"/>
  <c r="Z97" i="79"/>
  <c r="T76" i="78"/>
  <c r="G108" i="65" s="1"/>
  <c r="S76" i="78"/>
  <c r="AB97" i="79"/>
  <c r="P76" i="78"/>
  <c r="AD97" i="79"/>
  <c r="R76" i="78"/>
  <c r="AC97" i="79"/>
  <c r="Q76" i="78"/>
  <c r="AE97" i="79"/>
  <c r="C257" i="66" l="1"/>
  <c r="AF97" i="79"/>
  <c r="V83" i="78"/>
  <c r="J83" i="78"/>
  <c r="W83" i="78"/>
  <c r="Q83" i="78"/>
  <c r="R83" i="78"/>
  <c r="R79" i="78"/>
  <c r="R53" i="78" s="1"/>
  <c r="P83" i="78"/>
  <c r="K79" i="78"/>
  <c r="K53" i="78" s="1"/>
  <c r="S83" i="78"/>
  <c r="K83" i="78"/>
  <c r="L79" i="78"/>
  <c r="L53" i="78" s="1"/>
  <c r="W79" i="78"/>
  <c r="P79" i="78"/>
  <c r="P53" i="78" s="1"/>
  <c r="V79" i="78"/>
  <c r="M83" i="78"/>
  <c r="M79" i="78"/>
  <c r="M53" i="78" s="1"/>
  <c r="J79" i="78"/>
  <c r="J53" i="78" s="1"/>
  <c r="S79" i="78"/>
  <c r="S53" i="78" s="1"/>
  <c r="L83" i="78"/>
  <c r="Q79" i="78"/>
  <c r="Q53" i="78" s="1"/>
  <c r="AH97" i="79"/>
  <c r="V76" i="78"/>
  <c r="AI97" i="79"/>
  <c r="W76" i="78"/>
  <c r="F79" i="78"/>
  <c r="F53" i="78" s="1"/>
  <c r="E79" i="78"/>
  <c r="E53" i="78" s="1"/>
  <c r="D79" i="78"/>
  <c r="D53" i="78" s="1"/>
  <c r="G79" i="78"/>
  <c r="G53" i="78" s="1"/>
  <c r="X100" i="79"/>
  <c r="W100" i="79"/>
  <c r="AI101" i="79"/>
  <c r="V100" i="79"/>
  <c r="G101" i="79"/>
  <c r="J101" i="79"/>
  <c r="S100" i="79"/>
  <c r="R100" i="79"/>
  <c r="AH101" i="79"/>
  <c r="F101" i="79"/>
  <c r="AB101" i="79"/>
  <c r="D101" i="79"/>
  <c r="Q100" i="79"/>
  <c r="P100" i="79"/>
  <c r="Y101" i="79"/>
  <c r="M100" i="79"/>
  <c r="L100" i="79"/>
  <c r="K100" i="79"/>
  <c r="AD101" i="79"/>
  <c r="X101" i="79"/>
  <c r="J100" i="79"/>
  <c r="E101" i="79"/>
  <c r="S101" i="79"/>
  <c r="AC101" i="79"/>
  <c r="AI100" i="79"/>
  <c r="R101" i="79"/>
  <c r="AE100" i="79"/>
  <c r="G100" i="79"/>
  <c r="Q101" i="79"/>
  <c r="AD100" i="79"/>
  <c r="F100" i="79"/>
  <c r="AH100" i="79"/>
  <c r="P101" i="79"/>
  <c r="AC100" i="79"/>
  <c r="E100" i="79"/>
  <c r="AB100" i="79"/>
  <c r="D100" i="79"/>
  <c r="W101" i="79"/>
  <c r="V101" i="79"/>
  <c r="M101" i="79"/>
  <c r="K101" i="79"/>
  <c r="AE101" i="79"/>
  <c r="L101" i="79"/>
  <c r="Y100" i="79"/>
  <c r="H79" i="78"/>
  <c r="E111" i="65" s="1"/>
  <c r="E81" i="65" s="1"/>
  <c r="N82" i="78"/>
  <c r="H82" i="78"/>
  <c r="H83" i="78" s="1"/>
  <c r="T79" i="78"/>
  <c r="Z79" i="78" s="1"/>
  <c r="T82" i="78"/>
  <c r="T83" i="78" s="1"/>
  <c r="N79" i="78"/>
  <c r="F102" i="79"/>
  <c r="E102" i="79"/>
  <c r="D102" i="79"/>
  <c r="AF79" i="78" l="1"/>
  <c r="AH79" i="78" s="1"/>
  <c r="AJ79" i="78" s="1"/>
  <c r="AL79" i="78" s="1"/>
  <c r="T95" i="78"/>
  <c r="W95" i="78"/>
  <c r="Z82" i="78"/>
  <c r="V53" i="78"/>
  <c r="V95" i="78"/>
  <c r="C258" i="66"/>
  <c r="Z83" i="78"/>
  <c r="E56" i="78"/>
  <c r="E83" i="78"/>
  <c r="F114" i="65"/>
  <c r="F84" i="65" s="1"/>
  <c r="N83" i="78"/>
  <c r="F115" i="65" s="1"/>
  <c r="G56" i="78"/>
  <c r="G83" i="78"/>
  <c r="E114" i="65"/>
  <c r="E84" i="65" s="1"/>
  <c r="E115" i="65"/>
  <c r="D56" i="78"/>
  <c r="F56" i="78"/>
  <c r="F83" i="78"/>
  <c r="G114" i="65"/>
  <c r="H83" i="65" s="1"/>
  <c r="G115" i="65"/>
  <c r="N53" i="78"/>
  <c r="F81" i="65" s="1"/>
  <c r="F111" i="65"/>
  <c r="T53" i="78"/>
  <c r="G81" i="65" s="1"/>
  <c r="G111" i="65"/>
  <c r="H80" i="65" s="1"/>
  <c r="H53" i="78"/>
  <c r="L56" i="78"/>
  <c r="L95" i="78"/>
  <c r="T56" i="78"/>
  <c r="G126" i="65"/>
  <c r="W53" i="78"/>
  <c r="P56" i="78"/>
  <c r="P95" i="78"/>
  <c r="Q56" i="78"/>
  <c r="Q95" i="78"/>
  <c r="M56" i="78"/>
  <c r="M95" i="78"/>
  <c r="N56" i="78"/>
  <c r="N95" i="78"/>
  <c r="F126" i="65" s="1"/>
  <c r="K56" i="78"/>
  <c r="K95" i="78"/>
  <c r="S56" i="78"/>
  <c r="S95" i="78"/>
  <c r="R56" i="78"/>
  <c r="R95" i="78"/>
  <c r="AJ101" i="79"/>
  <c r="W56" i="78"/>
  <c r="J56" i="78"/>
  <c r="J95" i="78"/>
  <c r="V56" i="78"/>
  <c r="G95" i="78"/>
  <c r="F95" i="78"/>
  <c r="D95" i="78"/>
  <c r="N101" i="79"/>
  <c r="E95" i="78"/>
  <c r="H56" i="78"/>
  <c r="H95" i="78"/>
  <c r="E126" i="65" s="1"/>
  <c r="AF101" i="79"/>
  <c r="G102" i="79"/>
  <c r="H101" i="79"/>
  <c r="H100" i="79"/>
  <c r="H102" i="79"/>
  <c r="T101" i="79"/>
  <c r="N100" i="79"/>
  <c r="Z100" i="79"/>
  <c r="Z101" i="79"/>
  <c r="T100" i="79"/>
  <c r="AF100" i="79"/>
  <c r="L102" i="79"/>
  <c r="K102" i="79"/>
  <c r="J102" i="79"/>
  <c r="AF82" i="78" l="1"/>
  <c r="Z95" i="78"/>
  <c r="C259" i="66"/>
  <c r="G84" i="65"/>
  <c r="H77" i="65"/>
  <c r="AK101" i="79"/>
  <c r="N102" i="79"/>
  <c r="M102" i="79"/>
  <c r="R102" i="79"/>
  <c r="Q102" i="79"/>
  <c r="P102" i="79"/>
  <c r="AF95" i="78" l="1"/>
  <c r="AH95" i="78" s="1"/>
  <c r="AJ95" i="78" s="1"/>
  <c r="AL95" i="78" s="1"/>
  <c r="Z94" i="78"/>
  <c r="AH82" i="78"/>
  <c r="AF94" i="78"/>
  <c r="C260" i="66"/>
  <c r="Z55" i="78"/>
  <c r="AJ76" i="79"/>
  <c r="T102" i="79"/>
  <c r="S102" i="79"/>
  <c r="X102" i="79"/>
  <c r="W102" i="79"/>
  <c r="V102" i="79"/>
  <c r="AJ82" i="78" l="1"/>
  <c r="AH94" i="78"/>
  <c r="X129" i="78"/>
  <c r="C261" i="66"/>
  <c r="Z56" i="78"/>
  <c r="AL101" i="79"/>
  <c r="AJ73" i="79"/>
  <c r="X123" i="78"/>
  <c r="X127" i="78" s="1"/>
  <c r="Z102" i="79"/>
  <c r="Y102" i="79"/>
  <c r="AD102" i="79"/>
  <c r="AC102" i="79"/>
  <c r="AB102" i="79"/>
  <c r="AL82" i="78" l="1"/>
  <c r="AL94" i="78" s="1"/>
  <c r="AJ94" i="78"/>
  <c r="C262" i="66"/>
  <c r="AN101" i="79"/>
  <c r="AF102" i="79"/>
  <c r="AE102" i="79"/>
  <c r="AI102" i="79"/>
  <c r="AH102" i="79"/>
  <c r="C263" i="66" l="1"/>
  <c r="AO101" i="79"/>
  <c r="Q85" i="78"/>
  <c r="K85" i="78"/>
  <c r="L85" i="78"/>
  <c r="V85" i="78"/>
  <c r="J85" i="78"/>
  <c r="M85" i="78"/>
  <c r="W85" i="78"/>
  <c r="S85" i="78"/>
  <c r="R85" i="78"/>
  <c r="P85" i="78"/>
  <c r="F85" i="78"/>
  <c r="D85" i="78"/>
  <c r="G85" i="78"/>
  <c r="E85" i="78"/>
  <c r="L103" i="79"/>
  <c r="AI103" i="79"/>
  <c r="J103" i="79"/>
  <c r="AH103" i="79"/>
  <c r="G103" i="79"/>
  <c r="AD103" i="79"/>
  <c r="F103" i="79"/>
  <c r="AC103" i="79"/>
  <c r="E103" i="79"/>
  <c r="AE103" i="79"/>
  <c r="AB103" i="79"/>
  <c r="D103" i="79"/>
  <c r="Y103" i="79"/>
  <c r="X103" i="79"/>
  <c r="W103" i="79"/>
  <c r="V103" i="79"/>
  <c r="K103" i="79"/>
  <c r="S103" i="79"/>
  <c r="R103" i="79"/>
  <c r="Q103" i="79"/>
  <c r="P103" i="79"/>
  <c r="M103" i="79"/>
  <c r="H103" i="79"/>
  <c r="AF103" i="79"/>
  <c r="Z103" i="79"/>
  <c r="T85" i="78"/>
  <c r="N85" i="78"/>
  <c r="F117" i="65" s="1"/>
  <c r="T103" i="79"/>
  <c r="H85" i="78"/>
  <c r="E117" i="65" s="1"/>
  <c r="N103" i="79"/>
  <c r="F108" i="79"/>
  <c r="E108" i="79"/>
  <c r="D108" i="79"/>
  <c r="G117" i="65" l="1"/>
  <c r="Z85" i="78"/>
  <c r="AF85" i="78" s="1"/>
  <c r="C264" i="66"/>
  <c r="AL132" i="79"/>
  <c r="G108" i="79"/>
  <c r="H108" i="79"/>
  <c r="L108" i="79"/>
  <c r="K108" i="79"/>
  <c r="J108" i="79"/>
  <c r="AH85" i="78" l="1"/>
  <c r="AJ85" i="78" s="1"/>
  <c r="AL85" i="78" s="1"/>
  <c r="C265" i="66"/>
  <c r="AP101" i="79"/>
  <c r="N108" i="79"/>
  <c r="M108" i="79"/>
  <c r="C266" i="66" l="1"/>
  <c r="Q108" i="79"/>
  <c r="E88" i="78"/>
  <c r="R108" i="79"/>
  <c r="F88" i="78"/>
  <c r="H88" i="78"/>
  <c r="E120" i="65" s="1"/>
  <c r="G88" i="78"/>
  <c r="P108" i="79"/>
  <c r="D88" i="78"/>
  <c r="S108" i="79"/>
  <c r="C267" i="66" l="1"/>
  <c r="AQ101" i="79"/>
  <c r="X108" i="79"/>
  <c r="L88" i="78"/>
  <c r="V108" i="79"/>
  <c r="J88" i="78"/>
  <c r="N88" i="78"/>
  <c r="M88" i="78"/>
  <c r="W108" i="79"/>
  <c r="K88" i="78"/>
  <c r="T108" i="79"/>
  <c r="Y108" i="79"/>
  <c r="F120" i="65" l="1"/>
  <c r="C268" i="66"/>
  <c r="AR101" i="79"/>
  <c r="Z108" i="79"/>
  <c r="AB108" i="79"/>
  <c r="P88" i="78"/>
  <c r="AC108" i="79"/>
  <c r="Q88" i="78"/>
  <c r="AD108" i="79"/>
  <c r="R88" i="78"/>
  <c r="G120" i="65"/>
  <c r="S88" i="78"/>
  <c r="AE108" i="79"/>
  <c r="AF89" i="78" l="1"/>
  <c r="C269" i="66"/>
  <c r="AF108" i="79"/>
  <c r="AT101" i="79"/>
  <c r="Z166" i="78"/>
  <c r="AL166" i="78"/>
  <c r="AI108" i="79"/>
  <c r="W88" i="78"/>
  <c r="AH108" i="79"/>
  <c r="V88" i="78"/>
  <c r="F111" i="79"/>
  <c r="E111" i="79"/>
  <c r="D111" i="79"/>
  <c r="C28" i="6" l="1"/>
  <c r="C270" i="66"/>
  <c r="AV101" i="79"/>
  <c r="H111" i="79"/>
  <c r="G111" i="79"/>
  <c r="L111" i="79"/>
  <c r="K111" i="79"/>
  <c r="J111" i="79"/>
  <c r="C271" i="66" l="1"/>
  <c r="N111" i="79"/>
  <c r="X133" i="78"/>
  <c r="AJ175" i="79"/>
  <c r="AL133" i="79"/>
  <c r="AJ167" i="79"/>
  <c r="M111" i="79"/>
  <c r="R111" i="79"/>
  <c r="Q111" i="79"/>
  <c r="P111" i="79"/>
  <c r="C272" i="66" l="1"/>
  <c r="T111" i="79"/>
  <c r="S111" i="79"/>
  <c r="X111" i="79"/>
  <c r="W111" i="79"/>
  <c r="V111" i="79"/>
  <c r="C273" i="66" l="1"/>
  <c r="Z111" i="79"/>
  <c r="Y111" i="79"/>
  <c r="AD111" i="79"/>
  <c r="AC111" i="79"/>
  <c r="AB111" i="79"/>
  <c r="C274" i="66" l="1"/>
  <c r="AF111" i="79"/>
  <c r="AE111" i="79"/>
  <c r="AI111" i="79"/>
  <c r="AH111" i="79"/>
  <c r="C275" i="66" l="1"/>
  <c r="AL168" i="78"/>
  <c r="AF168" i="78"/>
  <c r="Z168" i="78"/>
  <c r="K112" i="79"/>
  <c r="AH112" i="79"/>
  <c r="AE112" i="79"/>
  <c r="D112" i="79"/>
  <c r="Y112" i="79"/>
  <c r="F112" i="79"/>
  <c r="AB112" i="79"/>
  <c r="V112" i="79"/>
  <c r="AI112" i="79"/>
  <c r="X112" i="79"/>
  <c r="G112" i="79"/>
  <c r="S112" i="79"/>
  <c r="L112" i="79"/>
  <c r="R112" i="79"/>
  <c r="J112" i="79"/>
  <c r="W112" i="79"/>
  <c r="Q112" i="79"/>
  <c r="E112" i="79"/>
  <c r="P112" i="79"/>
  <c r="AC112" i="79"/>
  <c r="AD112" i="79"/>
  <c r="M112" i="79"/>
  <c r="AF112" i="79"/>
  <c r="Z112" i="79"/>
  <c r="H112" i="79"/>
  <c r="T112" i="79"/>
  <c r="N112" i="79"/>
  <c r="F115" i="79"/>
  <c r="E115" i="79"/>
  <c r="D115" i="79"/>
  <c r="C276" i="66" l="1"/>
  <c r="G115" i="79"/>
  <c r="H115" i="79"/>
  <c r="L115" i="79"/>
  <c r="K115" i="79"/>
  <c r="J115" i="79"/>
  <c r="C277" i="66" l="1"/>
  <c r="N115" i="79"/>
  <c r="M115" i="79"/>
  <c r="R115" i="79"/>
  <c r="Q115" i="79"/>
  <c r="P115" i="79"/>
  <c r="C278" i="66" l="1"/>
  <c r="T115" i="79"/>
  <c r="S115" i="79"/>
  <c r="X115" i="79"/>
  <c r="W115" i="79"/>
  <c r="V115" i="79"/>
  <c r="C279" i="66" l="1"/>
  <c r="Z115" i="79"/>
  <c r="Y115" i="79"/>
  <c r="AD115" i="79"/>
  <c r="AC115" i="79"/>
  <c r="AB115" i="79"/>
  <c r="C43" i="6"/>
  <c r="C44" i="6" s="1"/>
  <c r="C280" i="66" l="1"/>
  <c r="AF115" i="79"/>
  <c r="AE115" i="79"/>
  <c r="AI115" i="79"/>
  <c r="AH115" i="79"/>
  <c r="C281" i="66" l="1"/>
  <c r="F31" i="78"/>
  <c r="F32" i="78" s="1"/>
  <c r="L116" i="79"/>
  <c r="AI116" i="79"/>
  <c r="K116" i="79"/>
  <c r="AH116" i="79"/>
  <c r="J116" i="79"/>
  <c r="AE116" i="79"/>
  <c r="G116" i="79"/>
  <c r="AD116" i="79"/>
  <c r="F116" i="79"/>
  <c r="AC116" i="79"/>
  <c r="E116" i="79"/>
  <c r="AB116" i="79"/>
  <c r="D116" i="79"/>
  <c r="Y116" i="79"/>
  <c r="X116" i="79"/>
  <c r="W116" i="79"/>
  <c r="V116" i="79"/>
  <c r="S116" i="79"/>
  <c r="R116" i="79"/>
  <c r="Q116" i="79"/>
  <c r="P116" i="79"/>
  <c r="M116" i="79"/>
  <c r="AF116" i="79"/>
  <c r="H116" i="79"/>
  <c r="Z116" i="79"/>
  <c r="T116" i="79"/>
  <c r="N116" i="79"/>
  <c r="C282" i="66" l="1"/>
  <c r="P65" i="78"/>
  <c r="K64" i="78"/>
  <c r="N65" i="78"/>
  <c r="N37" i="78"/>
  <c r="F65" i="65" s="1"/>
  <c r="N64" i="78"/>
  <c r="V17" i="84"/>
  <c r="Q64" i="78"/>
  <c r="Y17" i="84"/>
  <c r="K65" i="78"/>
  <c r="Q65" i="78"/>
  <c r="W64" i="78"/>
  <c r="Q67" i="79"/>
  <c r="W65" i="78"/>
  <c r="T64" i="78"/>
  <c r="Z64" i="78" s="1"/>
  <c r="AF64" i="78" s="1"/>
  <c r="N49" i="78"/>
  <c r="N50" i="78" s="1"/>
  <c r="P17" i="84"/>
  <c r="P25" i="84"/>
  <c r="AI25" i="84"/>
  <c r="M17" i="84"/>
  <c r="F97" i="65"/>
  <c r="AE17" i="84"/>
  <c r="G94" i="65"/>
  <c r="F91" i="65"/>
  <c r="S25" i="84"/>
  <c r="N34" i="78"/>
  <c r="F62" i="65" s="1"/>
  <c r="S65" i="78"/>
  <c r="N43" i="78"/>
  <c r="F71" i="65" s="1"/>
  <c r="Z25" i="84"/>
  <c r="W25" i="84"/>
  <c r="F89" i="65"/>
  <c r="D30" i="6"/>
  <c r="AC67" i="79"/>
  <c r="P64" i="78"/>
  <c r="S64" i="78"/>
  <c r="N17" i="84"/>
  <c r="N40" i="78"/>
  <c r="F68" i="65" s="1"/>
  <c r="K67" i="79"/>
  <c r="M65" i="78"/>
  <c r="M64" i="78"/>
  <c r="N46" i="78"/>
  <c r="N61" i="78"/>
  <c r="AB25" i="84"/>
  <c r="S17" i="84"/>
  <c r="D31" i="78"/>
  <c r="D71" i="78" s="1"/>
  <c r="G31" i="78"/>
  <c r="G71" i="78" s="1"/>
  <c r="AB17" i="84"/>
  <c r="S67" i="79"/>
  <c r="AB67" i="79"/>
  <c r="G129" i="65"/>
  <c r="K25" i="84"/>
  <c r="K17" i="84"/>
  <c r="P67" i="79"/>
  <c r="Z67" i="79"/>
  <c r="N86" i="79"/>
  <c r="Y67" i="79"/>
  <c r="N31" i="78"/>
  <c r="F59" i="65" s="1"/>
  <c r="Z17" i="84"/>
  <c r="Y25" i="84"/>
  <c r="Q25" i="84"/>
  <c r="E31" i="78"/>
  <c r="E71" i="78" s="1"/>
  <c r="Q17" i="84"/>
  <c r="W67" i="79"/>
  <c r="W17" i="84"/>
  <c r="H104" i="78"/>
  <c r="E129" i="65" s="1"/>
  <c r="Z85" i="79"/>
  <c r="Z86" i="79"/>
  <c r="Z76" i="79"/>
  <c r="Z73" i="79"/>
  <c r="N73" i="79"/>
  <c r="N76" i="79"/>
  <c r="V25" i="84"/>
  <c r="N82" i="79"/>
  <c r="N125" i="78"/>
  <c r="N85" i="79"/>
  <c r="Z70" i="79"/>
  <c r="F94" i="65"/>
  <c r="Z82" i="79"/>
  <c r="V67" i="79"/>
  <c r="AC17" i="84"/>
  <c r="AC25" i="84"/>
  <c r="N67" i="79"/>
  <c r="N70" i="79"/>
  <c r="N58" i="78"/>
  <c r="N25" i="84"/>
  <c r="Z79" i="79"/>
  <c r="M67" i="79"/>
  <c r="N79" i="79"/>
  <c r="AE67" i="79"/>
  <c r="M25" i="84"/>
  <c r="AE25" i="84"/>
  <c r="AI67" i="79"/>
  <c r="AI17" i="84"/>
  <c r="G97" i="65"/>
  <c r="E97" i="65"/>
  <c r="T65" i="78"/>
  <c r="Z65" i="78" s="1"/>
  <c r="AF65" i="78" s="1"/>
  <c r="AH65" i="78" s="1"/>
  <c r="AJ65" i="78" s="1"/>
  <c r="AL65" i="78" s="1"/>
  <c r="H40" i="78"/>
  <c r="E68" i="65" s="1"/>
  <c r="G89" i="65"/>
  <c r="D17" i="84"/>
  <c r="T37" i="78"/>
  <c r="G65" i="65" s="1"/>
  <c r="E89" i="65"/>
  <c r="E94" i="65"/>
  <c r="T34" i="78"/>
  <c r="G62" i="65" s="1"/>
  <c r="D24" i="6"/>
  <c r="D25" i="6" s="1"/>
  <c r="E91" i="65"/>
  <c r="H49" i="78"/>
  <c r="H50" i="78" s="1"/>
  <c r="H37" i="78"/>
  <c r="E65" i="65" s="1"/>
  <c r="T25" i="84"/>
  <c r="T17" i="84"/>
  <c r="D67" i="79"/>
  <c r="D25" i="84"/>
  <c r="H58" i="78"/>
  <c r="T67" i="79"/>
  <c r="AF25" i="84"/>
  <c r="AF67" i="79"/>
  <c r="H125" i="78"/>
  <c r="T79" i="79"/>
  <c r="AF17" i="84"/>
  <c r="AF79" i="79"/>
  <c r="G91" i="65"/>
  <c r="J25" i="84"/>
  <c r="J17" i="84"/>
  <c r="J67" i="79"/>
  <c r="AH17" i="84"/>
  <c r="AH25" i="84"/>
  <c r="AH67" i="79"/>
  <c r="F66" i="65"/>
  <c r="J65" i="78"/>
  <c r="V65" i="78"/>
  <c r="J64" i="78"/>
  <c r="V64" i="78"/>
  <c r="T61" i="78"/>
  <c r="T40" i="78"/>
  <c r="K31" i="78"/>
  <c r="J31" i="78"/>
  <c r="L31" i="78"/>
  <c r="T31" i="78"/>
  <c r="T59" i="78" s="1"/>
  <c r="T49" i="78"/>
  <c r="M31" i="78"/>
  <c r="T43" i="78"/>
  <c r="G71" i="65" s="1"/>
  <c r="T46" i="78"/>
  <c r="T47" i="78" s="1"/>
  <c r="N104" i="78"/>
  <c r="N86" i="78"/>
  <c r="F118" i="65" s="1"/>
  <c r="F71" i="78"/>
  <c r="F107" i="78"/>
  <c r="F77" i="78"/>
  <c r="AF76" i="79"/>
  <c r="H34" i="78"/>
  <c r="H64" i="78"/>
  <c r="AF86" i="79"/>
  <c r="AF85" i="79"/>
  <c r="H43" i="78"/>
  <c r="H98" i="78" s="1"/>
  <c r="AF82" i="79"/>
  <c r="H46" i="78"/>
  <c r="H65" i="78"/>
  <c r="H31" i="78"/>
  <c r="E59" i="65" s="1"/>
  <c r="E60" i="65" s="1"/>
  <c r="T76" i="79"/>
  <c r="H61" i="78"/>
  <c r="T70" i="79"/>
  <c r="T73" i="79"/>
  <c r="AF70" i="79"/>
  <c r="T86" i="79"/>
  <c r="T85" i="79"/>
  <c r="T82" i="79"/>
  <c r="AF73" i="79"/>
  <c r="AH64" i="78" l="1"/>
  <c r="AJ64" i="78" s="1"/>
  <c r="AL64" i="78" s="1"/>
  <c r="Z32" i="78"/>
  <c r="Z103" i="78"/>
  <c r="F129" i="65"/>
  <c r="Z133" i="78"/>
  <c r="G68" i="65"/>
  <c r="T41" i="78"/>
  <c r="G59" i="65"/>
  <c r="E74" i="65"/>
  <c r="E75" i="65" s="1"/>
  <c r="H47" i="78"/>
  <c r="G86" i="65"/>
  <c r="G87" i="65" s="1"/>
  <c r="F86" i="65"/>
  <c r="E86" i="65"/>
  <c r="E87" i="65" s="1"/>
  <c r="F74" i="65"/>
  <c r="F75" i="65" s="1"/>
  <c r="N47" i="78"/>
  <c r="C283" i="66"/>
  <c r="F63" i="65"/>
  <c r="D104" i="78"/>
  <c r="D107" i="78"/>
  <c r="N38" i="78"/>
  <c r="G95" i="65"/>
  <c r="N123" i="78"/>
  <c r="N127" i="78" s="1"/>
  <c r="G104" i="78"/>
  <c r="F95" i="65"/>
  <c r="F77" i="65"/>
  <c r="F78" i="65" s="1"/>
  <c r="D32" i="78"/>
  <c r="D77" i="78"/>
  <c r="G77" i="78"/>
  <c r="N74" i="78"/>
  <c r="F106" i="65" s="1"/>
  <c r="AJ86" i="79"/>
  <c r="N98" i="78"/>
  <c r="N89" i="78"/>
  <c r="F121" i="65" s="1"/>
  <c r="G107" i="78"/>
  <c r="G32" i="78"/>
  <c r="F104" i="78"/>
  <c r="E32" i="78"/>
  <c r="E107" i="78"/>
  <c r="E104" i="78"/>
  <c r="E77" i="78"/>
  <c r="N107" i="78"/>
  <c r="F132" i="65" s="1"/>
  <c r="N77" i="78"/>
  <c r="F109" i="65" s="1"/>
  <c r="F92" i="65"/>
  <c r="N71" i="78"/>
  <c r="F103" i="65" s="1"/>
  <c r="F72" i="65"/>
  <c r="N62" i="78"/>
  <c r="N44" i="78"/>
  <c r="N59" i="78"/>
  <c r="N41" i="78"/>
  <c r="F98" i="65"/>
  <c r="F87" i="65"/>
  <c r="F69" i="65"/>
  <c r="N35" i="78"/>
  <c r="E24" i="6"/>
  <c r="F24" i="6" s="1"/>
  <c r="T86" i="78"/>
  <c r="G118" i="65" s="1"/>
  <c r="T74" i="78"/>
  <c r="G106" i="65" s="1"/>
  <c r="E77" i="65"/>
  <c r="E78" i="65" s="1"/>
  <c r="E95" i="65"/>
  <c r="G66" i="65"/>
  <c r="T38" i="78"/>
  <c r="G60" i="65"/>
  <c r="H60" i="65"/>
  <c r="H86" i="78"/>
  <c r="E118" i="65" s="1"/>
  <c r="E62" i="65"/>
  <c r="G98" i="65"/>
  <c r="G69" i="65"/>
  <c r="G63" i="65"/>
  <c r="G92" i="65"/>
  <c r="E98" i="65"/>
  <c r="H89" i="78"/>
  <c r="E121" i="65" s="1"/>
  <c r="E71" i="65"/>
  <c r="E72" i="65" s="1"/>
  <c r="G74" i="65"/>
  <c r="G75" i="65" s="1"/>
  <c r="G72" i="65"/>
  <c r="E92" i="65"/>
  <c r="F60" i="65"/>
  <c r="T50" i="78"/>
  <c r="G77" i="65"/>
  <c r="G78" i="65" s="1"/>
  <c r="E69" i="65"/>
  <c r="AL86" i="79"/>
  <c r="AK86" i="79"/>
  <c r="Q31" i="78"/>
  <c r="S31" i="78"/>
  <c r="P31" i="78"/>
  <c r="R31" i="78"/>
  <c r="T89" i="78"/>
  <c r="G121" i="65" s="1"/>
  <c r="T44" i="78"/>
  <c r="T98" i="78"/>
  <c r="M32" i="78"/>
  <c r="M71" i="78"/>
  <c r="M107" i="78"/>
  <c r="M104" i="78"/>
  <c r="M77" i="78"/>
  <c r="T107" i="78"/>
  <c r="T71" i="78"/>
  <c r="G103" i="65" s="1"/>
  <c r="T32" i="78"/>
  <c r="T77" i="78"/>
  <c r="J32" i="78"/>
  <c r="J104" i="78"/>
  <c r="J107" i="78"/>
  <c r="J71" i="78"/>
  <c r="J77" i="78"/>
  <c r="K32" i="78"/>
  <c r="K77" i="78"/>
  <c r="K107" i="78"/>
  <c r="K104" i="78"/>
  <c r="K71" i="78"/>
  <c r="L32" i="78"/>
  <c r="L71" i="78"/>
  <c r="L104" i="78"/>
  <c r="L77" i="78"/>
  <c r="L107" i="78"/>
  <c r="T35" i="78"/>
  <c r="T123" i="78"/>
  <c r="T62" i="78"/>
  <c r="H107" i="78"/>
  <c r="E132" i="65" s="1"/>
  <c r="N32" i="78"/>
  <c r="H74" i="78"/>
  <c r="E106" i="65" s="1"/>
  <c r="H38" i="78"/>
  <c r="H71" i="78"/>
  <c r="E103" i="65" s="1"/>
  <c r="H77" i="78"/>
  <c r="E109" i="65" s="1"/>
  <c r="H44" i="78"/>
  <c r="H59" i="78"/>
  <c r="H123" i="78"/>
  <c r="H127" i="78" s="1"/>
  <c r="H62" i="78"/>
  <c r="H32" i="78"/>
  <c r="H41" i="78"/>
  <c r="H35" i="78"/>
  <c r="T127" i="78" l="1"/>
  <c r="T114" i="78" s="1"/>
  <c r="Z107" i="78"/>
  <c r="Z106" i="78" s="1"/>
  <c r="G132" i="65"/>
  <c r="Z62" i="78"/>
  <c r="AF62" i="78" s="1"/>
  <c r="AH62" i="78" s="1"/>
  <c r="AJ62" i="78" s="1"/>
  <c r="AL62" i="78" s="1"/>
  <c r="G109" i="65"/>
  <c r="Z77" i="78"/>
  <c r="H137" i="78"/>
  <c r="H114" i="78"/>
  <c r="T137" i="78"/>
  <c r="N137" i="78"/>
  <c r="N114" i="78"/>
  <c r="C284" i="66"/>
  <c r="E35" i="6"/>
  <c r="E29" i="6" s="1"/>
  <c r="G24" i="6"/>
  <c r="F35" i="6"/>
  <c r="F14" i="6" s="1"/>
  <c r="E11" i="65"/>
  <c r="E13" i="65" s="1"/>
  <c r="E15" i="65" s="1"/>
  <c r="E63" i="65"/>
  <c r="E66" i="65"/>
  <c r="W31" i="78"/>
  <c r="V31" i="78"/>
  <c r="R32" i="78"/>
  <c r="R77" i="78"/>
  <c r="R107" i="78"/>
  <c r="R104" i="78"/>
  <c r="R71" i="78"/>
  <c r="S32" i="78"/>
  <c r="S107" i="78"/>
  <c r="S71" i="78"/>
  <c r="S77" i="78"/>
  <c r="S104" i="78"/>
  <c r="P32" i="78"/>
  <c r="P77" i="78"/>
  <c r="P71" i="78"/>
  <c r="P104" i="78"/>
  <c r="P107" i="78"/>
  <c r="Q32" i="78"/>
  <c r="Q104" i="78"/>
  <c r="Q71" i="78"/>
  <c r="Q107" i="78"/>
  <c r="Q77" i="78"/>
  <c r="Z58" i="78" l="1"/>
  <c r="AF107" i="78"/>
  <c r="Z135" i="78"/>
  <c r="AF77" i="78"/>
  <c r="Z76" i="78"/>
  <c r="C285" i="66"/>
  <c r="H24" i="6"/>
  <c r="H35" i="6" s="1"/>
  <c r="G35" i="6"/>
  <c r="AO86" i="79"/>
  <c r="AN86" i="79"/>
  <c r="V32" i="78"/>
  <c r="V104" i="78"/>
  <c r="V107" i="78"/>
  <c r="V77" i="78"/>
  <c r="V71" i="78"/>
  <c r="W32" i="78"/>
  <c r="W104" i="78"/>
  <c r="W71" i="78"/>
  <c r="W107" i="78"/>
  <c r="W77" i="78"/>
  <c r="AF58" i="78" l="1"/>
  <c r="AH107" i="78"/>
  <c r="AF106" i="78"/>
  <c r="AF135" i="78" s="1"/>
  <c r="AH77" i="78"/>
  <c r="AF76" i="78"/>
  <c r="C286" i="66"/>
  <c r="Z111" i="78"/>
  <c r="AF32" i="78"/>
  <c r="Z71" i="78"/>
  <c r="D34" i="78"/>
  <c r="D86" i="78" s="1"/>
  <c r="G34" i="78"/>
  <c r="G86" i="78" s="1"/>
  <c r="F34" i="78"/>
  <c r="F86" i="78" s="1"/>
  <c r="E34" i="78"/>
  <c r="E86" i="78" s="1"/>
  <c r="AH58" i="78" l="1"/>
  <c r="AJ107" i="78"/>
  <c r="AH106" i="78"/>
  <c r="AJ77" i="78"/>
  <c r="AL77" i="78" s="1"/>
  <c r="AH76" i="78"/>
  <c r="C287" i="66"/>
  <c r="AL67" i="79"/>
  <c r="F74" i="78"/>
  <c r="AP86" i="79"/>
  <c r="AQ86" i="79"/>
  <c r="E35" i="78"/>
  <c r="G35" i="78"/>
  <c r="G74" i="78"/>
  <c r="E74" i="78"/>
  <c r="F35" i="78"/>
  <c r="W34" i="78"/>
  <c r="Q34" i="78"/>
  <c r="W37" i="78"/>
  <c r="L34" i="78"/>
  <c r="K37" i="78"/>
  <c r="M34" i="78"/>
  <c r="J34" i="78"/>
  <c r="R37" i="78"/>
  <c r="J37" i="78"/>
  <c r="R34" i="78"/>
  <c r="K34" i="78"/>
  <c r="V37" i="78"/>
  <c r="P37" i="78"/>
  <c r="S34" i="78"/>
  <c r="L37" i="78"/>
  <c r="P34" i="78"/>
  <c r="M37" i="78"/>
  <c r="V34" i="78"/>
  <c r="S37" i="78"/>
  <c r="Q37" i="78"/>
  <c r="D74" i="78"/>
  <c r="D35" i="78"/>
  <c r="E37" i="78"/>
  <c r="E38" i="78" s="1"/>
  <c r="G40" i="78"/>
  <c r="G41" i="78" s="1"/>
  <c r="D37" i="78"/>
  <c r="D38" i="78" s="1"/>
  <c r="F40" i="78"/>
  <c r="F41" i="78" s="1"/>
  <c r="F37" i="78"/>
  <c r="F38" i="78" s="1"/>
  <c r="D40" i="78"/>
  <c r="D41" i="78" s="1"/>
  <c r="E40" i="78"/>
  <c r="E41" i="78" s="1"/>
  <c r="G37" i="78"/>
  <c r="G38" i="78" s="1"/>
  <c r="M70" i="79"/>
  <c r="J70" i="79"/>
  <c r="P70" i="79"/>
  <c r="R70" i="79"/>
  <c r="L70" i="79"/>
  <c r="F70" i="79"/>
  <c r="K70" i="79"/>
  <c r="S70" i="79"/>
  <c r="G70" i="79"/>
  <c r="E70" i="79"/>
  <c r="Q70" i="79"/>
  <c r="D70" i="79"/>
  <c r="AJ58" i="78" l="1"/>
  <c r="AL59" i="78"/>
  <c r="AL58" i="78" s="1"/>
  <c r="AH109" i="78"/>
  <c r="AH135" i="78"/>
  <c r="AL107" i="78"/>
  <c r="AL106" i="78" s="1"/>
  <c r="AJ106" i="78"/>
  <c r="AJ76" i="78"/>
  <c r="AL76" i="78"/>
  <c r="C288" i="66"/>
  <c r="AJ85" i="79"/>
  <c r="J38" i="78"/>
  <c r="L38" i="78"/>
  <c r="W38" i="78"/>
  <c r="M38" i="78"/>
  <c r="Q38" i="78"/>
  <c r="S38" i="78"/>
  <c r="V40" i="78"/>
  <c r="W40" i="78"/>
  <c r="W41" i="78" s="1"/>
  <c r="Q40" i="78"/>
  <c r="Q41" i="78" s="1"/>
  <c r="P40" i="78"/>
  <c r="P41" i="78" s="1"/>
  <c r="K40" i="78"/>
  <c r="K41" i="78" s="1"/>
  <c r="M40" i="78"/>
  <c r="M41" i="78" s="1"/>
  <c r="S40" i="78"/>
  <c r="S41" i="78" s="1"/>
  <c r="J40" i="78"/>
  <c r="J41" i="78" s="1"/>
  <c r="R40" i="78"/>
  <c r="R41" i="78" s="1"/>
  <c r="L40" i="78"/>
  <c r="L41" i="78" s="1"/>
  <c r="V86" i="78"/>
  <c r="V74" i="78"/>
  <c r="V35" i="78"/>
  <c r="P86" i="78"/>
  <c r="P35" i="78"/>
  <c r="P74" i="78"/>
  <c r="P38" i="78"/>
  <c r="V38" i="78"/>
  <c r="Z37" i="78"/>
  <c r="R35" i="78"/>
  <c r="R74" i="78"/>
  <c r="R86" i="78"/>
  <c r="R38" i="78"/>
  <c r="J86" i="78"/>
  <c r="J74" i="78"/>
  <c r="J35" i="78"/>
  <c r="M74" i="78"/>
  <c r="M86" i="78"/>
  <c r="M35" i="78"/>
  <c r="K38" i="78"/>
  <c r="L74" i="78"/>
  <c r="L86" i="78"/>
  <c r="L35" i="78"/>
  <c r="K86" i="78"/>
  <c r="K35" i="78"/>
  <c r="K74" i="78"/>
  <c r="Q86" i="78"/>
  <c r="Q35" i="78"/>
  <c r="Q74" i="78"/>
  <c r="S74" i="78"/>
  <c r="S86" i="78"/>
  <c r="S35" i="78"/>
  <c r="W35" i="78"/>
  <c r="W86" i="78"/>
  <c r="W74" i="78"/>
  <c r="D43" i="78"/>
  <c r="D44" i="78" s="1"/>
  <c r="E43" i="78"/>
  <c r="E44" i="78" s="1"/>
  <c r="F43" i="78"/>
  <c r="F44" i="78" s="1"/>
  <c r="G43" i="78"/>
  <c r="G44" i="78" s="1"/>
  <c r="AI70" i="79"/>
  <c r="AH70" i="79"/>
  <c r="AE70" i="79"/>
  <c r="AD70" i="79"/>
  <c r="AC70" i="79"/>
  <c r="AB70" i="79"/>
  <c r="Y70" i="79"/>
  <c r="X70" i="79"/>
  <c r="W70" i="79"/>
  <c r="V70" i="79"/>
  <c r="AJ109" i="78" l="1"/>
  <c r="AJ135" i="78"/>
  <c r="AL109" i="78"/>
  <c r="AL135" i="78"/>
  <c r="AA35" i="78"/>
  <c r="Z35" i="78"/>
  <c r="AG35" i="78"/>
  <c r="AH34" i="78"/>
  <c r="AF34" i="78"/>
  <c r="AF86" i="78" s="1"/>
  <c r="AA41" i="78"/>
  <c r="Z41" i="78"/>
  <c r="Z40" i="78" s="1"/>
  <c r="C289" i="66"/>
  <c r="D18" i="6"/>
  <c r="AR86" i="79"/>
  <c r="E98" i="78"/>
  <c r="E89" i="78"/>
  <c r="F98" i="78"/>
  <c r="F89" i="78"/>
  <c r="D98" i="78"/>
  <c r="D89" i="78"/>
  <c r="G98" i="78"/>
  <c r="G89" i="78"/>
  <c r="Z100" i="78"/>
  <c r="J49" i="78"/>
  <c r="J50" i="78" s="1"/>
  <c r="Q43" i="78"/>
  <c r="K49" i="78"/>
  <c r="K50" i="78" s="1"/>
  <c r="K43" i="78"/>
  <c r="J43" i="78"/>
  <c r="M43" i="78"/>
  <c r="V49" i="78"/>
  <c r="W49" i="78"/>
  <c r="W50" i="78" s="1"/>
  <c r="Q49" i="78"/>
  <c r="Q50" i="78" s="1"/>
  <c r="S49" i="78"/>
  <c r="S50" i="78" s="1"/>
  <c r="M49" i="78"/>
  <c r="M50" i="78" s="1"/>
  <c r="P49" i="78"/>
  <c r="P50" i="78" s="1"/>
  <c r="L43" i="78"/>
  <c r="W43" i="78"/>
  <c r="R49" i="78"/>
  <c r="R50" i="78" s="1"/>
  <c r="V43" i="78"/>
  <c r="S43" i="78"/>
  <c r="R43" i="78"/>
  <c r="L49" i="78"/>
  <c r="L50" i="78" s="1"/>
  <c r="P43" i="78"/>
  <c r="V41" i="78"/>
  <c r="E46" i="78"/>
  <c r="E47" i="78" s="1"/>
  <c r="G49" i="78"/>
  <c r="G50" i="78" s="1"/>
  <c r="F49" i="78"/>
  <c r="F50" i="78" s="1"/>
  <c r="D49" i="78"/>
  <c r="D50" i="78" s="1"/>
  <c r="G46" i="78"/>
  <c r="G47" i="78" s="1"/>
  <c r="E49" i="78"/>
  <c r="E50" i="78" s="1"/>
  <c r="F46" i="78"/>
  <c r="F47" i="78" s="1"/>
  <c r="D46" i="78"/>
  <c r="D47" i="78" s="1"/>
  <c r="AH74" i="78" l="1"/>
  <c r="AH86" i="78"/>
  <c r="AK41" i="78"/>
  <c r="AG41" i="78"/>
  <c r="AI41" i="78"/>
  <c r="AH37" i="78"/>
  <c r="AJ34" i="78"/>
  <c r="AK35" i="78"/>
  <c r="AL34" i="78"/>
  <c r="Z34" i="78"/>
  <c r="Z74" i="78" s="1"/>
  <c r="AI35" i="78"/>
  <c r="C290" i="66"/>
  <c r="AT86" i="79"/>
  <c r="AX86" i="79"/>
  <c r="AV86" i="79"/>
  <c r="Z101" i="78"/>
  <c r="W46" i="78"/>
  <c r="W47" i="78" s="1"/>
  <c r="R46" i="78"/>
  <c r="R47" i="78" s="1"/>
  <c r="M46" i="78"/>
  <c r="M47" i="78" s="1"/>
  <c r="Q46" i="78"/>
  <c r="Q47" i="78" s="1"/>
  <c r="L46" i="78"/>
  <c r="L47" i="78" s="1"/>
  <c r="P46" i="78"/>
  <c r="P47" i="78" s="1"/>
  <c r="S46" i="78"/>
  <c r="S47" i="78" s="1"/>
  <c r="V46" i="78"/>
  <c r="V47" i="78" s="1"/>
  <c r="J46" i="78"/>
  <c r="J47" i="78" s="1"/>
  <c r="K46" i="78"/>
  <c r="K47" i="78" s="1"/>
  <c r="S98" i="78"/>
  <c r="S44" i="78"/>
  <c r="S89" i="78"/>
  <c r="V44" i="78"/>
  <c r="V89" i="78"/>
  <c r="V98" i="78"/>
  <c r="Z43" i="78"/>
  <c r="W89" i="78"/>
  <c r="W44" i="78"/>
  <c r="W98" i="78"/>
  <c r="M89" i="78"/>
  <c r="M44" i="78"/>
  <c r="M98" i="78"/>
  <c r="J44" i="78"/>
  <c r="J89" i="78"/>
  <c r="J98" i="78"/>
  <c r="K98" i="78"/>
  <c r="K44" i="78"/>
  <c r="K89" i="78"/>
  <c r="L89" i="78"/>
  <c r="L44" i="78"/>
  <c r="L98" i="78"/>
  <c r="V50" i="78"/>
  <c r="Q44" i="78"/>
  <c r="Q98" i="78"/>
  <c r="Q89" i="78"/>
  <c r="P89" i="78"/>
  <c r="P98" i="78"/>
  <c r="P44" i="78"/>
  <c r="R89" i="78"/>
  <c r="R44" i="78"/>
  <c r="R98" i="78"/>
  <c r="AL74" i="78" l="1"/>
  <c r="AL86" i="78"/>
  <c r="AJ74" i="78"/>
  <c r="AJ86" i="78"/>
  <c r="AF74" i="78"/>
  <c r="AF37" i="78"/>
  <c r="Z86" i="78"/>
  <c r="AL37" i="78"/>
  <c r="AJ37" i="78"/>
  <c r="C291" i="66"/>
  <c r="AK85" i="79"/>
  <c r="Z98" i="78"/>
  <c r="AL70" i="79"/>
  <c r="AL85" i="79"/>
  <c r="Z46" i="78"/>
  <c r="Z89" i="78"/>
  <c r="AV97" i="79" l="1"/>
  <c r="C292" i="66"/>
  <c r="Z47" i="78"/>
  <c r="C293" i="66" l="1"/>
  <c r="C294" i="66" l="1"/>
  <c r="AN85" i="79"/>
  <c r="C295" i="66" l="1"/>
  <c r="C296" i="66" l="1"/>
  <c r="M61" i="78"/>
  <c r="L61" i="78"/>
  <c r="Q61" i="78"/>
  <c r="P58" i="78"/>
  <c r="P59" i="78" s="1"/>
  <c r="Q58" i="78"/>
  <c r="Q59" i="78" s="1"/>
  <c r="V61" i="78"/>
  <c r="V123" i="78" s="1"/>
  <c r="R61" i="78"/>
  <c r="R58" i="78"/>
  <c r="R59" i="78" s="1"/>
  <c r="S58" i="78"/>
  <c r="S59" i="78" s="1"/>
  <c r="M58" i="78"/>
  <c r="M59" i="78" s="1"/>
  <c r="P61" i="78"/>
  <c r="J61" i="78"/>
  <c r="L58" i="78"/>
  <c r="L59" i="78" s="1"/>
  <c r="W61" i="78"/>
  <c r="W123" i="78" s="1"/>
  <c r="J58" i="78"/>
  <c r="J59" i="78" s="1"/>
  <c r="K61" i="78"/>
  <c r="S61" i="78"/>
  <c r="K58" i="78"/>
  <c r="K59" i="78" s="1"/>
  <c r="AI59" i="78"/>
  <c r="V58" i="78"/>
  <c r="D58" i="78"/>
  <c r="D59" i="78" s="1"/>
  <c r="F61" i="78"/>
  <c r="F123" i="78" s="1"/>
  <c r="G58" i="78"/>
  <c r="G59" i="78" s="1"/>
  <c r="E61" i="78"/>
  <c r="E123" i="78" s="1"/>
  <c r="F58" i="78"/>
  <c r="F59" i="78" s="1"/>
  <c r="E58" i="78"/>
  <c r="E59" i="78" s="1"/>
  <c r="D61" i="78"/>
  <c r="D123" i="78" s="1"/>
  <c r="G61" i="78"/>
  <c r="G62" i="78" s="1"/>
  <c r="AI73" i="79"/>
  <c r="AD73" i="79"/>
  <c r="X73" i="79"/>
  <c r="W73" i="79"/>
  <c r="AE73" i="79"/>
  <c r="Y73" i="79"/>
  <c r="S73" i="79"/>
  <c r="M73" i="79"/>
  <c r="K73" i="79"/>
  <c r="AH73" i="79"/>
  <c r="AC73" i="79"/>
  <c r="V73" i="79"/>
  <c r="Q73" i="79"/>
  <c r="P73" i="79"/>
  <c r="L73" i="79"/>
  <c r="J73" i="79"/>
  <c r="AB73" i="79"/>
  <c r="R73" i="79"/>
  <c r="F73" i="79"/>
  <c r="D73" i="79"/>
  <c r="G73" i="79"/>
  <c r="E73" i="79"/>
  <c r="AK59" i="78" l="1"/>
  <c r="C297" i="66"/>
  <c r="F62" i="78"/>
  <c r="AO85" i="79"/>
  <c r="E62" i="78"/>
  <c r="W62" i="78"/>
  <c r="P123" i="78"/>
  <c r="P62" i="78"/>
  <c r="R123" i="78"/>
  <c r="R62" i="78"/>
  <c r="V62" i="78"/>
  <c r="K123" i="78"/>
  <c r="K62" i="78"/>
  <c r="J123" i="78"/>
  <c r="J62" i="78"/>
  <c r="Q123" i="78"/>
  <c r="Q62" i="78"/>
  <c r="L123" i="78"/>
  <c r="L62" i="78"/>
  <c r="S123" i="78"/>
  <c r="S62" i="78"/>
  <c r="V59" i="78"/>
  <c r="M123" i="78"/>
  <c r="M62" i="78"/>
  <c r="G123" i="78"/>
  <c r="D62" i="78"/>
  <c r="C298" i="66" l="1"/>
  <c r="C299" i="66" l="1"/>
  <c r="C300" i="66" l="1"/>
  <c r="AP85" i="79"/>
  <c r="C301" i="66" l="1"/>
  <c r="AF100" i="78"/>
  <c r="C302" i="66" l="1"/>
  <c r="AF101" i="78"/>
  <c r="J125" i="78"/>
  <c r="J127" i="78" s="1"/>
  <c r="P125" i="78"/>
  <c r="P127" i="78" s="1"/>
  <c r="R125" i="78"/>
  <c r="R127" i="78" s="1"/>
  <c r="L125" i="78"/>
  <c r="L127" i="78" s="1"/>
  <c r="M125" i="78"/>
  <c r="M127" i="78" s="1"/>
  <c r="W125" i="78"/>
  <c r="W127" i="78" s="1"/>
  <c r="Q125" i="78"/>
  <c r="Q127" i="78" s="1"/>
  <c r="V125" i="78"/>
  <c r="S125" i="78"/>
  <c r="S127" i="78" s="1"/>
  <c r="K125" i="78"/>
  <c r="K127" i="78" s="1"/>
  <c r="E125" i="78"/>
  <c r="E127" i="78" s="1"/>
  <c r="F125" i="78"/>
  <c r="F127" i="78" s="1"/>
  <c r="G125" i="78"/>
  <c r="G127" i="78" s="1"/>
  <c r="D125" i="78"/>
  <c r="D127" i="78" s="1"/>
  <c r="X76" i="79"/>
  <c r="S76" i="79"/>
  <c r="R76" i="79"/>
  <c r="M76" i="79"/>
  <c r="L76" i="79"/>
  <c r="E76" i="79"/>
  <c r="AH76" i="79"/>
  <c r="AE76" i="79"/>
  <c r="AD76" i="79"/>
  <c r="Y76" i="79"/>
  <c r="P76" i="79"/>
  <c r="K76" i="79"/>
  <c r="J76" i="79"/>
  <c r="F76" i="79"/>
  <c r="AC76" i="79"/>
  <c r="W76" i="79"/>
  <c r="V76" i="79"/>
  <c r="Q76" i="79"/>
  <c r="G76" i="79"/>
  <c r="AI76" i="79"/>
  <c r="D76" i="79"/>
  <c r="AB76" i="79"/>
  <c r="G79" i="79"/>
  <c r="F79" i="79"/>
  <c r="E79" i="79"/>
  <c r="G137" i="78" l="1"/>
  <c r="G114" i="78"/>
  <c r="E137" i="78"/>
  <c r="E114" i="78"/>
  <c r="R137" i="78"/>
  <c r="R114" i="78"/>
  <c r="D137" i="78"/>
  <c r="D114" i="78"/>
  <c r="K137" i="78"/>
  <c r="K114" i="78"/>
  <c r="L137" i="78"/>
  <c r="L114" i="78"/>
  <c r="S137" i="78"/>
  <c r="S114" i="78"/>
  <c r="Q137" i="78"/>
  <c r="Q114" i="78"/>
  <c r="M137" i="78"/>
  <c r="M114" i="78"/>
  <c r="J137" i="78"/>
  <c r="J114" i="78"/>
  <c r="F137" i="78"/>
  <c r="F114" i="78"/>
  <c r="W114" i="78"/>
  <c r="P137" i="78"/>
  <c r="P114" i="78"/>
  <c r="C303" i="66"/>
  <c r="AQ85" i="79"/>
  <c r="V127" i="78"/>
  <c r="D32" i="6"/>
  <c r="D33" i="6" s="1"/>
  <c r="AH100" i="78"/>
  <c r="AH101" i="78" s="1"/>
  <c r="D79" i="79"/>
  <c r="M79" i="79"/>
  <c r="L79" i="79"/>
  <c r="K79" i="79"/>
  <c r="V114" i="78" l="1"/>
  <c r="C304" i="66"/>
  <c r="AJ100" i="78"/>
  <c r="AJ101" i="78" s="1"/>
  <c r="AR85" i="79"/>
  <c r="J79" i="79"/>
  <c r="S79" i="79"/>
  <c r="R79" i="79"/>
  <c r="Q79" i="79"/>
  <c r="C305" i="66" l="1"/>
  <c r="AT85" i="79"/>
  <c r="AL100" i="78"/>
  <c r="AL101" i="78" s="1"/>
  <c r="AX85" i="79" s="1"/>
  <c r="P79" i="79"/>
  <c r="Y79" i="79"/>
  <c r="X79" i="79"/>
  <c r="W79" i="79"/>
  <c r="C306" i="66" l="1"/>
  <c r="AL170" i="78"/>
  <c r="Z170" i="78"/>
  <c r="AF170" i="78"/>
  <c r="AV85" i="79"/>
  <c r="V79" i="79"/>
  <c r="AE79" i="79"/>
  <c r="AD79" i="79"/>
  <c r="AC79" i="79"/>
  <c r="C307" i="66" l="1"/>
  <c r="AB79" i="79"/>
  <c r="AI79" i="79"/>
  <c r="C308" i="66" l="1"/>
  <c r="AH79" i="79"/>
  <c r="C309" i="66" l="1"/>
  <c r="G65" i="78"/>
  <c r="E64" i="78"/>
  <c r="D64" i="78"/>
  <c r="F65" i="78"/>
  <c r="G64" i="78"/>
  <c r="D65" i="78"/>
  <c r="E65" i="78"/>
  <c r="F64" i="78"/>
  <c r="D85" i="79"/>
  <c r="Y82" i="79"/>
  <c r="V82" i="79"/>
  <c r="L86" i="79"/>
  <c r="L85" i="79"/>
  <c r="L82" i="79"/>
  <c r="E85" i="79"/>
  <c r="E86" i="79"/>
  <c r="K82" i="79"/>
  <c r="AH85" i="79"/>
  <c r="AH86" i="79"/>
  <c r="D86" i="79"/>
  <c r="J82" i="79"/>
  <c r="AE86" i="79"/>
  <c r="AE85" i="79"/>
  <c r="G82" i="79"/>
  <c r="AD86" i="79"/>
  <c r="AD85" i="79"/>
  <c r="F82" i="79"/>
  <c r="AC85" i="79"/>
  <c r="AC86" i="79"/>
  <c r="AI82" i="79"/>
  <c r="E82" i="79"/>
  <c r="AB85" i="79"/>
  <c r="AB86" i="79"/>
  <c r="AH82" i="79"/>
  <c r="D82" i="79"/>
  <c r="AB82" i="79"/>
  <c r="R86" i="79"/>
  <c r="R85" i="79"/>
  <c r="W82" i="79"/>
  <c r="M86" i="79"/>
  <c r="M85" i="79"/>
  <c r="P82" i="79"/>
  <c r="G85" i="79"/>
  <c r="G86" i="79"/>
  <c r="Y86" i="79"/>
  <c r="Y85" i="79"/>
  <c r="AE82" i="79"/>
  <c r="V85" i="79"/>
  <c r="V86" i="79"/>
  <c r="Q85" i="79"/>
  <c r="Q86" i="79"/>
  <c r="P85" i="79"/>
  <c r="P86" i="79"/>
  <c r="R82" i="79"/>
  <c r="K85" i="79"/>
  <c r="K86" i="79"/>
  <c r="M82" i="79"/>
  <c r="AI86" i="79"/>
  <c r="AI85" i="79"/>
  <c r="X86" i="79"/>
  <c r="X85" i="79"/>
  <c r="AD82" i="79"/>
  <c r="S86" i="79"/>
  <c r="S85" i="79"/>
  <c r="X82" i="79"/>
  <c r="S82" i="79"/>
  <c r="Q82" i="79"/>
  <c r="J85" i="79"/>
  <c r="J86" i="79"/>
  <c r="F85" i="79"/>
  <c r="F86" i="79"/>
  <c r="W85" i="79"/>
  <c r="W86" i="79"/>
  <c r="AC82" i="79"/>
  <c r="C310" i="66" l="1"/>
  <c r="D19" i="6"/>
  <c r="E100" i="65"/>
  <c r="E123" i="65"/>
  <c r="F57" i="65"/>
  <c r="G57" i="65" s="1"/>
  <c r="F38" i="65"/>
  <c r="G38" i="65" s="1"/>
  <c r="H38" i="65" s="1"/>
  <c r="I38" i="65" s="1"/>
  <c r="J38" i="65" s="1"/>
  <c r="K38" i="65" s="1"/>
  <c r="L38" i="65" s="1"/>
  <c r="C311" i="66" l="1"/>
  <c r="G123" i="65"/>
  <c r="H57" i="65"/>
  <c r="G100" i="65"/>
  <c r="F123" i="65"/>
  <c r="F100" i="65"/>
  <c r="C312" i="66" l="1"/>
  <c r="H123" i="65"/>
  <c r="I57" i="65"/>
  <c r="H134" i="65"/>
  <c r="H142" i="65" s="1"/>
  <c r="H100" i="65"/>
  <c r="C313" i="66" l="1"/>
  <c r="I123" i="65"/>
  <c r="J57" i="65"/>
  <c r="I134" i="65"/>
  <c r="I142" i="65" s="1"/>
  <c r="I100" i="65"/>
  <c r="C314" i="66" l="1"/>
  <c r="J100" i="65"/>
  <c r="J123" i="65"/>
  <c r="K57" i="65"/>
  <c r="J134" i="65"/>
  <c r="J142" i="65" s="1"/>
  <c r="C315" i="66" l="1"/>
  <c r="K100" i="65"/>
  <c r="L57" i="65"/>
  <c r="K123" i="65"/>
  <c r="K134" i="65"/>
  <c r="K142" i="65" s="1"/>
  <c r="C316" i="66" l="1"/>
  <c r="L100" i="65"/>
  <c r="L123" i="65"/>
  <c r="L134" i="65"/>
  <c r="L142" i="65" s="1"/>
  <c r="C317" i="66" l="1"/>
  <c r="C318" i="66" l="1"/>
  <c r="C319" i="66" l="1"/>
  <c r="C320" i="66" l="1"/>
  <c r="C321" i="66" l="1"/>
  <c r="C322" i="66" l="1"/>
  <c r="C323" i="66" l="1"/>
  <c r="C324" i="66" l="1"/>
  <c r="C325" i="66" l="1"/>
  <c r="D59" i="65"/>
  <c r="C326" i="66" l="1"/>
  <c r="C327" i="66" l="1"/>
  <c r="J27" i="65"/>
  <c r="C328" i="66" l="1"/>
  <c r="E14" i="6"/>
  <c r="C329" i="66" l="1"/>
  <c r="H62" i="65"/>
  <c r="L11" i="65"/>
  <c r="J28" i="65"/>
  <c r="L13" i="65"/>
  <c r="L12" i="65"/>
  <c r="E17" i="65"/>
  <c r="J30" i="65" s="1"/>
  <c r="K30" i="65" s="1"/>
  <c r="K27" i="65"/>
  <c r="C330" i="66" l="1"/>
  <c r="H65" i="65"/>
  <c r="H68" i="65" s="1"/>
  <c r="H117" i="65"/>
  <c r="H105" i="65"/>
  <c r="H139" i="65"/>
  <c r="C29" i="65"/>
  <c r="G160" i="65"/>
  <c r="H157" i="65" s="1"/>
  <c r="H158" i="65" s="1"/>
  <c r="K28" i="65"/>
  <c r="J34" i="65"/>
  <c r="C27" i="65"/>
  <c r="G148" i="65"/>
  <c r="H145" i="65" s="1"/>
  <c r="C28" i="65"/>
  <c r="G154" i="65"/>
  <c r="H151" i="65" s="1"/>
  <c r="H152" i="65" s="1"/>
  <c r="H163" i="65" l="1"/>
  <c r="H128" i="65"/>
  <c r="H138" i="65" s="1"/>
  <c r="C331" i="66"/>
  <c r="H74" i="65"/>
  <c r="H114" i="65" s="1"/>
  <c r="I83" i="65" s="1"/>
  <c r="H69" i="65"/>
  <c r="H111" i="65"/>
  <c r="H125" i="65"/>
  <c r="I62" i="65"/>
  <c r="I139" i="65"/>
  <c r="G166" i="65"/>
  <c r="D27" i="65"/>
  <c r="C30" i="65"/>
  <c r="D29" i="65"/>
  <c r="L30" i="65"/>
  <c r="L34" i="65"/>
  <c r="K34" i="65"/>
  <c r="C34" i="65"/>
  <c r="E27" i="65" s="1"/>
  <c r="L27" i="65"/>
  <c r="D28" i="65"/>
  <c r="L28" i="65"/>
  <c r="H129" i="65" l="1"/>
  <c r="C332" i="66"/>
  <c r="H86" i="65"/>
  <c r="H126" i="65"/>
  <c r="I65" i="65"/>
  <c r="I68" i="65" s="1"/>
  <c r="I69" i="65" s="1"/>
  <c r="I80" i="65"/>
  <c r="I77" i="65" s="1"/>
  <c r="I125" i="65" s="1"/>
  <c r="H78" i="65"/>
  <c r="I117" i="65"/>
  <c r="I105" i="65"/>
  <c r="E28" i="65"/>
  <c r="H137" i="65"/>
  <c r="E29" i="65"/>
  <c r="J62" i="65"/>
  <c r="J139" i="65"/>
  <c r="H146" i="65"/>
  <c r="D30" i="65"/>
  <c r="E30" i="65"/>
  <c r="C32" i="65"/>
  <c r="E34" i="65"/>
  <c r="D34" i="65"/>
  <c r="H164" i="65" l="1"/>
  <c r="H89" i="65" s="1"/>
  <c r="H91" i="65" s="1"/>
  <c r="C333" i="66"/>
  <c r="I74" i="65"/>
  <c r="I111" i="65"/>
  <c r="J80" i="65" s="1"/>
  <c r="J65" i="65"/>
  <c r="J68" i="65" s="1"/>
  <c r="J74" i="65" s="1"/>
  <c r="I128" i="65"/>
  <c r="J117" i="65"/>
  <c r="J105" i="65"/>
  <c r="I86" i="65"/>
  <c r="I114" i="65"/>
  <c r="L139" i="65"/>
  <c r="L62" i="65"/>
  <c r="K62" i="65"/>
  <c r="K139" i="65"/>
  <c r="L178" i="65"/>
  <c r="D32" i="65"/>
  <c r="E32" i="65"/>
  <c r="J128" i="65" l="1"/>
  <c r="J129" i="65" s="1"/>
  <c r="C334" i="66"/>
  <c r="J69" i="65"/>
  <c r="I126" i="65"/>
  <c r="J111" i="65"/>
  <c r="K80" i="65" s="1"/>
  <c r="K65" i="65"/>
  <c r="K68" i="65" s="1"/>
  <c r="K69" i="65" s="1"/>
  <c r="L65" i="65"/>
  <c r="L68" i="65"/>
  <c r="L69" i="65" s="1"/>
  <c r="I129" i="65"/>
  <c r="I138" i="65"/>
  <c r="L117" i="65"/>
  <c r="L105" i="65"/>
  <c r="K117" i="65"/>
  <c r="K105" i="65"/>
  <c r="J83" i="65"/>
  <c r="J77" i="65" s="1"/>
  <c r="J125" i="65" s="1"/>
  <c r="I78" i="65"/>
  <c r="H94" i="65"/>
  <c r="H97" i="65" s="1"/>
  <c r="H92" i="65"/>
  <c r="I137" i="65"/>
  <c r="J138" i="65"/>
  <c r="C335" i="66" l="1"/>
  <c r="L74" i="65"/>
  <c r="K74" i="65"/>
  <c r="K111" i="65"/>
  <c r="L80" i="65" s="1"/>
  <c r="L111" i="65" s="1"/>
  <c r="J114" i="65"/>
  <c r="K83" i="65" s="1"/>
  <c r="K77" i="65" s="1"/>
  <c r="K125" i="65" s="1"/>
  <c r="H98" i="65"/>
  <c r="H136" i="65"/>
  <c r="H140" i="65" s="1"/>
  <c r="L128" i="65"/>
  <c r="L129" i="65" s="1"/>
  <c r="K128" i="65"/>
  <c r="K129" i="65" s="1"/>
  <c r="J86" i="65"/>
  <c r="J137" i="65"/>
  <c r="H147" i="65" l="1"/>
  <c r="K138" i="65"/>
  <c r="C336" i="66"/>
  <c r="L138" i="65"/>
  <c r="J126" i="65"/>
  <c r="J78" i="65"/>
  <c r="K114" i="65"/>
  <c r="K126" i="65" s="1"/>
  <c r="K86" i="65"/>
  <c r="K137" i="65"/>
  <c r="H153" i="65" l="1"/>
  <c r="C337" i="66"/>
  <c r="L83" i="65"/>
  <c r="L77" i="65" s="1"/>
  <c r="K78" i="65"/>
  <c r="H148" i="65"/>
  <c r="L125" i="65" l="1"/>
  <c r="C338" i="66"/>
  <c r="L114" i="65"/>
  <c r="L78" i="65" s="1"/>
  <c r="L86" i="65"/>
  <c r="L137" i="65"/>
  <c r="I145" i="65"/>
  <c r="H154" i="65"/>
  <c r="I151" i="65" s="1"/>
  <c r="I152" i="65" s="1"/>
  <c r="H159" i="65"/>
  <c r="H165" i="65" s="1"/>
  <c r="L172" i="65" l="1"/>
  <c r="L174" i="65" s="1"/>
  <c r="C339" i="66"/>
  <c r="L126" i="65"/>
  <c r="H160" i="65"/>
  <c r="I157" i="65" s="1"/>
  <c r="I158" i="65" s="1"/>
  <c r="I146" i="65"/>
  <c r="H166" i="65" l="1"/>
  <c r="C340" i="66"/>
  <c r="I164" i="65"/>
  <c r="I89" i="65" s="1"/>
  <c r="I163" i="65"/>
  <c r="C341" i="66" l="1"/>
  <c r="I91" i="65"/>
  <c r="C342" i="66" l="1"/>
  <c r="I94" i="65"/>
  <c r="I97" i="65" s="1"/>
  <c r="I92" i="65"/>
  <c r="C343" i="66" l="1"/>
  <c r="I98" i="65"/>
  <c r="I136" i="65"/>
  <c r="I140" i="65" s="1"/>
  <c r="I147" i="65" s="1"/>
  <c r="I153" i="65" s="1"/>
  <c r="I154" i="65" s="1"/>
  <c r="J151" i="65" s="1"/>
  <c r="J152" i="65" s="1"/>
  <c r="C344" i="66" l="1"/>
  <c r="I159" i="65"/>
  <c r="I160" i="65" s="1"/>
  <c r="J157" i="65" s="1"/>
  <c r="J158" i="65" s="1"/>
  <c r="I148" i="65"/>
  <c r="C345" i="66" l="1"/>
  <c r="I165" i="65"/>
  <c r="J145" i="65"/>
  <c r="I166" i="65"/>
  <c r="C346" i="66" l="1"/>
  <c r="J163" i="65"/>
  <c r="J146" i="65"/>
  <c r="J164" i="65" s="1"/>
  <c r="J89" i="65" s="1"/>
  <c r="C347" i="66" l="1"/>
  <c r="J91" i="65"/>
  <c r="C348" i="66" l="1"/>
  <c r="J94" i="65"/>
  <c r="J97" i="65" s="1"/>
  <c r="J92" i="65"/>
  <c r="C349" i="66" l="1"/>
  <c r="J98" i="65"/>
  <c r="J136" i="65"/>
  <c r="J140" i="65" s="1"/>
  <c r="C350" i="66" l="1"/>
  <c r="J147" i="65"/>
  <c r="C351" i="66" l="1"/>
  <c r="J153" i="65"/>
  <c r="J148" i="65"/>
  <c r="C352" i="66" l="1"/>
  <c r="K145" i="65"/>
  <c r="J154" i="65"/>
  <c r="K151" i="65" s="1"/>
  <c r="K152" i="65" s="1"/>
  <c r="J159" i="65"/>
  <c r="C353" i="66" l="1"/>
  <c r="J160" i="65"/>
  <c r="K157" i="65" s="1"/>
  <c r="K158" i="65" s="1"/>
  <c r="J165" i="65"/>
  <c r="K146" i="65"/>
  <c r="C354" i="66" l="1"/>
  <c r="K164" i="65"/>
  <c r="K89" i="65" s="1"/>
  <c r="K163" i="65"/>
  <c r="J166" i="65"/>
  <c r="C355" i="66" l="1"/>
  <c r="K91" i="65"/>
  <c r="C356" i="66" l="1"/>
  <c r="K94" i="65"/>
  <c r="K97" i="65" s="1"/>
  <c r="K92" i="65"/>
  <c r="C357" i="66" l="1"/>
  <c r="K98" i="65"/>
  <c r="K136" i="65"/>
  <c r="K140" i="65" s="1"/>
  <c r="C358" i="66" l="1"/>
  <c r="K147" i="65"/>
  <c r="K153" i="65" s="1"/>
  <c r="K154" i="65" s="1"/>
  <c r="L151" i="65" s="1"/>
  <c r="L152" i="65" s="1"/>
  <c r="C359" i="66" l="1"/>
  <c r="K148" i="65"/>
  <c r="L145" i="65" s="1"/>
  <c r="L146" i="65" s="1"/>
  <c r="K159" i="65"/>
  <c r="C360" i="66" l="1"/>
  <c r="K165" i="65"/>
  <c r="K160" i="65"/>
  <c r="C361" i="66" l="1"/>
  <c r="L157" i="65"/>
  <c r="K166" i="65"/>
  <c r="C362" i="66" l="1"/>
  <c r="L163" i="65"/>
  <c r="L158" i="65"/>
  <c r="L164" i="65" s="1"/>
  <c r="C363" i="66" l="1"/>
  <c r="L89" i="65"/>
  <c r="L91" i="65" s="1"/>
  <c r="C364" i="66" l="1"/>
  <c r="L94" i="65"/>
  <c r="L97" i="65" s="1"/>
  <c r="L98" i="65" s="1"/>
  <c r="L92" i="65"/>
  <c r="C365" i="66" l="1"/>
  <c r="L136" i="65"/>
  <c r="L140" i="65" s="1"/>
  <c r="L147" i="65" s="1"/>
  <c r="C366" i="66" l="1"/>
  <c r="L153" i="65"/>
  <c r="L148" i="65"/>
  <c r="C367" i="66" l="1"/>
  <c r="L154" i="65"/>
  <c r="L159" i="65"/>
  <c r="F29" i="6"/>
  <c r="G14" i="6"/>
  <c r="C368" i="66" l="1"/>
  <c r="L160" i="65"/>
  <c r="L166" i="65" s="1"/>
  <c r="L175" i="65" s="1"/>
  <c r="L165" i="65"/>
  <c r="G29" i="6"/>
  <c r="H29" i="6"/>
  <c r="H14" i="6"/>
  <c r="L176" i="65" l="1"/>
  <c r="L180" i="65" s="1"/>
  <c r="L181" i="65" s="1"/>
  <c r="L17" i="65" s="1"/>
  <c r="C369" i="66"/>
  <c r="L16" i="65" l="1"/>
  <c r="C370" i="66"/>
  <c r="C371" i="66" l="1"/>
  <c r="C372" i="66" l="1"/>
  <c r="C373" i="66" l="1"/>
  <c r="C374" i="66" l="1"/>
  <c r="C375" i="66" l="1"/>
  <c r="C376" i="66" l="1"/>
  <c r="AJ100" i="79"/>
  <c r="AJ102" i="79"/>
  <c r="C377" i="66" l="1"/>
  <c r="Z52" i="78"/>
  <c r="C378" i="66" l="1"/>
  <c r="AK100" i="79"/>
  <c r="AK102" i="79"/>
  <c r="Z49" i="78"/>
  <c r="Y129" i="78" l="1"/>
  <c r="C379" i="66"/>
  <c r="AK167" i="79"/>
  <c r="Z53" i="78"/>
  <c r="Z50" i="78"/>
  <c r="Y123" i="78"/>
  <c r="AK73" i="79"/>
  <c r="Z114" i="78" l="1"/>
  <c r="Y127" i="78"/>
  <c r="AL76" i="79"/>
  <c r="C380" i="66"/>
  <c r="D41" i="6"/>
  <c r="AL167" i="79"/>
  <c r="AL126" i="79"/>
  <c r="AN102" i="79"/>
  <c r="AN100" i="79"/>
  <c r="AL100" i="79"/>
  <c r="AL102" i="79"/>
  <c r="AK76" i="79"/>
  <c r="Z129" i="78"/>
  <c r="Z137" i="78" s="1"/>
  <c r="D42" i="6" l="1"/>
  <c r="D43" i="6" s="1"/>
  <c r="C381" i="66"/>
  <c r="AN167" i="79"/>
  <c r="AN73" i="79"/>
  <c r="AL73" i="79"/>
  <c r="D44" i="6" l="1"/>
  <c r="D45" i="6" s="1"/>
  <c r="C382" i="66"/>
  <c r="AO73" i="79"/>
  <c r="AN76" i="79"/>
  <c r="C383" i="66" l="1"/>
  <c r="AO167" i="79"/>
  <c r="AP100" i="79"/>
  <c r="AP102" i="79"/>
  <c r="AO100" i="79"/>
  <c r="AO102" i="79"/>
  <c r="AP76" i="79"/>
  <c r="AP73" i="79"/>
  <c r="C384" i="66" l="1"/>
  <c r="AF52" i="78"/>
  <c r="AF53" i="78" s="1"/>
  <c r="AQ100" i="79"/>
  <c r="AR100" i="79"/>
  <c r="AH52" i="78"/>
  <c r="AP167" i="79"/>
  <c r="C385" i="66" l="1"/>
  <c r="AR102" i="79"/>
  <c r="AQ102" i="79"/>
  <c r="AT76" i="79" l="1"/>
  <c r="C386" i="66"/>
  <c r="AV126" i="79"/>
  <c r="AQ73" i="79"/>
  <c r="AT102" i="79"/>
  <c r="AJ52" i="78"/>
  <c r="AT73" i="79" l="1"/>
  <c r="AR76" i="79"/>
  <c r="C387" i="66"/>
  <c r="AR126" i="79"/>
  <c r="AT126" i="79"/>
  <c r="AR167" i="79"/>
  <c r="AQ76" i="79"/>
  <c r="AT100" i="79"/>
  <c r="AR73" i="79" l="1"/>
  <c r="C388" i="66"/>
  <c r="AV100" i="79"/>
  <c r="AL52" i="78"/>
  <c r="C389" i="66" l="1"/>
  <c r="AV102" i="79"/>
  <c r="AV76" i="79"/>
  <c r="AV73" i="79"/>
  <c r="C390" i="66" l="1"/>
  <c r="AX76" i="79"/>
  <c r="AX73" i="79"/>
  <c r="C391" i="66" l="1"/>
  <c r="C392" i="66" l="1"/>
  <c r="C393" i="66" l="1"/>
  <c r="C394" i="66" l="1"/>
  <c r="H87" i="65"/>
  <c r="I87" i="65"/>
  <c r="J87" i="65"/>
  <c r="K87" i="65"/>
  <c r="L87" i="65"/>
  <c r="C395" i="66" l="1"/>
  <c r="C396" i="66" l="1"/>
  <c r="C397" i="66" l="1"/>
  <c r="C398" i="66" l="1"/>
  <c r="C399" i="66" l="1"/>
  <c r="C400" i="66" l="1"/>
  <c r="C401" i="66" l="1"/>
  <c r="C402" i="66" l="1"/>
  <c r="C403" i="66" l="1"/>
  <c r="C404" i="66" l="1"/>
  <c r="C405" i="66" l="1"/>
  <c r="C406" i="66" l="1"/>
  <c r="C407" i="66" l="1"/>
  <c r="C408" i="66" l="1"/>
  <c r="C409" i="66" l="1"/>
  <c r="C410" i="66" l="1"/>
  <c r="C411" i="66" l="1"/>
  <c r="C412" i="66" l="1"/>
  <c r="C413" i="66" l="1"/>
  <c r="C414" i="66" l="1"/>
  <c r="C415" i="66" l="1"/>
  <c r="C416" i="66" l="1"/>
  <c r="C417" i="66" l="1"/>
  <c r="C418" i="66" l="1"/>
  <c r="C419" i="66" l="1"/>
  <c r="C420" i="66" l="1"/>
  <c r="C421" i="66" l="1"/>
  <c r="C422" i="66" l="1"/>
  <c r="C423" i="66" l="1"/>
  <c r="C424" i="66" l="1"/>
  <c r="C425" i="66" l="1"/>
  <c r="C426" i="66" l="1"/>
  <c r="C427" i="66" l="1"/>
  <c r="C428" i="66" l="1"/>
  <c r="C429" i="66" l="1"/>
  <c r="C430" i="66" l="1"/>
  <c r="C431" i="66" l="1"/>
  <c r="C432" i="66" l="1"/>
  <c r="C433" i="66" l="1"/>
  <c r="C434" i="66" l="1"/>
  <c r="C435" i="66" l="1"/>
  <c r="C436" i="66" l="1"/>
  <c r="C437" i="66" l="1"/>
  <c r="C438" i="66" l="1"/>
  <c r="C439" i="66" l="1"/>
  <c r="C440" i="66" l="1"/>
  <c r="C441" i="66" l="1"/>
  <c r="C442" i="66" l="1"/>
  <c r="C443" i="66" l="1"/>
  <c r="C444" i="66" l="1"/>
  <c r="C445" i="66" l="1"/>
  <c r="C446" i="66" l="1"/>
  <c r="C447" i="66" l="1"/>
  <c r="C448" i="66" l="1"/>
  <c r="C449" i="66" l="1"/>
  <c r="C450" i="66" l="1"/>
  <c r="C451" i="66" l="1"/>
  <c r="C452" i="66" l="1"/>
  <c r="C453" i="66" l="1"/>
  <c r="C454" i="66" l="1"/>
  <c r="C455" i="66" l="1"/>
  <c r="C456" i="66" l="1"/>
  <c r="C457" i="66" l="1"/>
  <c r="C458" i="66" l="1"/>
  <c r="C459" i="66" l="1"/>
  <c r="C460" i="66" l="1"/>
  <c r="C461" i="66" l="1"/>
  <c r="C462" i="66" l="1"/>
  <c r="C463" i="66" l="1"/>
  <c r="C464" i="66" l="1"/>
  <c r="C465" i="66" l="1"/>
  <c r="C466" i="66" l="1"/>
  <c r="C467" i="66" l="1"/>
  <c r="C468" i="66" l="1"/>
  <c r="C469" i="66" l="1"/>
  <c r="C470" i="66" l="1"/>
  <c r="C471" i="66" l="1"/>
  <c r="C472" i="66" l="1"/>
  <c r="C473" i="66" l="1"/>
  <c r="C474" i="66" l="1"/>
  <c r="C475" i="66" l="1"/>
  <c r="C476" i="66" l="1"/>
  <c r="C477" i="66" l="1"/>
  <c r="C478" i="66" l="1"/>
  <c r="C479" i="66" l="1"/>
  <c r="C480" i="66" l="1"/>
  <c r="C481" i="66" l="1"/>
  <c r="C482" i="66" l="1"/>
  <c r="C483" i="66" l="1"/>
  <c r="C484" i="66" l="1"/>
  <c r="C485" i="66" l="1"/>
  <c r="C486" i="66" l="1"/>
  <c r="C487" i="66" l="1"/>
  <c r="C488" i="66" l="1"/>
  <c r="C489" i="66" l="1"/>
  <c r="C490" i="66" l="1"/>
  <c r="C491" i="66" l="1"/>
  <c r="C492" i="66" l="1"/>
  <c r="C493" i="66" l="1"/>
  <c r="C494" i="66" l="1"/>
  <c r="C495" i="66" l="1"/>
  <c r="C496" i="66" l="1"/>
  <c r="C497" i="66" l="1"/>
  <c r="C498" i="66" l="1"/>
  <c r="C499" i="66" l="1"/>
  <c r="C500" i="66" l="1"/>
  <c r="C501" i="66" l="1"/>
  <c r="C502" i="66" l="1"/>
  <c r="C503" i="66" l="1"/>
  <c r="C504" i="66" l="1"/>
  <c r="C505" i="66" l="1"/>
  <c r="C506" i="66" l="1"/>
  <c r="C507" i="66" l="1"/>
  <c r="C508" i="66" l="1"/>
  <c r="C509" i="66" l="1"/>
  <c r="C510" i="66" l="1"/>
  <c r="C511" i="66" l="1"/>
  <c r="C512" i="66" l="1"/>
  <c r="C513" i="66" l="1"/>
  <c r="C514" i="66" l="1"/>
  <c r="C515" i="66" l="1"/>
  <c r="C516" i="66" l="1"/>
  <c r="C517" i="66" l="1"/>
  <c r="C518" i="66" l="1"/>
  <c r="C519" i="66" l="1"/>
  <c r="C520" i="66" l="1"/>
  <c r="C521" i="66" l="1"/>
  <c r="C522" i="66" l="1"/>
  <c r="C523" i="66" l="1"/>
  <c r="C524" i="66" l="1"/>
  <c r="C525" i="66" l="1"/>
  <c r="C526" i="66" l="1"/>
  <c r="C527" i="66" l="1"/>
  <c r="C528" i="66" l="1"/>
  <c r="C529" i="66" l="1"/>
  <c r="C530" i="66" l="1"/>
  <c r="C531" i="66" l="1"/>
  <c r="C532" i="66" l="1"/>
  <c r="C533" i="66" l="1"/>
  <c r="C534" i="66" l="1"/>
  <c r="C535" i="66" l="1"/>
  <c r="C536" i="66" l="1"/>
  <c r="C537" i="66" l="1"/>
  <c r="C538" i="66" l="1"/>
  <c r="C539" i="66" l="1"/>
  <c r="C540" i="66" l="1"/>
  <c r="C541" i="66" l="1"/>
  <c r="C542" i="66" l="1"/>
  <c r="C543" i="66" l="1"/>
  <c r="C544" i="66" l="1"/>
  <c r="C545" i="66" l="1"/>
  <c r="C546" i="66" l="1"/>
  <c r="C547" i="66" l="1"/>
  <c r="C548" i="66" l="1"/>
  <c r="C549" i="66" l="1"/>
  <c r="C550" i="66" l="1"/>
  <c r="C551" i="66" l="1"/>
  <c r="C552" i="66" l="1"/>
  <c r="C553" i="66" l="1"/>
  <c r="C554" i="66" l="1"/>
  <c r="C555" i="66" l="1"/>
  <c r="C556" i="66" l="1"/>
  <c r="C557" i="66" l="1"/>
  <c r="C558" i="66" l="1"/>
  <c r="D558" i="66" l="1"/>
  <c r="D557" i="66" l="1"/>
  <c r="D556" i="66" l="1"/>
  <c r="D555" i="66" l="1"/>
  <c r="D554" i="66" l="1"/>
  <c r="D553" i="66" l="1"/>
  <c r="D552" i="66" l="1"/>
  <c r="D551" i="66" l="1"/>
  <c r="D550" i="66" l="1"/>
  <c r="D549" i="66" l="1"/>
  <c r="D548" i="66" l="1"/>
  <c r="D547" i="66" l="1"/>
  <c r="D546" i="66" l="1"/>
  <c r="D545" i="66" l="1"/>
  <c r="D544" i="66" l="1"/>
  <c r="D543" i="66" l="1"/>
  <c r="D542" i="66" l="1"/>
  <c r="D541" i="66" l="1"/>
  <c r="D540" i="66" l="1"/>
  <c r="D539" i="66" l="1"/>
  <c r="D538" i="66" l="1"/>
  <c r="D537" i="66" l="1"/>
  <c r="D536" i="66" l="1"/>
  <c r="D535" i="66" l="1"/>
  <c r="D534" i="66" l="1"/>
  <c r="D533" i="66" l="1"/>
  <c r="D532" i="66" l="1"/>
  <c r="D531" i="66" l="1"/>
  <c r="D530" i="66" l="1"/>
  <c r="D529" i="66" l="1"/>
  <c r="D528" i="66" l="1"/>
  <c r="D527" i="66" l="1"/>
  <c r="D526" i="66" l="1"/>
  <c r="D525" i="66" l="1"/>
  <c r="D524" i="66" l="1"/>
  <c r="D523" i="66" l="1"/>
  <c r="D522" i="66" l="1"/>
  <c r="D521" i="66" l="1"/>
  <c r="D520" i="66" l="1"/>
  <c r="D519" i="66" l="1"/>
  <c r="D518" i="66" l="1"/>
  <c r="D517" i="66" l="1"/>
  <c r="D516" i="66" l="1"/>
  <c r="D515" i="66" l="1"/>
  <c r="D514" i="66" l="1"/>
  <c r="D513" i="66" l="1"/>
  <c r="D512" i="66" l="1"/>
  <c r="D511" i="66" l="1"/>
  <c r="D510" i="66" l="1"/>
  <c r="D509" i="66" l="1"/>
  <c r="D508" i="66" l="1"/>
  <c r="D507" i="66" l="1"/>
  <c r="D506" i="66" l="1"/>
  <c r="D505" i="66" l="1"/>
  <c r="D504" i="66" l="1"/>
  <c r="D503" i="66" l="1"/>
  <c r="D502" i="66" l="1"/>
  <c r="D501" i="66" l="1"/>
  <c r="D500" i="66" l="1"/>
  <c r="D499" i="66" l="1"/>
  <c r="D498" i="66" l="1"/>
  <c r="D497" i="66" l="1"/>
  <c r="D496" i="66" l="1"/>
  <c r="D495" i="66" l="1"/>
  <c r="D494" i="66" l="1"/>
  <c r="D493" i="66" l="1"/>
  <c r="D492" i="66" l="1"/>
  <c r="D491" i="66" l="1"/>
  <c r="D490" i="66" l="1"/>
  <c r="D489" i="66" l="1"/>
  <c r="D488" i="66" l="1"/>
  <c r="D487" i="66" l="1"/>
  <c r="D486" i="66" l="1"/>
  <c r="D485" i="66" l="1"/>
  <c r="D484" i="66" l="1"/>
  <c r="D483" i="66" l="1"/>
  <c r="D482" i="66" l="1"/>
  <c r="D481" i="66" l="1"/>
  <c r="D480" i="66" l="1"/>
  <c r="D479" i="66" l="1"/>
  <c r="D478" i="66" l="1"/>
  <c r="D477" i="66" l="1"/>
  <c r="D476" i="66" l="1"/>
  <c r="D475" i="66" l="1"/>
  <c r="D474" i="66" l="1"/>
  <c r="D473" i="66" l="1"/>
  <c r="D472" i="66" l="1"/>
  <c r="D471" i="66" l="1"/>
  <c r="D470" i="66" l="1"/>
  <c r="D469" i="66" l="1"/>
  <c r="D468" i="66" l="1"/>
  <c r="D467" i="66" l="1"/>
  <c r="D466" i="66" l="1"/>
  <c r="D465" i="66" l="1"/>
  <c r="D464" i="66" l="1"/>
  <c r="D463" i="66" l="1"/>
  <c r="D462" i="66" l="1"/>
  <c r="D461" i="66" l="1"/>
  <c r="D460" i="66" l="1"/>
  <c r="D459" i="66" l="1"/>
  <c r="D458" i="66" l="1"/>
  <c r="D457" i="66" l="1"/>
  <c r="D456" i="66" l="1"/>
  <c r="D455" i="66" l="1"/>
  <c r="D454" i="66" l="1"/>
  <c r="D453" i="66" l="1"/>
  <c r="D452" i="66" l="1"/>
  <c r="D451" i="66" l="1"/>
  <c r="D450" i="66" l="1"/>
  <c r="D449" i="66" l="1"/>
  <c r="D448" i="66" l="1"/>
  <c r="D447" i="66" l="1"/>
  <c r="D446" i="66" l="1"/>
  <c r="D445" i="66" l="1"/>
  <c r="D444" i="66" l="1"/>
  <c r="D443" i="66" l="1"/>
  <c r="D442" i="66" l="1"/>
  <c r="D441" i="66" l="1"/>
  <c r="D440" i="66" l="1"/>
  <c r="D439" i="66" l="1"/>
  <c r="D438" i="66" l="1"/>
  <c r="D437" i="66" l="1"/>
  <c r="D436" i="66" l="1"/>
  <c r="D435" i="66" l="1"/>
  <c r="D434" i="66" l="1"/>
  <c r="D433" i="66" l="1"/>
  <c r="D432" i="66" l="1"/>
  <c r="D431" i="66" l="1"/>
  <c r="D430" i="66" l="1"/>
  <c r="D429" i="66" l="1"/>
  <c r="D428" i="66" l="1"/>
  <c r="D427" i="66" l="1"/>
  <c r="D426" i="66" l="1"/>
  <c r="D425" i="66" l="1"/>
  <c r="D424" i="66" l="1"/>
  <c r="D423" i="66" l="1"/>
  <c r="D422" i="66" l="1"/>
  <c r="D421" i="66" l="1"/>
  <c r="D420" i="66" l="1"/>
  <c r="D419" i="66" l="1"/>
  <c r="D418" i="66" l="1"/>
  <c r="D417" i="66" l="1"/>
  <c r="D416" i="66" l="1"/>
  <c r="D415" i="66" l="1"/>
  <c r="D414" i="66" l="1"/>
  <c r="D413" i="66" l="1"/>
  <c r="D412" i="66" l="1"/>
  <c r="D411" i="66" l="1"/>
  <c r="D410" i="66" l="1"/>
  <c r="D409" i="66" l="1"/>
  <c r="D408" i="66" l="1"/>
  <c r="D407" i="66" l="1"/>
  <c r="D406" i="66" l="1"/>
  <c r="D405" i="66" l="1"/>
  <c r="D404" i="66" l="1"/>
  <c r="D403" i="66" l="1"/>
  <c r="D402" i="66" l="1"/>
  <c r="D401" i="66" l="1"/>
  <c r="D400" i="66" l="1"/>
  <c r="D399" i="66" l="1"/>
  <c r="D398" i="66" l="1"/>
  <c r="D397" i="66" l="1"/>
  <c r="D396" i="66" l="1"/>
  <c r="D395" i="66" l="1"/>
  <c r="D394" i="66" l="1"/>
  <c r="D393" i="66" l="1"/>
  <c r="D392" i="66" l="1"/>
  <c r="D391" i="66" l="1"/>
  <c r="D390" i="66" l="1"/>
  <c r="D389" i="66" l="1"/>
  <c r="D388" i="66" l="1"/>
  <c r="D387" i="66" l="1"/>
  <c r="D386" i="66" l="1"/>
  <c r="D385" i="66" l="1"/>
  <c r="D384" i="66" l="1"/>
  <c r="D383" i="66" l="1"/>
  <c r="D382" i="66" l="1"/>
  <c r="D381" i="66" l="1"/>
  <c r="D380" i="66" l="1"/>
  <c r="D379" i="66" l="1"/>
  <c r="D378" i="66" l="1"/>
  <c r="D377" i="66" l="1"/>
  <c r="D376" i="66" l="1"/>
  <c r="D375" i="66" l="1"/>
  <c r="D374" i="66" l="1"/>
  <c r="D373" i="66" l="1"/>
  <c r="D372" i="66" l="1"/>
  <c r="D371" i="66" l="1"/>
  <c r="D370" i="66" l="1"/>
  <c r="D369" i="66" l="1"/>
  <c r="D368" i="66" l="1"/>
  <c r="D367" i="66" l="1"/>
  <c r="D366" i="66" l="1"/>
  <c r="D365" i="66" l="1"/>
  <c r="D364" i="66" l="1"/>
  <c r="D363" i="66" l="1"/>
  <c r="D362" i="66" l="1"/>
  <c r="D361" i="66" l="1"/>
  <c r="D360" i="66" l="1"/>
  <c r="D359" i="66" l="1"/>
  <c r="D358" i="66" l="1"/>
  <c r="D357" i="66" l="1"/>
  <c r="D356" i="66" l="1"/>
  <c r="D355" i="66" l="1"/>
  <c r="D354" i="66" l="1"/>
  <c r="D353" i="66" l="1"/>
  <c r="D352" i="66" l="1"/>
  <c r="D351" i="66" l="1"/>
  <c r="D350" i="66" l="1"/>
  <c r="D349" i="66" l="1"/>
  <c r="D348" i="66" l="1"/>
  <c r="D347" i="66" l="1"/>
  <c r="D346" i="66" l="1"/>
  <c r="D345" i="66" l="1"/>
  <c r="D344" i="66" l="1"/>
  <c r="D343" i="66" l="1"/>
  <c r="D342" i="66" l="1"/>
  <c r="D341" i="66" l="1"/>
  <c r="D340" i="66" l="1"/>
  <c r="D339" i="66" l="1"/>
  <c r="D338" i="66" l="1"/>
  <c r="D337" i="66" l="1"/>
  <c r="D336" i="66" l="1"/>
  <c r="D335" i="66" l="1"/>
  <c r="D334" i="66" l="1"/>
  <c r="D333" i="66" l="1"/>
  <c r="D332" i="66" l="1"/>
  <c r="D331" i="66" l="1"/>
  <c r="D330" i="66" l="1"/>
  <c r="D329" i="66" l="1"/>
  <c r="D328" i="66" l="1"/>
  <c r="D327" i="66" l="1"/>
  <c r="D326" i="66" l="1"/>
  <c r="D325" i="66" l="1"/>
  <c r="D324" i="66" l="1"/>
  <c r="D323" i="66" l="1"/>
  <c r="D322" i="66" l="1"/>
  <c r="D321" i="66" l="1"/>
  <c r="D320" i="66" l="1"/>
  <c r="D319" i="66" l="1"/>
  <c r="D318" i="66" l="1"/>
  <c r="D317" i="66" l="1"/>
  <c r="D316" i="66" l="1"/>
  <c r="D315" i="66" l="1"/>
  <c r="D314" i="66" l="1"/>
  <c r="D313" i="66" l="1"/>
  <c r="D312" i="66" l="1"/>
  <c r="D311" i="66" l="1"/>
  <c r="D310" i="66" l="1"/>
  <c r="D309" i="66" l="1"/>
  <c r="D308" i="66" l="1"/>
  <c r="D307" i="66" l="1"/>
  <c r="D306" i="66" l="1"/>
  <c r="D305" i="66" l="1"/>
  <c r="D304" i="66" l="1"/>
  <c r="D303" i="66" l="1"/>
  <c r="D302" i="66" l="1"/>
  <c r="D301" i="66" l="1"/>
  <c r="D300" i="66" l="1"/>
  <c r="D299" i="66" l="1"/>
  <c r="D298" i="66" l="1"/>
  <c r="D297" i="66" l="1"/>
  <c r="D296" i="66" l="1"/>
  <c r="D295" i="66" l="1"/>
  <c r="D294" i="66" l="1"/>
  <c r="D293" i="66" l="1"/>
  <c r="D292" i="66" l="1"/>
  <c r="D291" i="66" l="1"/>
  <c r="D290" i="66" l="1"/>
  <c r="D289" i="66" l="1"/>
  <c r="D288" i="66" l="1"/>
  <c r="D287" i="66" l="1"/>
  <c r="D286" i="66" l="1"/>
  <c r="D285" i="66" l="1"/>
  <c r="D284" i="66" l="1"/>
  <c r="D283" i="66" l="1"/>
  <c r="D282" i="66" l="1"/>
  <c r="D281" i="66" l="1"/>
  <c r="D280" i="66" l="1"/>
  <c r="D279" i="66" l="1"/>
  <c r="D278" i="66" l="1"/>
  <c r="D277" i="66" l="1"/>
  <c r="D276" i="66" l="1"/>
  <c r="D275" i="66" l="1"/>
  <c r="D274" i="66" l="1"/>
  <c r="D273" i="66" l="1"/>
  <c r="D272" i="66" l="1"/>
  <c r="D271" i="66" l="1"/>
  <c r="D270" i="66" l="1"/>
  <c r="D269" i="66" l="1"/>
  <c r="D268" i="66" l="1"/>
  <c r="D267" i="66" l="1"/>
  <c r="D266" i="66" l="1"/>
  <c r="D265" i="66" l="1"/>
  <c r="D264" i="66" l="1"/>
  <c r="D263" i="66" l="1"/>
  <c r="D262" i="66" l="1"/>
  <c r="D261" i="66" l="1"/>
  <c r="D260" i="66" l="1"/>
  <c r="D259" i="66" l="1"/>
  <c r="D258" i="66" l="1"/>
  <c r="D257" i="66" l="1"/>
  <c r="D256" i="66" l="1"/>
  <c r="D255" i="66" l="1"/>
  <c r="D254" i="66" l="1"/>
  <c r="D253" i="66" l="1"/>
  <c r="D252" i="66" l="1"/>
  <c r="D251" i="66" l="1"/>
  <c r="D250" i="66" l="1"/>
  <c r="D249" i="66" l="1"/>
  <c r="D248" i="66" l="1"/>
  <c r="D247" i="66" l="1"/>
  <c r="D246" i="66" l="1"/>
  <c r="D245" i="66" l="1"/>
  <c r="D244" i="66" l="1"/>
  <c r="D243" i="66" l="1"/>
  <c r="D242" i="66" l="1"/>
  <c r="D241" i="66" l="1"/>
  <c r="D240" i="66" l="1"/>
  <c r="D239" i="66" l="1"/>
  <c r="D238" i="66" l="1"/>
  <c r="D237" i="66" l="1"/>
  <c r="D236" i="66" l="1"/>
  <c r="D235" i="66" l="1"/>
  <c r="D234" i="66" l="1"/>
  <c r="D233" i="66" l="1"/>
  <c r="D232" i="66" l="1"/>
  <c r="D231" i="66" l="1"/>
  <c r="D230" i="66" l="1"/>
  <c r="D229" i="66" l="1"/>
  <c r="D228" i="66" l="1"/>
  <c r="D227" i="66" l="1"/>
  <c r="D226" i="66" l="1"/>
  <c r="D225" i="66" l="1"/>
  <c r="D224" i="66" l="1"/>
  <c r="D223" i="66" l="1"/>
  <c r="D222" i="66" l="1"/>
  <c r="D221" i="66" l="1"/>
  <c r="D220" i="66" l="1"/>
  <c r="D219" i="66" l="1"/>
  <c r="D218" i="66" l="1"/>
  <c r="D217" i="66" l="1"/>
  <c r="D216" i="66" l="1"/>
  <c r="D215" i="66" l="1"/>
  <c r="D214" i="66" l="1"/>
  <c r="D213" i="66" l="1"/>
  <c r="D212" i="66" l="1"/>
  <c r="D211" i="66" l="1"/>
  <c r="D210" i="66" l="1"/>
  <c r="D209" i="66" l="1"/>
  <c r="D208" i="66" l="1"/>
  <c r="D207" i="66" l="1"/>
  <c r="D206" i="66" l="1"/>
  <c r="D205" i="66" l="1"/>
  <c r="D204" i="66" l="1"/>
  <c r="D203" i="66" l="1"/>
  <c r="D202" i="66" l="1"/>
  <c r="D200" i="66" l="1"/>
  <c r="D201" i="66"/>
  <c r="D199" i="66" l="1"/>
  <c r="D198" i="66" l="1"/>
  <c r="D197" i="66" l="1"/>
  <c r="D196" i="66" l="1"/>
  <c r="D195" i="66" l="1"/>
  <c r="D193" i="66" l="1"/>
  <c r="E193" i="66" s="1"/>
  <c r="D194" i="66"/>
  <c r="Z172" i="78" l="1"/>
  <c r="AF172" i="78"/>
  <c r="AL172" i="78"/>
  <c r="H20" i="85" l="1"/>
  <c r="D17" i="6" l="1"/>
  <c r="E16" i="6" s="1"/>
  <c r="E19" i="6" l="1"/>
  <c r="E17" i="6"/>
  <c r="Z161" i="78"/>
  <c r="D14" i="6"/>
  <c r="E22" i="6"/>
  <c r="F16" i="6"/>
  <c r="F22" i="6" l="1"/>
  <c r="F23" i="6" s="1"/>
  <c r="E23" i="6"/>
  <c r="AF161" i="78"/>
  <c r="D23" i="6"/>
  <c r="D39" i="6" s="1"/>
  <c r="Z150" i="78" s="1"/>
  <c r="Z153" i="78" s="1"/>
  <c r="Z154" i="78" s="1"/>
  <c r="E25" i="6"/>
  <c r="F17" i="6"/>
  <c r="G16" i="6" s="1"/>
  <c r="G17" i="6" s="1"/>
  <c r="F19" i="6"/>
  <c r="G22" i="6"/>
  <c r="F25" i="6"/>
  <c r="E39" i="6" l="1"/>
  <c r="F39" i="6"/>
  <c r="AH150" i="78" s="1"/>
  <c r="H22" i="6"/>
  <c r="G23" i="6"/>
  <c r="G25" i="6"/>
  <c r="H16" i="6"/>
  <c r="G19" i="6"/>
  <c r="AF150" i="78" l="1"/>
  <c r="G39" i="6"/>
  <c r="AJ150" i="78" s="1"/>
  <c r="H17" i="6"/>
  <c r="H19" i="6"/>
  <c r="H23" i="6"/>
  <c r="H25" i="6"/>
  <c r="AH151" i="78" l="1"/>
  <c r="AJ151" i="78" s="1"/>
  <c r="H39" i="6"/>
  <c r="AL150" i="78" s="1"/>
  <c r="AL151" i="78" l="1"/>
  <c r="AF164" i="78" s="1"/>
  <c r="AQ167" i="79"/>
  <c r="AO76" i="79"/>
  <c r="AL40" i="78"/>
  <c r="AL46" i="78" s="1"/>
  <c r="AJ40" i="78"/>
  <c r="AJ46" i="78" s="1"/>
  <c r="AH40" i="78"/>
  <c r="AH46" i="78" s="1"/>
  <c r="AF46" i="78" l="1"/>
  <c r="AF47" i="78" s="1"/>
  <c r="AB123" i="78" l="1"/>
  <c r="AB127" i="78" s="1"/>
  <c r="AC123" i="78" l="1"/>
  <c r="AC127" i="78" s="1"/>
  <c r="AD123" i="78" l="1"/>
  <c r="AD127" i="78" s="1"/>
  <c r="AF55" i="78"/>
  <c r="AH55" i="78" l="1"/>
  <c r="AF56" i="78"/>
  <c r="AF49" i="78"/>
  <c r="AF50" i="78" s="1"/>
  <c r="AE123" i="78" l="1"/>
  <c r="AE127" i="78" s="1"/>
  <c r="AH49" i="78"/>
  <c r="AJ55" i="78" l="1"/>
  <c r="AH50" i="78"/>
  <c r="AF129" i="78"/>
  <c r="AF123" i="78"/>
  <c r="AF127" i="78" s="1"/>
  <c r="AF114" i="78" l="1"/>
  <c r="E41" i="6"/>
  <c r="E42" i="6"/>
  <c r="AH129" i="78"/>
  <c r="AH123" i="78"/>
  <c r="AH127" i="78" s="1"/>
  <c r="AJ49" i="78"/>
  <c r="AL55" i="78" l="1"/>
  <c r="AL49" i="78" s="1"/>
  <c r="AJ50" i="78"/>
  <c r="F41" i="6"/>
  <c r="F42" i="6"/>
  <c r="E43" i="6"/>
  <c r="F43" i="6" l="1"/>
  <c r="E44" i="6"/>
  <c r="E45" i="6" s="1"/>
  <c r="AJ129" i="78"/>
  <c r="AJ123" i="78"/>
  <c r="AJ127" i="78" s="1"/>
  <c r="AL50" i="78"/>
  <c r="AL123" i="78" l="1"/>
  <c r="Z163" i="78" s="1"/>
  <c r="AL129" i="78"/>
  <c r="G41" i="6"/>
  <c r="G43" i="6"/>
  <c r="F44" i="6"/>
  <c r="F45" i="6" s="1"/>
  <c r="G44" i="6" l="1"/>
  <c r="G45" i="6"/>
  <c r="Z164" i="78"/>
  <c r="AL127" i="78"/>
  <c r="H41" i="6" l="1"/>
  <c r="H43" i="6" l="1"/>
  <c r="H44" i="6" s="1"/>
  <c r="H45" i="6" s="1"/>
  <c r="AF133" i="78"/>
  <c r="AF137" i="78" s="1"/>
  <c r="AF154" i="78" s="1"/>
  <c r="AH103" i="78"/>
  <c r="AH133" i="78" s="1"/>
  <c r="AH137" i="78" s="1"/>
  <c r="AH153" i="78" s="1"/>
  <c r="AH154" i="78" s="1"/>
  <c r="AJ103" i="78"/>
  <c r="AJ133" i="78" s="1"/>
  <c r="AJ137" i="78" s="1"/>
  <c r="AJ153" i="78" s="1"/>
  <c r="AL103" i="78"/>
  <c r="AL133" i="78"/>
  <c r="AL137" i="78"/>
  <c r="AL153" i="78" s="1"/>
  <c r="AL154" i="78" s="1"/>
  <c r="AL163" i="78"/>
  <c r="AL164" i="78" s="1"/>
  <c r="AJ154" i="78" l="1"/>
  <c r="AL161" i="78"/>
  <c r="AF165" i="78" l="1"/>
  <c r="AF169" i="78" s="1"/>
  <c r="AF171" i="78" s="1"/>
  <c r="T35" i="91" s="1"/>
  <c r="X35" i="91" s="1"/>
  <c r="AL165" i="78"/>
  <c r="AL169" i="78" s="1"/>
  <c r="AL171" i="78" s="1"/>
  <c r="Z165" i="78"/>
  <c r="Z169" i="78" s="1"/>
  <c r="Z171" i="78" s="1"/>
  <c r="H13" i="85" s="1"/>
  <c r="AF173" i="78" l="1"/>
  <c r="R164" i="78" s="1"/>
  <c r="L160" i="66"/>
  <c r="E162" i="66"/>
  <c r="E192" i="66" s="1"/>
  <c r="E191" i="66" s="1"/>
  <c r="E190" i="66" s="1"/>
  <c r="E189" i="66" s="1"/>
  <c r="E188" i="66" s="1"/>
  <c r="E187" i="66" s="1"/>
  <c r="E186" i="66" s="1"/>
  <c r="E185" i="66" s="1"/>
  <c r="E184" i="66" s="1"/>
  <c r="E183" i="66" s="1"/>
  <c r="E182" i="66" s="1"/>
  <c r="E181" i="66" s="1"/>
  <c r="E180" i="66" s="1"/>
  <c r="E179" i="66" s="1"/>
  <c r="E178" i="66" s="1"/>
  <c r="E177" i="66" s="1"/>
  <c r="E176" i="66" s="1"/>
  <c r="E175" i="66" s="1"/>
  <c r="E174" i="66" s="1"/>
  <c r="E173" i="66" s="1"/>
  <c r="E172" i="66" s="1"/>
  <c r="E171" i="66" s="1"/>
  <c r="E170" i="66" s="1"/>
  <c r="E169" i="66" s="1"/>
  <c r="E168" i="66" s="1"/>
  <c r="E167" i="66" s="1"/>
  <c r="E166" i="66" s="1"/>
  <c r="E165" i="66" s="1"/>
  <c r="E164" i="66" s="1"/>
  <c r="E163" i="66" s="1"/>
  <c r="T33" i="91"/>
  <c r="X33" i="91" s="1"/>
  <c r="AL173" i="78"/>
  <c r="T34" i="91"/>
  <c r="X34" i="91" s="1"/>
  <c r="Z173" i="78"/>
  <c r="H14" i="85" s="1"/>
  <c r="W44" i="91" l="1"/>
  <c r="V44" i="91"/>
  <c r="W40" i="91"/>
  <c r="Y40" i="91" s="1" a="1"/>
  <c r="Y40" i="91" s="1"/>
  <c r="V40" i="91"/>
  <c r="X40" i="91" s="1" a="1"/>
  <c r="X40" i="91" s="1"/>
  <c r="Z40" i="91" s="1"/>
  <c r="W39" i="91"/>
  <c r="Y39" i="91" s="1" a="1"/>
  <c r="Y39" i="91" s="1"/>
  <c r="V42" i="91"/>
  <c r="W42" i="91" s="1"/>
  <c r="Y42" i="91" s="1" a="1"/>
  <c r="Y42" i="91" s="1"/>
  <c r="V39" i="91"/>
  <c r="X39" i="91" s="1" a="1"/>
  <c r="X39" i="91" s="1"/>
  <c r="R166" i="78"/>
  <c r="D1" i="66"/>
  <c r="R165" i="78"/>
  <c r="Y44" i="91" a="1"/>
  <c r="Y44" i="91" s="1"/>
  <c r="X44" i="91" a="1"/>
  <c r="X44" i="91" s="1"/>
  <c r="Y43" i="91" a="1"/>
  <c r="Y43" i="91" s="1"/>
  <c r="X43" i="91" a="1"/>
  <c r="X43" i="91" s="1"/>
  <c r="Y41" i="91" a="1"/>
  <c r="Y41" i="91" s="1"/>
  <c r="X41" i="91" a="1"/>
  <c r="X41" i="91" s="1"/>
  <c r="Y38" i="91" a="1"/>
  <c r="Y38" i="91" s="1"/>
  <c r="X38" i="91" a="1"/>
  <c r="X38" i="91" s="1"/>
  <c r="AB133" i="78"/>
  <c r="AC129" i="78"/>
  <c r="AE133" i="78"/>
  <c r="AB129" i="78"/>
  <c r="AE129" i="78"/>
  <c r="AD129" i="78"/>
  <c r="Z38" i="91" l="1"/>
  <c r="Z43" i="91"/>
  <c r="Z41" i="91"/>
  <c r="Z39" i="91"/>
  <c r="X42" i="91" a="1"/>
  <c r="X42" i="91" s="1"/>
  <c r="Z42" i="91" s="1"/>
  <c r="Z44" i="91"/>
  <c r="AD28" i="91" l="1" a="1"/>
  <c r="AD28" i="9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ARNAUD PETER M. VAN HEES</author>
  </authors>
  <commentList>
    <comment ref="C75" authorId="0" shapeId="0" xr:uid="{D5349FBD-4F0E-4F86-871A-05E4F1ED27F5}">
      <text>
        <r>
          <rPr>
            <b/>
            <sz val="9"/>
            <color indexed="81"/>
            <rFont val="Tahoma"/>
            <family val="2"/>
          </rPr>
          <t>ARNAUD PETER M. VAN HEES:</t>
        </r>
        <r>
          <rPr>
            <sz val="9"/>
            <color indexed="81"/>
            <rFont val="Tahoma"/>
            <family val="2"/>
          </rPr>
          <t xml:space="preserve">
Capitalisation rate 
</t>
        </r>
      </text>
    </comment>
    <comment ref="F79" authorId="0" shapeId="0" xr:uid="{DCD26F7D-E9DE-43BD-B0C8-410BDFEECD06}">
      <text>
        <r>
          <rPr>
            <b/>
            <sz val="9"/>
            <color indexed="81"/>
            <rFont val="Tahoma"/>
            <charset val="1"/>
          </rPr>
          <t>ARNAUD PETER M. VAN HEES:</t>
        </r>
        <r>
          <rPr>
            <sz val="9"/>
            <color indexed="81"/>
            <rFont val="Tahoma"/>
            <charset val="1"/>
          </rPr>
          <t xml:space="preserve">
Bloomberg reports a ratio of 4.1/1.3. High amounts tax witholding payments related to net settlement of equity awards. Difference with annual report and bloomberg values not entirely clear.  </t>
        </r>
      </text>
    </comment>
    <comment ref="F90" authorId="0" shapeId="0" xr:uid="{CCE91352-D909-4163-8B40-628E2079E015}">
      <text>
        <r>
          <rPr>
            <b/>
            <sz val="9"/>
            <color indexed="81"/>
            <rFont val="Tahoma"/>
            <charset val="1"/>
          </rPr>
          <t>ARNAUD PETER M. VAN HEES:</t>
        </r>
        <r>
          <rPr>
            <sz val="9"/>
            <color indexed="81"/>
            <rFont val="Tahoma"/>
            <charset val="1"/>
          </rPr>
          <t xml:space="preserve">
Very low CFO and company does a lot of Stock based compensation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Luisa Ditomaso Ferreira da Costa</author>
  </authors>
  <commentList>
    <comment ref="B13" authorId="0" shapeId="0" xr:uid="{1113745A-8A75-4FE2-A92E-FF05F43AB004}">
      <text>
        <r>
          <rPr>
            <sz val="11"/>
            <color theme="1"/>
            <rFont val="Arial"/>
            <family val="2"/>
          </rPr>
          <t xml:space="preserve">Luisa Ditomaso Ferreira da Costa:
Forecasted by the growth rates of the 
revenue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Luisa Ditomaso Ferreira da Costa</author>
  </authors>
  <commentList>
    <comment ref="B70" authorId="0" shapeId="0" xr:uid="{5EAC8FCA-844C-4E32-83EC-8D7427AD55CE}">
      <text>
        <r>
          <rPr>
            <sz val="11"/>
            <color theme="1"/>
            <rFont val="Arial"/>
            <family val="2"/>
          </rPr>
          <t xml:space="preserve">Luisa Ditomaso Ferreira da Costa:
Accounts Receivable is expected to reach approximately 2.9B in 2029
The mainly source being the US government.
</t>
        </r>
      </text>
    </comment>
    <comment ref="B73" authorId="0" shapeId="0" xr:uid="{594ADBEA-DDD6-499D-B2F3-16BA60B515BF}">
      <text>
        <r>
          <rPr>
            <sz val="11"/>
            <color theme="1"/>
            <rFont val="Arial"/>
            <family val="2"/>
          </rPr>
          <t xml:space="preserve">Luisa Ditomaso Ferreira da Costa:
Inventory represents approximately 5% of sales every year, and is expected to maintain this rate. 
For this reason it is forecasted to grow keeping this rate </t>
        </r>
      </text>
    </comment>
    <comment ref="B85" authorId="0" shapeId="0" xr:uid="{0967400C-BE23-409E-9DB4-F9E348AC9F9E}">
      <text>
        <r>
          <rPr>
            <sz val="11"/>
            <color theme="1"/>
            <rFont val="Arial"/>
            <family val="2"/>
          </rPr>
          <t>Luisa Ditomaso Ferreira da Costa:
Expected to grow more slowly than AR, reflecting Lockheed’s supplier payment practices and tighter supply chain management</t>
        </r>
      </text>
    </comment>
    <comment ref="B116" authorId="0" shapeId="0" xr:uid="{4F6FCB8B-5EEE-478A-BDDF-7DCFAF103858}">
      <text>
        <r>
          <rPr>
            <sz val="11"/>
            <color theme="1"/>
            <rFont val="Arial"/>
            <family val="2"/>
          </rPr>
          <t>Luisa Ditomaso Ferreira da Costa:
The amount of repurchases shares can vary according to the revenue growth. The policy makes buybacks the “shock absorber” of capital allocation. Dividends grow steadily, and buybacks flex with cash flow.</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Luisa Ditomaso Ferreira da Costa</author>
  </authors>
  <commentList>
    <comment ref="V38" authorId="0" shapeId="0" xr:uid="{FAAEDFC5-85E9-48EB-B300-6CDD2040F475}">
      <text>
        <r>
          <rPr>
            <sz val="11"/>
            <color theme="1"/>
            <rFont val="Arial"/>
            <family val="2"/>
          </rPr>
          <t xml:space="preserve">Luisa Ditomaso Ferreira da Costa:
1%
</t>
        </r>
      </text>
    </comment>
    <comment ref="W38" authorId="0" shapeId="0" xr:uid="{BD42BFCC-6C87-450C-AC85-15CE808895D3}">
      <text>
        <r>
          <rPr>
            <sz val="11"/>
            <color theme="1"/>
            <rFont val="Arial"/>
            <family val="2"/>
          </rPr>
          <t xml:space="preserve">Luisa Ditomaso Ferreira da Costa:
3%
</t>
        </r>
      </text>
    </comment>
    <comment ref="V41" authorId="0" shapeId="0" xr:uid="{8A6E032D-FD54-4D84-BA52-37DF5F88D0BA}">
      <text>
        <r>
          <rPr>
            <sz val="11"/>
            <color theme="1"/>
            <rFont val="Arial"/>
            <family val="2"/>
          </rPr>
          <t xml:space="preserve">Luisa Ditomaso Ferreira da Costa:
0.5%
</t>
        </r>
      </text>
    </comment>
    <comment ref="W41" authorId="0" shapeId="0" xr:uid="{6935F6A8-F43A-4DC3-9214-89FF507FD611}">
      <text>
        <r>
          <rPr>
            <sz val="11"/>
            <color theme="1"/>
            <rFont val="Arial"/>
            <family val="2"/>
          </rPr>
          <t xml:space="preserve">Luisa Ditomaso Ferreira da Costa:
4%
</t>
        </r>
      </text>
    </comment>
    <comment ref="V43" authorId="0" shapeId="0" xr:uid="{0069C57C-F08E-4D32-AB83-F69EB069F06D}">
      <text>
        <r>
          <rPr>
            <sz val="11"/>
            <color theme="1"/>
            <rFont val="Arial"/>
            <family val="2"/>
          </rPr>
          <t xml:space="preserve">Luisa Ditomaso Ferreira da Costa:
1.0x
</t>
        </r>
      </text>
    </comment>
    <comment ref="W43" authorId="0" shapeId="0" xr:uid="{DC2F2B7A-BAA1-4CBD-B905-2CBA1A0F22E0}">
      <text>
        <r>
          <rPr>
            <sz val="11"/>
            <color theme="1"/>
            <rFont val="Arial"/>
            <family val="2"/>
          </rPr>
          <t xml:space="preserve">Luisa Ditomaso Ferreira da Costa:
2.0x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bloomberg-alunos</author>
  </authors>
  <commentList>
    <comment ref="D13" authorId="0" shapeId="0" xr:uid="{00000000-0006-0000-0E00-000001000000}">
      <text>
        <r>
          <rPr>
            <sz val="9"/>
            <color indexed="81"/>
            <rFont val="Tahoma"/>
            <family val="2"/>
          </rPr>
          <t>USD
EUR
KRW
BRL
JPY</t>
        </r>
      </text>
    </comment>
    <comment ref="D14" authorId="0" shapeId="0" xr:uid="{00000000-0006-0000-0E00-000002000000}">
      <text>
        <r>
          <rPr>
            <sz val="9"/>
            <color indexed="81"/>
            <rFont val="Tahoma"/>
            <family val="2"/>
          </rPr>
          <t>K
MLN 
BLN</t>
        </r>
      </text>
    </comment>
    <comment ref="D15" authorId="0" shapeId="0" xr:uid="{00000000-0006-0000-0E00-000003000000}">
      <text>
        <r>
          <rPr>
            <sz val="9"/>
            <color indexed="81"/>
            <rFont val="Tahoma"/>
            <family val="2"/>
          </rPr>
          <t xml:space="preserve">AAPL US Equity
DSY FP Equity
005930 KS Equity
</t>
        </r>
      </text>
    </comment>
    <comment ref="R17" authorId="0" shapeId="0" xr:uid="{00000000-0006-0000-0E00-000004000000}">
      <text>
        <r>
          <rPr>
            <sz val="9"/>
            <color indexed="81"/>
            <rFont val="Tahoma"/>
            <family val="2"/>
          </rPr>
          <t>USD
EUR
KRW
BRL
JPY</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cellMetadata count="1">
    <bk>
      <rc t="1" v="0"/>
    </bk>
  </cellMetadata>
  <valueMetadata count="15">
    <bk>
      <rc t="2" v="0"/>
    </bk>
    <bk>
      <rc t="2" v="1"/>
    </bk>
    <bk>
      <rc t="2" v="2"/>
    </bk>
    <bk>
      <rc t="2" v="3"/>
    </bk>
    <bk>
      <rc t="2" v="4"/>
    </bk>
    <bk>
      <rc t="2" v="5"/>
    </bk>
    <bk>
      <rc t="2" v="6"/>
    </bk>
    <bk>
      <rc t="2" v="7"/>
    </bk>
    <bk>
      <rc t="2" v="8"/>
    </bk>
    <bk>
      <rc t="2" v="9"/>
    </bk>
    <bk>
      <rc t="2" v="10"/>
    </bk>
    <bk>
      <rc t="2" v="11"/>
    </bk>
    <bk>
      <rc t="2" v="12"/>
    </bk>
    <bk>
      <rc t="2" v="13"/>
    </bk>
    <bk>
      <rc t="2" v="14"/>
    </bk>
  </valueMetadata>
</metadata>
</file>

<file path=xl/sharedStrings.xml><?xml version="1.0" encoding="utf-8"?>
<sst xmlns="http://schemas.openxmlformats.org/spreadsheetml/2006/main" count="3293" uniqueCount="1290">
  <si>
    <t>TODAY</t>
  </si>
  <si>
    <t>Analysts</t>
  </si>
  <si>
    <t>LIS – Equity Research</t>
  </si>
  <si>
    <t>Stock Performance</t>
  </si>
  <si>
    <t>Mariana Zhu, Co-Head of Equity Research</t>
  </si>
  <si>
    <t>Recommendation:</t>
  </si>
  <si>
    <t>Sell</t>
  </si>
  <si>
    <t>Msc in Mathematical Finance, ISEG – Ulisboa</t>
  </si>
  <si>
    <t>Target Price (FCFF):</t>
  </si>
  <si>
    <t>l63113@aln.iseg.ulisboa.pt</t>
  </si>
  <si>
    <t>Upside:</t>
  </si>
  <si>
    <t>Luisa Ditomaso, Analyst</t>
  </si>
  <si>
    <t>Bsc in Economics, ISEG – Ulisboa</t>
  </si>
  <si>
    <t>Ticker</t>
  </si>
  <si>
    <t>luisa.ditomaso@aln.iseg.ulisboa.pt</t>
  </si>
  <si>
    <t>Stock Exchange</t>
  </si>
  <si>
    <t>NYSE</t>
  </si>
  <si>
    <t>Arnaud Van Hees, Analyst</t>
  </si>
  <si>
    <t>Msc in Mathematical Finance, ISEG - ULisboa</t>
  </si>
  <si>
    <t>Current Price</t>
  </si>
  <si>
    <t>l64691@aln.iseg.uslisboa.pt</t>
  </si>
  <si>
    <t>Gurkirat Kaur, Analyst</t>
  </si>
  <si>
    <t>Beta</t>
  </si>
  <si>
    <t>Bsc in Finance, ISEG – Ulisboa</t>
  </si>
  <si>
    <t>% of 52-Week High</t>
  </si>
  <si>
    <t>kirat62765@aln.iseg.ulisboa.pt</t>
  </si>
  <si>
    <t>100-Day Moving Average</t>
  </si>
  <si>
    <t>Reviewed by:</t>
  </si>
  <si>
    <t>Avg Vol (1 month)</t>
  </si>
  <si>
    <t>NAME, Analyst</t>
  </si>
  <si>
    <t>Shares Outstanding (millions)</t>
  </si>
  <si>
    <t>Bsc in XXX, ISEG – Ulisboa</t>
  </si>
  <si>
    <t>% Float</t>
  </si>
  <si>
    <t>email@aln.iseg.ulisboa.pt</t>
  </si>
  <si>
    <t>Short % of Float</t>
  </si>
  <si>
    <t>LISBON INVESTMENT SOCIETY</t>
  </si>
  <si>
    <t>% Held by Insiders</t>
  </si>
  <si>
    <t>ISEG – Rua do Quelhas, 6</t>
  </si>
  <si>
    <t>% Held by Institutions</t>
  </si>
  <si>
    <t>lis@iseg.ulisboa.pt</t>
  </si>
  <si>
    <r>
      <rPr>
        <b/>
        <sz val="8"/>
        <color rgb="FF7B1314"/>
        <rFont val="Arial Nova"/>
        <family val="2"/>
      </rPr>
      <t>Disclaimer:</t>
    </r>
    <r>
      <rPr>
        <b/>
        <sz val="8"/>
        <color theme="0" tint="-0.499984740745262"/>
        <rFont val="Arial Nova"/>
        <family val="2"/>
      </rPr>
      <t xml:space="preserve"> </t>
    </r>
    <r>
      <rPr>
        <sz val="8"/>
        <color theme="0" tint="-0.499984740745262"/>
        <rFont val="Arial Nova"/>
        <family val="2"/>
      </rPr>
      <t>This report was prepared by members of the Lisbon Investment Society (LIS), an independent, student-led, non-profit organization based at ISEG – Lisbon School of Economics &amp; Management, and is intended solely for academic and educational purposes. All analyses, forecasts, and opinions expressed in this report reflect the independent judgment of the authors as of the date of publication and are subject to change without notice. The views presented herein do not represent those of ISEG, its faculty, or any affiliated entity. This document does not constitute, and should not be interpreted as, investment advice, an offer, or a solicitation to buy or sell any security or financial instrument. Nothing in this report should be construed as a recommendation to make or refrain from making any investment decision. The content is intended for informational purposes only, and readers are strongly encouraged to conduct their own research and seek advice from a qualified financial professional before making any financial decisions. The information contained in this report has been obtained from publicly available sources believed to be reliable; however, no representation or warranty is made regarding the accuracy, completeness, or timeliness of such information. LIS and its members accept no liability whatsoever for any direct or indirect loss arising from the use of this report or its contents. This report incorporates terminology, financial metrics, and methodologies commonly used in professional equity research, including but not limited to Discounted Cash Flow (DCF), trading multiples, Monte Carlo simulations, and strategic analysis tools such as Porter’s Five Forces. Definitions and assumptions used in these models are disclosed within the report and reflect a hypothetical investment thesis designed solely for academic discussion. All valuations, projections, and target prices presented herein are based on publicly available data and subject to the limitations of modeling assumptions. These are not guarantees of future performance and should not be relied upon as such, as past performance is not indicative of future results. Any company names, logos, trademarks, or brand references mentioned in this report are the property of their respective owners and are used strictly for identification and academic purposes. This document may not be reproduced, redistributed, or quoted in whole or in part without the prior written consent of the Lisbon Investment Society.</t>
    </r>
    <r>
      <rPr>
        <sz val="8"/>
        <color theme="1"/>
        <rFont val="Arial Nova"/>
        <family val="2"/>
      </rPr>
      <t xml:space="preserve">
</t>
    </r>
    <r>
      <rPr>
        <b/>
        <sz val="8"/>
        <color rgb="FF7B1314"/>
        <rFont val="Arial Nova"/>
        <family val="2"/>
      </rPr>
      <t>About LIS – Lisbon Investment Society:</t>
    </r>
    <r>
      <rPr>
        <b/>
        <sz val="8"/>
        <color theme="1"/>
        <rFont val="Arial Nova"/>
        <family val="2"/>
      </rPr>
      <t xml:space="preserve"> </t>
    </r>
    <r>
      <rPr>
        <sz val="8"/>
        <color theme="0" tint="-0.499984740745262"/>
        <rFont val="Arial Nova"/>
        <family val="2"/>
      </rPr>
      <t>The Lisbon Investment Society (LIS) is a non-profit academic association headquartered at ISEG – Lisbon School of Economics &amp; Management. Founded in 2016, LIS is committed to fostering student interest in finance and investment through applied research, skill development, and institutional engagement. The Society operates independently and autonomously from any political, religious, or commercial affiliation, and is composed of selected students and collaborators who are invited through a rigorous recruitment process and share a commitment to excellence, analytical rigor, and ethical standards. Its activities include equity research, portfolio management, macroeconomic analysis, and investment education. This report was prepared by the Equity Research team at the Lisbon Investment Society, whose analysts combine rigorous financial modeling, critical thinking, and collaborative research to deliver high-quality, student-led investment analysis. We welcome your feedback, discussion, and questions regarding this report or our research process, and invite you to reach out to our team as we are always open to engagement.</t>
    </r>
    <r>
      <rPr>
        <b/>
        <sz val="8"/>
        <color theme="0" tint="-0.499984740745262"/>
        <rFont val="Arial Nova"/>
        <family val="2"/>
      </rPr>
      <t xml:space="preserve">
</t>
    </r>
  </si>
  <si>
    <t>x</t>
  </si>
  <si>
    <t>Industry Growth Forecast</t>
  </si>
  <si>
    <t>Industry Index</t>
  </si>
  <si>
    <t>Market Size  - AEROSPACE AND DEFENSE</t>
  </si>
  <si>
    <t>Market Share</t>
  </si>
  <si>
    <t>Market Size - SPACE</t>
  </si>
  <si>
    <t>Industry Driver</t>
  </si>
  <si>
    <t>Description</t>
  </si>
  <si>
    <t>Porter's Five Forces</t>
  </si>
  <si>
    <t>Government Defense Spending</t>
  </si>
  <si>
    <t>Defense budgets (e.g., U.S. DoD, NATO, allies) are the largest demand driver. Increases in military budgets directly boost orders for jets, missiles, space systems, and cybersecurity.</t>
  </si>
  <si>
    <t>Geopolitical Tensions &amp; Conflicts</t>
  </si>
  <si>
    <t>Rising global instability (Russia-Ukraine, South China Sea, Middle East) increases demand for advanced defense systems and modernization of armed forces.</t>
  </si>
  <si>
    <t>Technological Innovation &amp; R&amp;D</t>
  </si>
  <si>
    <t>Development of next-gen technologies (AI, hypersonics, missile defense, autonomous drones, space systems) is critical for maintaining competitive advantage and winning contracts.</t>
  </si>
  <si>
    <t>Government Regulations &amp; Procurement Policies</t>
  </si>
  <si>
    <t>Strict compliance, export controls (ITAR), and political approval processes heavily shape the industry. Long procurement cycles and lobbying affect revenue flow.</t>
  </si>
  <si>
    <t>Alliances &amp; International Arms Sales</t>
  </si>
  <si>
    <t>Foreign military sales (FMS) to allied nations, enabled by U.S. government approvals, significantly expand market opportunities (e.g., F-35 to NATO members, missile defense to Middle East/Asia).</t>
  </si>
  <si>
    <t>Rivalry Among Existing Competitors</t>
  </si>
  <si>
    <t>Company</t>
  </si>
  <si>
    <t>Revenue (USD Bn, 2024)</t>
  </si>
  <si>
    <t>Threat of New Entrants</t>
  </si>
  <si>
    <t>Lockheed Martin</t>
  </si>
  <si>
    <t>Threat of Substitutes</t>
  </si>
  <si>
    <t>Raytheon (RTX)</t>
  </si>
  <si>
    <t>Bargaining Power of Customers</t>
  </si>
  <si>
    <t>Northrop Grumman</t>
  </si>
  <si>
    <t>Bargaining Power of Suppliers</t>
  </si>
  <si>
    <t>Boeing Defense (BDS)</t>
  </si>
  <si>
    <t>BAE Systems</t>
  </si>
  <si>
    <t>ESG Analysis</t>
  </si>
  <si>
    <t>ESG Scores</t>
  </si>
  <si>
    <t>GHG Scope 1 Emissions, Water Consumption, Energy Consumption and Waste Production per Sales</t>
  </si>
  <si>
    <t>LSEG ESG Score</t>
  </si>
  <si>
    <t xml:space="preserve">   E-Score</t>
  </si>
  <si>
    <t xml:space="preserve">   S-Score</t>
  </si>
  <si>
    <t xml:space="preserve">   G-Score</t>
  </si>
  <si>
    <t>S&amp;P Global ESG Score</t>
  </si>
  <si>
    <t xml:space="preserve">   Environmental</t>
  </si>
  <si>
    <t xml:space="preserve">   Social</t>
  </si>
  <si>
    <t xml:space="preserve">   Governance &amp; Economic</t>
  </si>
  <si>
    <t>Sustainalytics</t>
  </si>
  <si>
    <t>ISS ESG Corporate Rating</t>
  </si>
  <si>
    <t>C</t>
  </si>
  <si>
    <t xml:space="preserve">   SDG Impact Rating</t>
  </si>
  <si>
    <t xml:space="preserve">   Governance Quality Score</t>
  </si>
  <si>
    <t>MSCI ESG Ratings</t>
  </si>
  <si>
    <t>A</t>
  </si>
  <si>
    <t>Key Info</t>
  </si>
  <si>
    <t>Environmental</t>
  </si>
  <si>
    <t>Overview</t>
  </si>
  <si>
    <t>Targets</t>
  </si>
  <si>
    <t>Improvements</t>
  </si>
  <si>
    <t>Comments</t>
  </si>
  <si>
    <t>GICS Sector</t>
  </si>
  <si>
    <t>Industrials</t>
  </si>
  <si>
    <t>GHG Scope 1 Emissions</t>
  </si>
  <si>
    <t>Reduce carbon footprint by energy efficiency &amp; renewable use</t>
  </si>
  <si>
    <t>Set specific percentage reduction targets</t>
  </si>
  <si>
    <t>ISS gave –3.5 SDG impact = negative environmental effect</t>
  </si>
  <si>
    <t>GICS Industry Group</t>
  </si>
  <si>
    <t>Capital Goods</t>
  </si>
  <si>
    <t>GICS Industry</t>
  </si>
  <si>
    <t>Aerospace &amp; Defense</t>
  </si>
  <si>
    <t>Water Consumption</t>
  </si>
  <si>
    <t>Reduce water intensity in production</t>
  </si>
  <si>
    <t>Improve transparency in water reporting</t>
  </si>
  <si>
    <t>Currently not a material ESG focus</t>
  </si>
  <si>
    <t>GICS Sub-Industry</t>
  </si>
  <si>
    <t>Energy Consumption</t>
  </si>
  <si>
    <t>Increase renewable energy usage</t>
  </si>
  <si>
    <t>More investment in clean energy</t>
  </si>
  <si>
    <t>Strong reliance on fossil-fuel-heavy processes</t>
  </si>
  <si>
    <t>Headquarters</t>
  </si>
  <si>
    <t>Bethesda, Maryland, United States</t>
  </si>
  <si>
    <t>Number of Employees</t>
  </si>
  <si>
    <t>~122,000 (2024)</t>
  </si>
  <si>
    <t>Waste Management</t>
  </si>
  <si>
    <t>Recycling and disposal initiatives</t>
  </si>
  <si>
    <t>Expand scope 3 waste reporting</t>
  </si>
  <si>
    <t>Aerospace waste is always a regulatory risk</t>
  </si>
  <si>
    <t>Annual Report</t>
  </si>
  <si>
    <t>Lockheed Martin 2024 Annual Report (published January 2025)</t>
  </si>
  <si>
    <t>Other</t>
  </si>
  <si>
    <t>Sustainability Report</t>
  </si>
  <si>
    <t>2024 Sustainability Report</t>
  </si>
  <si>
    <t>Recent Headlines</t>
  </si>
  <si>
    <t>Social</t>
  </si>
  <si>
    <r>
      <rPr>
        <b/>
        <sz val="11"/>
        <color rgb="FF000000"/>
        <rFont val="Arial Nova"/>
        <family val="2"/>
      </rPr>
      <t>Board Leadership Changes</t>
    </r>
    <r>
      <rPr>
        <sz val="11"/>
        <color rgb="FF000000"/>
        <rFont val="Arial"/>
        <family val="2"/>
      </rPr>
      <t>: In April 2025, Lockheed Martin announced</t>
    </r>
  </si>
  <si>
    <t>Employee Turnover %</t>
  </si>
  <si>
    <t>Maintain strong retention</t>
  </si>
  <si>
    <t>Increase diversity recruitment</t>
  </si>
  <si>
    <t>Generally strong workforce stability</t>
  </si>
  <si>
    <t>the immediate departure of its Chief Financial Officer, Jesus Malave,</t>
  </si>
  <si>
    <t xml:space="preserve">and appointed company veteran Evan Scott as his replacement. Scott, </t>
  </si>
  <si>
    <t>Salaries &amp; Compensation</t>
  </si>
  <si>
    <t>Retain STEM talent</t>
  </si>
  <si>
    <t>Improve wage transparency</t>
  </si>
  <si>
    <t>Attracts top engineers with pay</t>
  </si>
  <si>
    <t xml:space="preserve">who has over 20 years of experience with Lockheed, previously served </t>
  </si>
  <si>
    <t>as treasurer and CFO of two different business areas within the company.</t>
  </si>
  <si>
    <t>Reputation</t>
  </si>
  <si>
    <t>Protect brand via compliance</t>
  </si>
  <si>
    <t>Broaden civilian tech exposure</t>
  </si>
  <si>
    <t>War-related controversies</t>
  </si>
  <si>
    <r>
      <t>Strategic Appointments</t>
    </r>
    <r>
      <rPr>
        <sz val="11"/>
        <color rgb="FF000000"/>
        <rFont val="Arial Nova"/>
        <family val="2"/>
      </rPr>
      <t xml:space="preserve">: In June 2025, Lockheed Martin named </t>
    </r>
  </si>
  <si>
    <t>Discrimination Events</t>
  </si>
  <si>
    <t>Improve DEI initiatives (diversity, equity and inclusion)</t>
  </si>
  <si>
    <t>More inclusion training</t>
  </si>
  <si>
    <t>Public scrutiny exists</t>
  </si>
  <si>
    <t>Jalen Drummond, a former spokesperson for Donald Trump, as its vice president</t>
  </si>
  <si>
    <t xml:space="preserve">of corporate affairs and international communications. Drummond will </t>
  </si>
  <si>
    <t>Work Safety</t>
  </si>
  <si>
    <t>Zero accidents</t>
  </si>
  <si>
    <t>More automation safety</t>
  </si>
  <si>
    <t>Aerospace = high safety standards</t>
  </si>
  <si>
    <t xml:space="preserve">report to Chief Communications Officer Dean Acosta and will oversee </t>
  </si>
  <si>
    <t>corporate communications and public affairs efforts.</t>
  </si>
  <si>
    <t>Damage to consumer health</t>
  </si>
  <si>
    <t>N/A</t>
  </si>
  <si>
    <t>Low direct risk</t>
  </si>
  <si>
    <r>
      <rPr>
        <b/>
        <sz val="11"/>
        <color rgb="FF000000"/>
        <rFont val="Arial Nova"/>
        <family val="2"/>
      </rPr>
      <t>Program Leadership</t>
    </r>
    <r>
      <rPr>
        <sz val="11"/>
        <color rgb="FF000000"/>
        <rFont val="Arial"/>
        <family val="2"/>
      </rPr>
      <t xml:space="preserve">: In October 2024, Lockheed Martin announced the </t>
    </r>
  </si>
  <si>
    <t>Pension Plan</t>
  </si>
  <si>
    <t xml:space="preserve">Maintain  </t>
  </si>
  <si>
    <t>Traditional defense pension plans</t>
  </si>
  <si>
    <t xml:space="preserve">appointment of Chauncey McIntosh as the new vice president and general </t>
  </si>
  <si>
    <t xml:space="preserve">manager of the F-35 Lightning II Program, effective December 1. McIntosh will </t>
  </si>
  <si>
    <t>Supply chain</t>
  </si>
  <si>
    <t>Increase supply chain transparency</t>
  </si>
  <si>
    <t>Diversify supplier base</t>
  </si>
  <si>
    <t>Rated as weak</t>
  </si>
  <si>
    <t>replace Bridget Lauderdale, who is retiring after a 38-year career at the company.</t>
  </si>
  <si>
    <t>Community involvement</t>
  </si>
  <si>
    <t>More STEM outreach</t>
  </si>
  <si>
    <t>Expand community programs</t>
  </si>
  <si>
    <t>Mostly defense-driven programs</t>
  </si>
  <si>
    <t>Public Sector</t>
  </si>
  <si>
    <t>Diversify revenue</t>
  </si>
  <si>
    <t>Explore civilian space/commercial</t>
  </si>
  <si>
    <t>Red = dependency risk</t>
  </si>
  <si>
    <t>Litigation</t>
  </si>
  <si>
    <t>Reduce lawsuits</t>
  </si>
  <si>
    <t>Increase compliance oversight</t>
  </si>
  <si>
    <t>Normal for defense sector</t>
  </si>
  <si>
    <t>Board of Directors</t>
  </si>
  <si>
    <t>Governance</t>
  </si>
  <si>
    <t>Name</t>
  </si>
  <si>
    <t>Position</t>
  </si>
  <si>
    <t>M/F  – Age</t>
  </si>
  <si>
    <t>James D. Taiclet, Jr.</t>
  </si>
  <si>
    <t>Chairman, President &amp; CEO</t>
  </si>
  <si>
    <t>M - 59</t>
  </si>
  <si>
    <t>Diversity (Gender, Age, Industry, Region)</t>
  </si>
  <si>
    <t>Increase women &amp; minority representation on board.</t>
  </si>
  <si>
    <t>Added some female directors with global experience.</t>
  </si>
  <si>
    <t>Still heavily U.S.-centric and male-dominated</t>
  </si>
  <si>
    <t>Patricia A. Wojahn</t>
  </si>
  <si>
    <t>Lead Independent Director</t>
  </si>
  <si>
    <t>F - 65</t>
  </si>
  <si>
    <t>Marillyn A. Hewson</t>
  </si>
  <si>
    <t>Former Chairwoman and CEO</t>
  </si>
  <si>
    <t>F - 75</t>
  </si>
  <si>
    <t>% Independence</t>
  </si>
  <si>
    <t>Maintain strong independence above 75%</t>
  </si>
  <si>
    <t>Majority independent, strong external oversight.</t>
  </si>
  <si>
    <t>Meets best-practice governance standards.</t>
  </si>
  <si>
    <t>Vance D. Coffman</t>
  </si>
  <si>
    <t>Former Chairman &amp; CEO</t>
  </si>
  <si>
    <t>M - 77</t>
  </si>
  <si>
    <t>John F. Dillon</t>
  </si>
  <si>
    <t>Former Chairman &amp; CEO of SunTrust Banks</t>
  </si>
  <si>
    <t>M - 74</t>
  </si>
  <si>
    <t>Average time as independent directors</t>
  </si>
  <si>
    <t>Refresh board regularly to balance experience &amp; independence.</t>
  </si>
  <si>
    <t>Several directors rotated in recent years.</t>
  </si>
  <si>
    <t>Average tenure stable but needs further refreshment.</t>
  </si>
  <si>
    <t>Jessica P. Einhorn</t>
  </si>
  <si>
    <t>Former Dean, Johns Hopkins SAIS</t>
  </si>
  <si>
    <t>F - 72</t>
  </si>
  <si>
    <t>Thomas J. Falk</t>
  </si>
  <si>
    <t>Former Chairman &amp; CEO of Kimberly-Clark</t>
  </si>
  <si>
    <t>M - 70</t>
  </si>
  <si>
    <t>Departures of C-level executives</t>
  </si>
  <si>
    <t>Ensure smooth succession planning.</t>
  </si>
  <si>
    <t>CFO transition in 2025 managed quickly.</t>
  </si>
  <si>
    <t>Some leadership turnover raises stability questions</t>
  </si>
  <si>
    <t>Thomas N. Andrews</t>
  </si>
  <si>
    <t>Former President &amp; CEO of Lockheed Martin</t>
  </si>
  <si>
    <t>M - 75</t>
  </si>
  <si>
    <t>William H. Green</t>
  </si>
  <si>
    <t>Former Chairman &amp; CEO of TRW Inc.</t>
  </si>
  <si>
    <t>M- 79</t>
  </si>
  <si>
    <t>CEO/Chairman duality</t>
  </si>
  <si>
    <t>Separate roles to strengthen checks &amp; balances.</t>
  </si>
  <si>
    <t>No progress; Taiclet holds both roles.</t>
  </si>
  <si>
    <t>Concentration of power is a governance risk.</t>
  </si>
  <si>
    <t>Bruce L. Tanner</t>
  </si>
  <si>
    <t>CFO &amp; Executive Vice President</t>
  </si>
  <si>
    <t>M - 60</t>
  </si>
  <si>
    <t>John B. Wood</t>
  </si>
  <si>
    <t>Founder, Chairman &amp; CEO of Telos Corp.</t>
  </si>
  <si>
    <t>M - 65</t>
  </si>
  <si>
    <t>Transparency when reporting</t>
  </si>
  <si>
    <t>Strengthen disclosures beyond minimum SEC requirements.</t>
  </si>
  <si>
    <t>Reports timely and complete, but lawsuits hurt credibility.</t>
  </si>
  <si>
    <t>Reputation risk affects investor trust.</t>
  </si>
  <si>
    <t>Dr. Heather Wilson</t>
  </si>
  <si>
    <t>Former U.S. Secretary of the Air Force</t>
  </si>
  <si>
    <t>F - 60</t>
  </si>
  <si>
    <t>Adm. John C. Aquilino</t>
  </si>
  <si>
    <t>Former Commander, U.S. Indo-Pacific Command</t>
  </si>
  <si>
    <t>M - 63</t>
  </si>
  <si>
    <t>Time taken to report</t>
  </si>
  <si>
    <t>Maintain timely filing of annual and quarterly reports.</t>
  </si>
  <si>
    <t>Consistently on-time filings.</t>
  </si>
  <si>
    <t>Meets compliance standards.</t>
  </si>
  <si>
    <t>CEO or Chairman in other boards?</t>
  </si>
  <si>
    <t>Avoid overboarding by key executives</t>
  </si>
  <si>
    <t>Positive for focus and accountability</t>
  </si>
  <si>
    <t>Audit / Consulting</t>
  </si>
  <si>
    <t>Ensure independence of external auditors.</t>
  </si>
  <si>
    <t>Independent auditor used consistently</t>
  </si>
  <si>
    <t>Scrutiny remains due to defense contracting complexity</t>
  </si>
  <si>
    <t>ESG-compensation related</t>
  </si>
  <si>
    <t>Link more executive pay to sustainability goals</t>
  </si>
  <si>
    <t>Limited ESG metrics added to pay in 2023–24</t>
  </si>
  <si>
    <t>Linkage weaker than peers like RTX or Boeing</t>
  </si>
  <si>
    <t>Management compensation schemes</t>
  </si>
  <si>
    <t>Balance pay-for-performance with fairness to employees</t>
  </si>
  <si>
    <t>Compensation aligned with shareholder value</t>
  </si>
  <si>
    <t>CEO pay gap remains controversial</t>
  </si>
  <si>
    <t>Statistics</t>
  </si>
  <si>
    <t>Metric</t>
  </si>
  <si>
    <t>Value</t>
  </si>
  <si>
    <t xml:space="preserve">Beta </t>
  </si>
  <si>
    <t>Major Holders</t>
  </si>
  <si>
    <t>Holder</t>
  </si>
  <si>
    <t>Ownership (%)</t>
  </si>
  <si>
    <t>Vanguard Group Inc.</t>
  </si>
  <si>
    <t>BlackRock Inc.</t>
  </si>
  <si>
    <t>State Street Corp.</t>
  </si>
  <si>
    <t>Capital Research Global Investors</t>
  </si>
  <si>
    <t>Wellington Management</t>
  </si>
  <si>
    <t>Geode Capital Management</t>
  </si>
  <si>
    <t>Morgan Stanley</t>
  </si>
  <si>
    <t>JPMorgan Chase &amp; Co.</t>
  </si>
  <si>
    <t>Northern Trust Corp.</t>
  </si>
  <si>
    <t>Bank of America</t>
  </si>
  <si>
    <t>Segments</t>
  </si>
  <si>
    <t>Products</t>
  </si>
  <si>
    <t>Q1</t>
  </si>
  <si>
    <t>Q2</t>
  </si>
  <si>
    <t>Q3</t>
  </si>
  <si>
    <t>Q4</t>
  </si>
  <si>
    <t>FY</t>
  </si>
  <si>
    <t>Revenue by segment:</t>
  </si>
  <si>
    <t>Aeronautics</t>
  </si>
  <si>
    <t>26 266</t>
  </si>
  <si>
    <t>26 748</t>
  </si>
  <si>
    <t>MFC</t>
  </si>
  <si>
    <t>11 257</t>
  </si>
  <si>
    <t>11 693</t>
  </si>
  <si>
    <t>11 253</t>
  </si>
  <si>
    <t>12 682</t>
  </si>
  <si>
    <t>RMS</t>
  </si>
  <si>
    <t>15 995</t>
  </si>
  <si>
    <t>16 789</t>
  </si>
  <si>
    <t>16 239</t>
  </si>
  <si>
    <t>17 264</t>
  </si>
  <si>
    <t>Space</t>
  </si>
  <si>
    <t>11 880</t>
  </si>
  <si>
    <t>11 814</t>
  </si>
  <si>
    <t>12 605</t>
  </si>
  <si>
    <t>12 479</t>
  </si>
  <si>
    <t>Total revenue</t>
  </si>
  <si>
    <t>Revenue by region:</t>
  </si>
  <si>
    <t>United States</t>
  </si>
  <si>
    <t>48 605</t>
  </si>
  <si>
    <t>49 053</t>
  </si>
  <si>
    <t>52 528</t>
  </si>
  <si>
    <t>49 927</t>
  </si>
  <si>
    <t>Europe</t>
  </si>
  <si>
    <t>6 760</t>
  </si>
  <si>
    <t>6 267</t>
  </si>
  <si>
    <t>7 716</t>
  </si>
  <si>
    <t>7 011</t>
  </si>
  <si>
    <t>Asia Pacific</t>
  </si>
  <si>
    <t>6 108</t>
  </si>
  <si>
    <t>5 479</t>
  </si>
  <si>
    <t>6 241</t>
  </si>
  <si>
    <t>5 851</t>
  </si>
  <si>
    <t>Middle East</t>
  </si>
  <si>
    <t>4 253</t>
  </si>
  <si>
    <t>3 796</t>
  </si>
  <si>
    <t>3 075</t>
  </si>
  <si>
    <t>3 554</t>
  </si>
  <si>
    <t>Rest of the world</t>
  </si>
  <si>
    <t>1 318</t>
  </si>
  <si>
    <t>1 389</t>
  </si>
  <si>
    <t>1 483</t>
  </si>
  <si>
    <t>1 228</t>
  </si>
  <si>
    <t>Products:</t>
  </si>
  <si>
    <t>Product 1</t>
  </si>
  <si>
    <t>Product 2</t>
  </si>
  <si>
    <t>Product 3</t>
  </si>
  <si>
    <t>Product 4</t>
  </si>
  <si>
    <t>Product 5</t>
  </si>
  <si>
    <t>Notes &amp; Forecasts</t>
  </si>
  <si>
    <t>Revenue Growth</t>
  </si>
  <si>
    <t>Total revenues projected to increase from ~$67B (2023A) to ~$97B (2029E) .</t>
  </si>
  <si>
    <t>Implies a CAGR of ~7.06% (2023–2029)</t>
  </si>
  <si>
    <t>By Segment</t>
  </si>
  <si>
    <r>
      <rPr>
        <b/>
        <sz val="13"/>
        <color rgb="FF000000"/>
        <rFont val="Arial Nova"/>
      </rPr>
      <t>Aeronautics:</t>
    </r>
    <r>
      <rPr>
        <sz val="13"/>
        <color rgb="FF000000"/>
        <rFont val="Arial Nova"/>
      </rPr>
      <t xml:space="preserve"> Designs and produces military aircraft such as the F-35, C-130, and F-16, including maintenance and support services.</t>
    </r>
  </si>
  <si>
    <t>Slow but steady growth; CAGR ~2–3%.</t>
  </si>
  <si>
    <r>
      <t>Missiles &amp; Fire Control (MFC):</t>
    </r>
    <r>
      <rPr>
        <sz val="13"/>
        <color theme="1"/>
        <rFont val="Arial Nova"/>
      </rPr>
      <t xml:space="preserve"> Develops missiles, precision strike systems, air and missile defense, and fire control systems.</t>
    </r>
  </si>
  <si>
    <t>Moderate expansion; CAGR ~3–4%, aligned with missile defense demand.</t>
  </si>
  <si>
    <r>
      <t>Rotary &amp; Mission Systems (RMS):</t>
    </r>
    <r>
      <rPr>
        <sz val="13"/>
        <color theme="1"/>
        <rFont val="Arial Nova"/>
      </rPr>
      <t xml:space="preserve"> Provides helicopters (e.g., Black Hawk), naval systems, radars, sensors, and mission electronics.</t>
    </r>
  </si>
  <si>
    <t>Low single-digit CAGR, reflecting portfolio maturity.</t>
  </si>
  <si>
    <r>
      <t>Space:</t>
    </r>
    <r>
      <rPr>
        <sz val="13"/>
        <color theme="1"/>
        <rFont val="Arial Nova"/>
      </rPr>
      <t xml:space="preserve"> Focuses on satellites, missile defense, and space exploration systems for government and commercial clients.</t>
    </r>
  </si>
  <si>
    <t>Strongest performer; double-digit CAGR driven by space exploration and satellite demand.</t>
  </si>
  <si>
    <t>By Region</t>
  </si>
  <si>
    <t>Assumption:</t>
  </si>
  <si>
    <t xml:space="preserve">Europe, Asia and Middle East will represent a bigger percentage on Lockheeds Martin revenue, while the US will decrease by ~2%. </t>
  </si>
  <si>
    <t>The biggest sectors growth will be MFC and aerospace due to geopolitical tensions.</t>
  </si>
  <si>
    <t>Image source from the ESG Sustainability Report 2024</t>
  </si>
  <si>
    <t>Growth</t>
  </si>
  <si>
    <t>LOCKHEED MARTIN</t>
  </si>
  <si>
    <t>RTX CORP</t>
  </si>
  <si>
    <t>NORTHROP GRUMMAN</t>
  </si>
  <si>
    <t>AEROVIRONMENT IN</t>
  </si>
  <si>
    <t>LEONARDO DRS INC</t>
  </si>
  <si>
    <t>CURTISS-WRIGHT</t>
  </si>
  <si>
    <t>GENERAL DYNAMICS</t>
  </si>
  <si>
    <t>AAR CORP</t>
  </si>
  <si>
    <t>HOWMET AEROSPACE</t>
  </si>
  <si>
    <t>KRATOS DEFENSE &amp; SECURITY SOLUTIONS</t>
  </si>
  <si>
    <t>HUNTINGTON INGAL</t>
  </si>
  <si>
    <t>BOEING CO/THE</t>
  </si>
  <si>
    <t>TEXTRON INC</t>
  </si>
  <si>
    <t>L3HARRIS TECHNOL</t>
  </si>
  <si>
    <t>BAE SYSTEMS -ADR</t>
  </si>
  <si>
    <t>Revenue (LTM)</t>
  </si>
  <si>
    <t>Revenue (3-yr CAGR)</t>
  </si>
  <si>
    <t>Gross profit (LTM)</t>
  </si>
  <si>
    <t>EBIT (LTM)</t>
  </si>
  <si>
    <t>EBITDA (LTM)</t>
  </si>
  <si>
    <t>FCF (LTM)</t>
  </si>
  <si>
    <t>Margins</t>
  </si>
  <si>
    <t>KRATOS DEFENSE &amp;</t>
  </si>
  <si>
    <t>Gross margin</t>
  </si>
  <si>
    <t>EBIT margin</t>
  </si>
  <si>
    <t>EBITDA margin</t>
  </si>
  <si>
    <t>Net margin</t>
  </si>
  <si>
    <t>SG&amp;A margin</t>
  </si>
  <si>
    <t>R&amp;D margin</t>
  </si>
  <si>
    <t>Returns</t>
  </si>
  <si>
    <t>ROIC</t>
  </si>
  <si>
    <t>CROIC</t>
  </si>
  <si>
    <t>ROCE</t>
  </si>
  <si>
    <t>RONA</t>
  </si>
  <si>
    <t>ROE</t>
  </si>
  <si>
    <t>ROA</t>
  </si>
  <si>
    <t>Efficiency</t>
  </si>
  <si>
    <t>Asset turnover</t>
  </si>
  <si>
    <t>Net operating asset turnover</t>
  </si>
  <si>
    <t>Fixed asset turnover</t>
  </si>
  <si>
    <r>
      <t xml:space="preserve">Revenue per employee </t>
    </r>
    <r>
      <rPr>
        <i/>
        <sz val="7"/>
        <color theme="1"/>
        <rFont val="Arial Nova"/>
        <family val="2"/>
      </rPr>
      <t>thsnd of USD</t>
    </r>
  </si>
  <si>
    <r>
      <t xml:space="preserve">EBIT per employee </t>
    </r>
    <r>
      <rPr>
        <i/>
        <sz val="7"/>
        <color theme="1"/>
        <rFont val="Arial Nova"/>
        <family val="2"/>
      </rPr>
      <t>thsnd of USD</t>
    </r>
  </si>
  <si>
    <t>Working Capital</t>
  </si>
  <si>
    <t>DSO</t>
  </si>
  <si>
    <t>DIO</t>
  </si>
  <si>
    <t>DPO</t>
  </si>
  <si>
    <t>CCC</t>
  </si>
  <si>
    <t>Working capital intensity</t>
  </si>
  <si>
    <t>Cash conversion ratio</t>
  </si>
  <si>
    <t>CFO margin</t>
  </si>
  <si>
    <t>Leverage &amp; Coverage</t>
  </si>
  <si>
    <t>Net debt / EBITDA</t>
  </si>
  <si>
    <t>Net debt / FCF</t>
  </si>
  <si>
    <t>Interest coverage</t>
  </si>
  <si>
    <t>Debt / capital</t>
  </si>
  <si>
    <t>Short term debt / total debt</t>
  </si>
  <si>
    <t>Liquidity</t>
  </si>
  <si>
    <t>Current ratio</t>
  </si>
  <si>
    <t>Quick ratio</t>
  </si>
  <si>
    <t>Cash ratio</t>
  </si>
  <si>
    <t>Cash Deployment</t>
  </si>
  <si>
    <t>Capex intensity</t>
  </si>
  <si>
    <t>Capex / depreciation</t>
  </si>
  <si>
    <t>R&amp;D capitalization rate</t>
  </si>
  <si>
    <t>R&amp;D capitalization test</t>
  </si>
  <si>
    <t>Dividend payout</t>
  </si>
  <si>
    <t>FCF payout</t>
  </si>
  <si>
    <t>Buybacks as % CFO</t>
  </si>
  <si>
    <t>Earnings Quality</t>
  </si>
  <si>
    <t>Cash/earnings conversion</t>
  </si>
  <si>
    <t>FCF / net income</t>
  </si>
  <si>
    <t>Per Share &amp; Dilution</t>
  </si>
  <si>
    <t>Diluted share count YoY</t>
  </si>
  <si>
    <t>SBC / revenue</t>
  </si>
  <si>
    <t>SBC / CFO</t>
  </si>
  <si>
    <r>
      <t xml:space="preserve">EPS </t>
    </r>
    <r>
      <rPr>
        <i/>
        <sz val="7"/>
        <color theme="1"/>
        <rFont val="Arial Nova"/>
        <family val="2"/>
      </rPr>
      <t>in USD</t>
    </r>
  </si>
  <si>
    <t>Current</t>
  </si>
  <si>
    <t>% of</t>
  </si>
  <si>
    <t>Enterprise Value /</t>
  </si>
  <si>
    <t>LTM</t>
  </si>
  <si>
    <t>Net</t>
  </si>
  <si>
    <t>Price /</t>
  </si>
  <si>
    <t>LT</t>
  </si>
  <si>
    <t>Share</t>
  </si>
  <si>
    <t>52-week</t>
  </si>
  <si>
    <t>Equity</t>
  </si>
  <si>
    <t>Enterprise</t>
  </si>
  <si>
    <t>2025E</t>
  </si>
  <si>
    <t>2026E</t>
  </si>
  <si>
    <t>EBITDA</t>
  </si>
  <si>
    <t>Debt /</t>
  </si>
  <si>
    <t>EPS</t>
  </si>
  <si>
    <t>Price</t>
  </si>
  <si>
    <t>High</t>
  </si>
  <si>
    <t>Sales</t>
  </si>
  <si>
    <t>EBIT</t>
  </si>
  <si>
    <t>Margin</t>
  </si>
  <si>
    <t>LMT US Equity</t>
  </si>
  <si>
    <t>LMT US</t>
  </si>
  <si>
    <t>USD 499,36</t>
  </si>
  <si>
    <t>Tier I: Aerospace &amp; Defense Primes</t>
  </si>
  <si>
    <t>RTX US</t>
  </si>
  <si>
    <t>USD 158.19</t>
  </si>
  <si>
    <t>NOC US</t>
  </si>
  <si>
    <t>USD 573.75</t>
  </si>
  <si>
    <t>BA US</t>
  </si>
  <si>
    <t>USD 215.66</t>
  </si>
  <si>
    <t>LHX US</t>
  </si>
  <si>
    <t>USD 282.73</t>
  </si>
  <si>
    <t>GD US</t>
  </si>
  <si>
    <t>USD 324.57</t>
  </si>
  <si>
    <t>Mean</t>
  </si>
  <si>
    <t>Median</t>
  </si>
  <si>
    <t>Tier II: Naval &amp; Systems</t>
  </si>
  <si>
    <t>DRS US</t>
  </si>
  <si>
    <t>USD 42.58</t>
  </si>
  <si>
    <t>BAESY US</t>
  </si>
  <si>
    <t>USD 106.64</t>
  </si>
  <si>
    <t>HWM US</t>
  </si>
  <si>
    <t>USD 191.84</t>
  </si>
  <si>
    <t>TXT US</t>
  </si>
  <si>
    <t>USD 83.92</t>
  </si>
  <si>
    <t>HII US</t>
  </si>
  <si>
    <t>USD 274.69</t>
  </si>
  <si>
    <t>Tier III: Specialised</t>
  </si>
  <si>
    <t>KTOS US</t>
  </si>
  <si>
    <t>USD 80.65</t>
  </si>
  <si>
    <t>AIR US</t>
  </si>
  <si>
    <t>USD 75.93</t>
  </si>
  <si>
    <t>AVAV US</t>
  </si>
  <si>
    <t>USD 283.43</t>
  </si>
  <si>
    <t>CW US</t>
  </si>
  <si>
    <t>USD 512.8</t>
  </si>
  <si>
    <t>Overall</t>
  </si>
  <si>
    <t>Low</t>
  </si>
  <si>
    <t>Rolling WACC</t>
  </si>
  <si>
    <t>Equity Risk Premium</t>
  </si>
  <si>
    <t>Weights</t>
  </si>
  <si>
    <t>ERP</t>
  </si>
  <si>
    <t>Equity:</t>
  </si>
  <si>
    <r>
      <t>Market Cap</t>
    </r>
    <r>
      <rPr>
        <sz val="9"/>
        <color rgb="FF000000"/>
        <rFont val="Arial Nova"/>
        <family val="2"/>
      </rPr>
      <t xml:space="preserve"> </t>
    </r>
    <r>
      <rPr>
        <i/>
        <sz val="9"/>
        <color rgb="FF000000"/>
        <rFont val="Arial Nova"/>
        <family val="2"/>
      </rPr>
      <t>(in billions)</t>
    </r>
  </si>
  <si>
    <t>% of Equity</t>
  </si>
  <si>
    <t>Risk-Free Rate</t>
  </si>
  <si>
    <t>Unlevered Beta</t>
  </si>
  <si>
    <t>Ke (Cost of Equity)</t>
  </si>
  <si>
    <t>Preferred Equity:</t>
  </si>
  <si>
    <t>ROIC vs WACC</t>
  </si>
  <si>
    <t>Market Capitalization</t>
  </si>
  <si>
    <t>% of Preferred Equity</t>
  </si>
  <si>
    <t>Preferred Dividends</t>
  </si>
  <si>
    <t>Kp (Cost of Preferred Equity)</t>
  </si>
  <si>
    <t>Debt:</t>
  </si>
  <si>
    <r>
      <t>Debt</t>
    </r>
    <r>
      <rPr>
        <i/>
        <sz val="9"/>
        <color rgb="FF000000"/>
        <rFont val="Arial Nova"/>
        <family val="2"/>
      </rPr>
      <t xml:space="preserve"> (in millions)</t>
    </r>
  </si>
  <si>
    <t>% of Debt</t>
  </si>
  <si>
    <t>Debt Spread</t>
  </si>
  <si>
    <t>Cost of Debt</t>
  </si>
  <si>
    <t>Tax Rate</t>
  </si>
  <si>
    <t>Kd (After-Tax Cost of Debt)</t>
  </si>
  <si>
    <t>Total</t>
  </si>
  <si>
    <t>Country/Conglomerate/... Risk Premium</t>
  </si>
  <si>
    <t>WACC</t>
  </si>
  <si>
    <t>NOPAT</t>
  </si>
  <si>
    <t>Total Payout</t>
  </si>
  <si>
    <t>Book Value of Equity</t>
  </si>
  <si>
    <t>Invested Capital</t>
  </si>
  <si>
    <t xml:space="preserve">, </t>
  </si>
  <si>
    <t>Market Assumptions</t>
  </si>
  <si>
    <t>The US will be representing ~71% of the total revenue by 2029. Europe, Middle east and Asia pacific will became a higher percentage of the revenue of LMT</t>
  </si>
  <si>
    <t xml:space="preserve">The industry is expected to grow due to geopolitical tensions spiking </t>
  </si>
  <si>
    <t>Revenue</t>
  </si>
  <si>
    <t>Operating Assumptions</t>
  </si>
  <si>
    <t>Income Statement</t>
  </si>
  <si>
    <t>CAGR</t>
  </si>
  <si>
    <t>% of growth</t>
  </si>
  <si>
    <t>Cost of Goods &amp; Services</t>
  </si>
  <si>
    <t>% of sales</t>
  </si>
  <si>
    <t>COGS Depreciation &amp; Amortization</t>
  </si>
  <si>
    <t>% of cost of goods &amp; services</t>
  </si>
  <si>
    <t>Gross Profit</t>
  </si>
  <si>
    <t>SG&amp;A (Selling, General &amp; Administrative)</t>
  </si>
  <si>
    <t>R&amp;D (Research &amp; Development)</t>
  </si>
  <si>
    <t>% of gross profit</t>
  </si>
  <si>
    <t>D&amp;A (Depreciation &amp; Amortization)</t>
  </si>
  <si>
    <t>% of net pp&amp;e and intangibles excl. Goodwill</t>
  </si>
  <si>
    <t>Depreciation</t>
  </si>
  <si>
    <t>% of net pp&amp;e</t>
  </si>
  <si>
    <t>Amortization</t>
  </si>
  <si>
    <t>% of intangibles excl. goodwill</t>
  </si>
  <si>
    <t>Other Operating (Income) Expenses</t>
  </si>
  <si>
    <t>EBIT (Operating Income)</t>
  </si>
  <si>
    <t>Basic Weighted Average Shares</t>
  </si>
  <si>
    <t xml:space="preserve">2% annual net reduction </t>
  </si>
  <si>
    <t>Diluted Weighted Average Shares</t>
  </si>
  <si>
    <t>~0.5% for diluted shares</t>
  </si>
  <si>
    <t>Balance Sheet</t>
  </si>
  <si>
    <t>Q1 22</t>
  </si>
  <si>
    <t>Q2 22</t>
  </si>
  <si>
    <t>Q3 22</t>
  </si>
  <si>
    <t>Q4 22</t>
  </si>
  <si>
    <t>FY 22</t>
  </si>
  <si>
    <t>Q1 23</t>
  </si>
  <si>
    <t xml:space="preserve">Q2 23 </t>
  </si>
  <si>
    <t>Q3 23</t>
  </si>
  <si>
    <t>Q4 23</t>
  </si>
  <si>
    <t>FY 23</t>
  </si>
  <si>
    <t>Q1 24</t>
  </si>
  <si>
    <t xml:space="preserve">Q2 24 </t>
  </si>
  <si>
    <t>Q3 24</t>
  </si>
  <si>
    <t>Q4 24</t>
  </si>
  <si>
    <t>FY 24</t>
  </si>
  <si>
    <t>Q1 25</t>
  </si>
  <si>
    <t>Q2 25</t>
  </si>
  <si>
    <t>Q3 25</t>
  </si>
  <si>
    <t>Q4 25</t>
  </si>
  <si>
    <t>FY 25</t>
  </si>
  <si>
    <t>Q1 26</t>
  </si>
  <si>
    <t>Q2 26</t>
  </si>
  <si>
    <t>Q3 26</t>
  </si>
  <si>
    <t>Q4 26</t>
  </si>
  <si>
    <t>FY 26</t>
  </si>
  <si>
    <t>FY 27</t>
  </si>
  <si>
    <t>FY 28</t>
  </si>
  <si>
    <t>FY 29</t>
  </si>
  <si>
    <t>Accounts Receivable</t>
  </si>
  <si>
    <t>days sales outstanding</t>
  </si>
  <si>
    <t>Inventory</t>
  </si>
  <si>
    <t>Europe (11%)</t>
  </si>
  <si>
    <t>days inventory held</t>
  </si>
  <si>
    <t>United States (73%)</t>
  </si>
  <si>
    <t xml:space="preserve">Aeronautics </t>
  </si>
  <si>
    <t>Prepaid expenses and Other Current Assets</t>
  </si>
  <si>
    <t xml:space="preserve">MFC </t>
  </si>
  <si>
    <t>Asia - Pacific (9%)</t>
  </si>
  <si>
    <t>Net PP&amp;E (Property, Plant and Equipment)</t>
  </si>
  <si>
    <t>Middle East (5%)</t>
  </si>
  <si>
    <t>capex allocation rate</t>
  </si>
  <si>
    <t>Rest of the world (2%)</t>
  </si>
  <si>
    <t>Intangibles</t>
  </si>
  <si>
    <t>r&amp;d capitalization rate</t>
  </si>
  <si>
    <t>Accounts Payable</t>
  </si>
  <si>
    <t>days payable outstanding</t>
  </si>
  <si>
    <t>Accrued Expenses and Other Current Liabilities</t>
  </si>
  <si>
    <t>% of sg&amp;a</t>
  </si>
  <si>
    <t>Cash Flow Statement</t>
  </si>
  <si>
    <t>Stock-Based Compensation Expense</t>
  </si>
  <si>
    <t>implied equity value (p/s multiple)</t>
  </si>
  <si>
    <t>implied share price (for dilution)</t>
  </si>
  <si>
    <t>sbc dilution (shares issued)</t>
  </si>
  <si>
    <t>Changes in Net Working Capital</t>
  </si>
  <si>
    <t>% of change in sales</t>
  </si>
  <si>
    <t>Capital Expenditures</t>
  </si>
  <si>
    <t>Proceeds from Asset Disposals</t>
  </si>
  <si>
    <t>% of capex</t>
  </si>
  <si>
    <t>Dividends</t>
  </si>
  <si>
    <t>% of NOPAT</t>
  </si>
  <si>
    <t>Repurchase of Stock</t>
  </si>
  <si>
    <t>Free Cash Flow to Firm</t>
  </si>
  <si>
    <t>NOPAT (Net Operating Profit After Taxes)</t>
  </si>
  <si>
    <t>Stock-Based Compensation</t>
  </si>
  <si>
    <t>Net CapEx</t>
  </si>
  <si>
    <t>FCFF (Free Cash Flow to Firm)</t>
  </si>
  <si>
    <t>Valuation Summary</t>
  </si>
  <si>
    <t>Discounted Cash Flows (DCF)</t>
  </si>
  <si>
    <t>Discount Period</t>
  </si>
  <si>
    <t>Mid-Quarter/Year Convention Discount Period</t>
  </si>
  <si>
    <t>Rolling WACC (Weighted Average Cost of Capital)</t>
  </si>
  <si>
    <t>Cumulative Discount Factor</t>
  </si>
  <si>
    <t>Present Value of FCFF</t>
  </si>
  <si>
    <t>Present Value of FCFF for the Remainder of the Year</t>
  </si>
  <si>
    <t>Terminal Value</t>
  </si>
  <si>
    <t>Preferred Method:</t>
  </si>
  <si>
    <t>Revenue Exit</t>
  </si>
  <si>
    <t>EBITDA Exit Multiple</t>
  </si>
  <si>
    <t>Revenue Exit Multiple</t>
  </si>
  <si>
    <t>Gordon's Growth Model</t>
  </si>
  <si>
    <t>Current EV/EBITDA</t>
  </si>
  <si>
    <t>Current EV/Sales</t>
  </si>
  <si>
    <t>Current Growth Rate</t>
  </si>
  <si>
    <t>Exit EV/EBITDA</t>
  </si>
  <si>
    <t>Exit EV/Sales</t>
  </si>
  <si>
    <t>Terminal Growth Rate</t>
  </si>
  <si>
    <t>PV of Terminal Value</t>
  </si>
  <si>
    <t>Implied Enterprise Value</t>
  </si>
  <si>
    <t>(-) Net Debt</t>
  </si>
  <si>
    <t>(-) Preferred Stock Market Cap</t>
  </si>
  <si>
    <t>(-) Non-controlling Interest</t>
  </si>
  <si>
    <t>Implied Equity Value</t>
  </si>
  <si>
    <t>Shares Outstanding</t>
  </si>
  <si>
    <t>Implied Stock Price</t>
  </si>
  <si>
    <t>Current Stock Price</t>
  </si>
  <si>
    <t>Upside (Downside)</t>
  </si>
  <si>
    <t>Key Assumptions</t>
  </si>
  <si>
    <t>Entry</t>
  </si>
  <si>
    <t>Capital Structure</t>
  </si>
  <si>
    <t>Interest</t>
  </si>
  <si>
    <t>Weight</t>
  </si>
  <si>
    <t>Amount</t>
  </si>
  <si>
    <t>LTM EBITDA</t>
  </si>
  <si>
    <t>Revolver</t>
  </si>
  <si>
    <t>Entry Multiple</t>
  </si>
  <si>
    <t>Bank Loan</t>
  </si>
  <si>
    <t>Enterprise Value</t>
  </si>
  <si>
    <t>Senior Notes</t>
  </si>
  <si>
    <t>Existing Net Debt</t>
  </si>
  <si>
    <t>Equity Value</t>
  </si>
  <si>
    <t>IRR (For reference)</t>
  </si>
  <si>
    <t>MOIC</t>
  </si>
  <si>
    <t>Fees &amp; Expenses</t>
  </si>
  <si>
    <t>IRR</t>
  </si>
  <si>
    <t>Exit</t>
  </si>
  <si>
    <t>Exit Multiple</t>
  </si>
  <si>
    <t>Sources &amp; Uses</t>
  </si>
  <si>
    <t>Sources</t>
  </si>
  <si>
    <t>Uses</t>
  </si>
  <si>
    <t>xEBITDA</t>
  </si>
  <si>
    <t>% Capital</t>
  </si>
  <si>
    <t>Debt Refinancing</t>
  </si>
  <si>
    <t>Equity Payments</t>
  </si>
  <si>
    <t>Sponsor Equity</t>
  </si>
  <si>
    <t>Total Sources</t>
  </si>
  <si>
    <t>Total Uses</t>
  </si>
  <si>
    <t>Net Interest (Income) Expense</t>
  </si>
  <si>
    <t>Pre-tax income</t>
  </si>
  <si>
    <t>Income tax expenses (benefits)</t>
  </si>
  <si>
    <t>% tax rate</t>
  </si>
  <si>
    <t>Net income</t>
  </si>
  <si>
    <t>Intangibles excl. Goodwill</t>
  </si>
  <si>
    <t>r&amp;d conversion rate</t>
  </si>
  <si>
    <t>Cash Flow</t>
  </si>
  <si>
    <t>Levered Free Cash Flow</t>
  </si>
  <si>
    <t>Net Income</t>
  </si>
  <si>
    <t>Changes in NWC</t>
  </si>
  <si>
    <t>Leveraged Free Cash Flow</t>
  </si>
  <si>
    <t>Debt Schedule</t>
  </si>
  <si>
    <t>Beginning Balance</t>
  </si>
  <si>
    <t>Paydown</t>
  </si>
  <si>
    <t>Ending Balance</t>
  </si>
  <si>
    <t>Senior Note</t>
  </si>
  <si>
    <t>Total Debt</t>
  </si>
  <si>
    <t>LTM EBITDA at Exit</t>
  </si>
  <si>
    <t>Net Debt</t>
  </si>
  <si>
    <t>Sponsor Equity Value</t>
  </si>
  <si>
    <t>Sponsor Equity at Entry</t>
  </si>
  <si>
    <t>Monte-Carlo Simulations</t>
  </si>
  <si>
    <t>Tornado Chart – Effect on Price Target</t>
  </si>
  <si>
    <t>Reference Price Target</t>
  </si>
  <si>
    <t>Base Price Target</t>
  </si>
  <si>
    <t>Reference</t>
  </si>
  <si>
    <t>Gordon PT</t>
  </si>
  <si>
    <t>Base Gordon PT</t>
  </si>
  <si>
    <t>EBITDA PT</t>
  </si>
  <si>
    <t>Base EBITDA PT</t>
  </si>
  <si>
    <t>Revenue PT</t>
  </si>
  <si>
    <t>Base Revenue PT</t>
  </si>
  <si>
    <t>Δ</t>
  </si>
  <si>
    <t>Δ Applied</t>
  </si>
  <si>
    <t>PT Low</t>
  </si>
  <si>
    <t>PT High</t>
  </si>
  <si>
    <t>Δ Low</t>
  </si>
  <si>
    <t>Δ High</t>
  </si>
  <si>
    <t>Max</t>
  </si>
  <si>
    <t>Capex Intensity</t>
  </si>
  <si>
    <t>COGS Margin</t>
  </si>
  <si>
    <t>SG&amp;A Margin</t>
  </si>
  <si>
    <t>Terminal g</t>
  </si>
  <si>
    <t>EBITDA Exit</t>
  </si>
  <si>
    <t>Revenue:</t>
  </si>
  <si>
    <t>26 987</t>
  </si>
  <si>
    <t>27 474</t>
  </si>
  <si>
    <t>11 317</t>
  </si>
  <si>
    <t>16 148</t>
  </si>
  <si>
    <t>11 532</t>
  </si>
  <si>
    <t>Cost of revenue:</t>
  </si>
  <si>
    <t>Cost of goods and services</t>
  </si>
  <si>
    <t>Depreciation &amp; amortization</t>
  </si>
  <si>
    <t>Total cost of revenue</t>
  </si>
  <si>
    <t>Operating expenses:</t>
  </si>
  <si>
    <t>Selling, general and administrative</t>
  </si>
  <si>
    <t>Depreciation and amortization</t>
  </si>
  <si>
    <t>Research and development</t>
  </si>
  <si>
    <t>Other operating expenses</t>
  </si>
  <si>
    <t>Total operating expenses</t>
  </si>
  <si>
    <t>Other operating income</t>
  </si>
  <si>
    <t>Operating income</t>
  </si>
  <si>
    <t>Non-operating (income) loss:</t>
  </si>
  <si>
    <t>Interest expense</t>
  </si>
  <si>
    <t>Interest income</t>
  </si>
  <si>
    <t>Net interest (income) expense</t>
  </si>
  <si>
    <t>Foreign exchange (gains) losses</t>
  </si>
  <si>
    <t>Other non-operating (income) expenses</t>
  </si>
  <si>
    <t>Total non-operating expenses</t>
  </si>
  <si>
    <t>Tax &amp; net income:</t>
  </si>
  <si>
    <t>Net extraordinary losses (gains)</t>
  </si>
  <si>
    <t>Net income including minority interest</t>
  </si>
  <si>
    <t>Attribution:</t>
  </si>
  <si>
    <t>Preferred dividends</t>
  </si>
  <si>
    <t>Income attributable to non-controlling interests</t>
  </si>
  <si>
    <t>Net income attributable to common shareholders</t>
  </si>
  <si>
    <t>Earnings per share:</t>
  </si>
  <si>
    <t>EPS basic</t>
  </si>
  <si>
    <t>EPS diluted</t>
  </si>
  <si>
    <t>Shares used in computing earnings per share:</t>
  </si>
  <si>
    <t>Basic weighted average shares</t>
  </si>
  <si>
    <t>Diluted weighted average shares</t>
  </si>
  <si>
    <t>Additional Items</t>
  </si>
  <si>
    <t>Depreciation (from opex)</t>
  </si>
  <si>
    <t>Amortization (form opex)</t>
  </si>
  <si>
    <t>Assets</t>
  </si>
  <si>
    <t>Current assets:</t>
  </si>
  <si>
    <t>Cash &amp; cash equivalents &amp; short-term investments</t>
  </si>
  <si>
    <t>Cash &amp; cash equivalents</t>
  </si>
  <si>
    <t>Short-term investments</t>
  </si>
  <si>
    <t>Accounts receivable</t>
  </si>
  <si>
    <t>Prepaid expenses and other current assets</t>
  </si>
  <si>
    <t>Total current assets</t>
  </si>
  <si>
    <t>Non-current assets:</t>
  </si>
  <si>
    <t>Gross PP&amp;E (Property, Plant and Equipment)</t>
  </si>
  <si>
    <t>Accumulated Depreciation</t>
  </si>
  <si>
    <t>Goodwill</t>
  </si>
  <si>
    <t>Other Non-Current Assets</t>
  </si>
  <si>
    <t>Total Non-Current Assets</t>
  </si>
  <si>
    <t>Total Assets</t>
  </si>
  <si>
    <t>Liabilities &amp; shareholders' equity</t>
  </si>
  <si>
    <t>Current Liabilities:</t>
  </si>
  <si>
    <t>Accounts payable</t>
  </si>
  <si>
    <t>Short-term borrowings</t>
  </si>
  <si>
    <t>Current portion of lease liabilities</t>
  </si>
  <si>
    <t>Accrued expenses and other current liabilities</t>
  </si>
  <si>
    <t>Total current liabilities</t>
  </si>
  <si>
    <t>Non-current liabilities:</t>
  </si>
  <si>
    <t>Long-term borrowings</t>
  </si>
  <si>
    <t>Long-term operating lease liabilities</t>
  </si>
  <si>
    <t>Other non-current liabilities</t>
  </si>
  <si>
    <t>Total non-current liabilities</t>
  </si>
  <si>
    <t>Total liabilities</t>
  </si>
  <si>
    <t>Shareholders' equity:</t>
  </si>
  <si>
    <t>Common equity</t>
  </si>
  <si>
    <t>Preferred equity</t>
  </si>
  <si>
    <t>Non-controlling interest</t>
  </si>
  <si>
    <t>Total equity</t>
  </si>
  <si>
    <t>Total liabilities and shareholders' equity</t>
  </si>
  <si>
    <t>Capitalized R&amp;D</t>
  </si>
  <si>
    <t>Cash and cash equivalents, beginning balances</t>
  </si>
  <si>
    <t>Operating activities:</t>
  </si>
  <si>
    <t>Adjustments to reconcile to cash from operations:</t>
  </si>
  <si>
    <t>Stock-based compensation expense</t>
  </si>
  <si>
    <t>Changes in working capital:</t>
  </si>
  <si>
    <t>Inventories</t>
  </si>
  <si>
    <t>Cash provided by operating activities</t>
  </si>
  <si>
    <t>Investing activities:</t>
  </si>
  <si>
    <t>Purchase of fixed assets and intangibles</t>
  </si>
  <si>
    <t>Disposal of fixed assets and intangibles</t>
  </si>
  <si>
    <t>Acquisitions</t>
  </si>
  <si>
    <t>Divestitures</t>
  </si>
  <si>
    <t>Joint Ventures</t>
  </si>
  <si>
    <t>Increase in long-term investments</t>
  </si>
  <si>
    <t>Decrease in long-term investments</t>
  </si>
  <si>
    <t>Other investing inflows/(outflows)</t>
  </si>
  <si>
    <t>Cash provided by/(used in) investing activities</t>
  </si>
  <si>
    <t>Financing activities:</t>
  </si>
  <si>
    <t>Payment of dividends</t>
  </si>
  <si>
    <t>Issuance (repurchase) of common shares</t>
  </si>
  <si>
    <t>Cash from (repayment) of short-term debt</t>
  </si>
  <si>
    <t>Proceeds from issuance of long-term debt</t>
  </si>
  <si>
    <t>Repayments of long-term debt</t>
  </si>
  <si>
    <t>Other financing inflows/(outflows)</t>
  </si>
  <si>
    <t>Cash provided by/(used in) financing activities</t>
  </si>
  <si>
    <t>Effects of foreign exchange</t>
  </si>
  <si>
    <t>Increase/(Decrease) in cash and cash equivalents</t>
  </si>
  <si>
    <t>Cash and cash equivalents, ending balances</t>
  </si>
  <si>
    <t>Income Statement – Sum of the Quarters = FY</t>
  </si>
  <si>
    <t>6 369</t>
  </si>
  <si>
    <t>6 503</t>
  </si>
  <si>
    <t>6 680</t>
  </si>
  <si>
    <t>6 714</t>
  </si>
  <si>
    <t>6 387</t>
  </si>
  <si>
    <t>6 666</t>
  </si>
  <si>
    <t>6 568</t>
  </si>
  <si>
    <t>7 127</t>
  </si>
  <si>
    <t>6 401</t>
  </si>
  <si>
    <t>5 862</t>
  </si>
  <si>
    <t>7 089</t>
  </si>
  <si>
    <t>7 635</t>
  </si>
  <si>
    <t>6 269</t>
  </si>
  <si>
    <t>6 875</t>
  </si>
  <si>
    <t>6 717</t>
  </si>
  <si>
    <t>7 613</t>
  </si>
  <si>
    <t>6 845</t>
  </si>
  <si>
    <t>7 277</t>
  </si>
  <si>
    <t>6 487</t>
  </si>
  <si>
    <t>8 009</t>
  </si>
  <si>
    <t> </t>
  </si>
  <si>
    <t>7 057</t>
  </si>
  <si>
    <t>7 420</t>
  </si>
  <si>
    <t>2 619</t>
  </si>
  <si>
    <t>2 801</t>
  </si>
  <si>
    <t>2 971</t>
  </si>
  <si>
    <t>2 866</t>
  </si>
  <si>
    <t>2 749</t>
  </si>
  <si>
    <t>2 944</t>
  </si>
  <si>
    <t>2 781</t>
  </si>
  <si>
    <t>3 219</t>
  </si>
  <si>
    <t>2 452</t>
  </si>
  <si>
    <t>2 747</t>
  </si>
  <si>
    <t>2 831</t>
  </si>
  <si>
    <t>3 287</t>
  </si>
  <si>
    <t>2 388</t>
  </si>
  <si>
    <t>2 755</t>
  </si>
  <si>
    <t>2 939</t>
  </si>
  <si>
    <t>3 171</t>
  </si>
  <si>
    <t>2 993</t>
  </si>
  <si>
    <t>3 102</t>
  </si>
  <si>
    <t>3 175</t>
  </si>
  <si>
    <t>3 412</t>
  </si>
  <si>
    <t>3 373</t>
  </si>
  <si>
    <t>3 433</t>
  </si>
  <si>
    <t>3 746</t>
  </si>
  <si>
    <t>4 039</t>
  </si>
  <si>
    <t>3 998</t>
  </si>
  <si>
    <t>4 212</t>
  </si>
  <si>
    <t>4 107</t>
  </si>
  <si>
    <t>4 242</t>
  </si>
  <si>
    <t>3 980</t>
  </si>
  <si>
    <t>4 460</t>
  </si>
  <si>
    <t>3 552</t>
  </si>
  <si>
    <t>4 012</t>
  </si>
  <si>
    <t>3 781</t>
  </si>
  <si>
    <t>4 803</t>
  </si>
  <si>
    <t>3 510</t>
  </si>
  <si>
    <t>3 897</t>
  </si>
  <si>
    <t>4 121</t>
  </si>
  <si>
    <t>4 711</t>
  </si>
  <si>
    <t>4 088</t>
  </si>
  <si>
    <t>4 548</t>
  </si>
  <si>
    <t>4 367</t>
  </si>
  <si>
    <t>4 261</t>
  </si>
  <si>
    <t>4 328</t>
  </si>
  <si>
    <t>3 995</t>
  </si>
  <si>
    <t>2 917</t>
  </si>
  <si>
    <t>2 877</t>
  </si>
  <si>
    <t>2 846</t>
  </si>
  <si>
    <t>3 240</t>
  </si>
  <si>
    <t>3 015</t>
  </si>
  <si>
    <t>3 177</t>
  </si>
  <si>
    <t>2 699</t>
  </si>
  <si>
    <t>2 923</t>
  </si>
  <si>
    <t>2 559</t>
  </si>
  <si>
    <t>2 825</t>
  </si>
  <si>
    <t>2 882</t>
  </si>
  <si>
    <t>3 266</t>
  </si>
  <si>
    <t>2 959</t>
  </si>
  <si>
    <t>3 166</t>
  </si>
  <si>
    <t>3 101</t>
  </si>
  <si>
    <t>3 379</t>
  </si>
  <si>
    <t>3 269</t>
  </si>
  <si>
    <t>3 195</t>
  </si>
  <si>
    <t>2 940</t>
  </si>
  <si>
    <t>3 205</t>
  </si>
  <si>
    <t>3 307</t>
  </si>
  <si>
    <t>15 651</t>
  </si>
  <si>
    <t>16 220</t>
  </si>
  <si>
    <t>16 495</t>
  </si>
  <si>
    <t>17 032</t>
  </si>
  <si>
    <t>65 398</t>
  </si>
  <si>
    <t>16 258</t>
  </si>
  <si>
    <t>17 029</t>
  </si>
  <si>
    <t>16 028</t>
  </si>
  <si>
    <t>17 729</t>
  </si>
  <si>
    <t>67 044</t>
  </si>
  <si>
    <t>14 964</t>
  </si>
  <si>
    <t>15 446</t>
  </si>
  <si>
    <t>16 583</t>
  </si>
  <si>
    <t>18 991</t>
  </si>
  <si>
    <t>65 984</t>
  </si>
  <si>
    <t>15 126</t>
  </si>
  <si>
    <t>16 693</t>
  </si>
  <si>
    <t>16 878</t>
  </si>
  <si>
    <t>18 874</t>
  </si>
  <si>
    <t>67 571</t>
  </si>
  <si>
    <t>17 195</t>
  </si>
  <si>
    <t>18 122</t>
  </si>
  <si>
    <t>17 104</t>
  </si>
  <si>
    <t>18 622</t>
  </si>
  <si>
    <t>71 043</t>
  </si>
  <si>
    <t>17 963</t>
  </si>
  <si>
    <t>18 155</t>
  </si>
  <si>
    <t>25 000</t>
  </si>
  <si>
    <t>86 118</t>
  </si>
  <si>
    <t>22 000</t>
  </si>
  <si>
    <t>88 000</t>
  </si>
  <si>
    <t>90 000</t>
  </si>
  <si>
    <t>87 000</t>
  </si>
  <si>
    <t>105 000</t>
  </si>
  <si>
    <t>13 560</t>
  </si>
  <si>
    <t>14 007</t>
  </si>
  <si>
    <t>14 359</t>
  </si>
  <si>
    <t>14 818</t>
  </si>
  <si>
    <t>56 744</t>
  </si>
  <si>
    <t>14 072</t>
  </si>
  <si>
    <t>14 878</t>
  </si>
  <si>
    <t>13 726</t>
  </si>
  <si>
    <t>15 307</t>
  </si>
  <si>
    <t>57 983</t>
  </si>
  <si>
    <t>13 055</t>
  </si>
  <si>
    <t>13 490</t>
  </si>
  <si>
    <t>14 463</t>
  </si>
  <si>
    <t>16 689</t>
  </si>
  <si>
    <t>57 697</t>
  </si>
  <si>
    <t>13 080</t>
  </si>
  <si>
    <t>14 603</t>
  </si>
  <si>
    <t>14 830</t>
  </si>
  <si>
    <t>16 579</t>
  </si>
  <si>
    <t>59 092</t>
  </si>
  <si>
    <t>15 202</t>
  </si>
  <si>
    <t>15 905</t>
  </si>
  <si>
    <t>14 987</t>
  </si>
  <si>
    <t>17 932</t>
  </si>
  <si>
    <t>64 113</t>
  </si>
  <si>
    <t>15 640</t>
  </si>
  <si>
    <t>17 355</t>
  </si>
  <si>
    <t>32 995</t>
  </si>
  <si>
    <t>53 123</t>
  </si>
  <si>
    <t>2 091</t>
  </si>
  <si>
    <t>2 213</t>
  </si>
  <si>
    <t>2 136</t>
  </si>
  <si>
    <t>2 214</t>
  </si>
  <si>
    <t>8 654</t>
  </si>
  <si>
    <t>2 186</t>
  </si>
  <si>
    <t>2 151</t>
  </si>
  <si>
    <t>2 302</t>
  </si>
  <si>
    <t>2 422</t>
  </si>
  <si>
    <t>9 061</t>
  </si>
  <si>
    <t>1 909</t>
  </si>
  <si>
    <t>1 956</t>
  </si>
  <si>
    <t>2 120</t>
  </si>
  <si>
    <t>8 287</t>
  </si>
  <si>
    <t>2 046</t>
  </si>
  <si>
    <t>2 090</t>
  </si>
  <si>
    <t>2 048</t>
  </si>
  <si>
    <t>2 295</t>
  </si>
  <si>
    <t>8 479</t>
  </si>
  <si>
    <t>1 993</t>
  </si>
  <si>
    <t>2 217</t>
  </si>
  <si>
    <t>2 117</t>
  </si>
  <si>
    <t>6 930</t>
  </si>
  <si>
    <t>2 323</t>
  </si>
  <si>
    <t>-1 866</t>
  </si>
  <si>
    <t>-2 183</t>
  </si>
  <si>
    <t>-2 058</t>
  </si>
  <si>
    <t>1 548</t>
  </si>
  <si>
    <t>1 540</t>
  </si>
  <si>
    <t>-1 794</t>
  </si>
  <si>
    <t>2 591</t>
  </si>
  <si>
    <t>2 683</t>
  </si>
  <si>
    <t>2 616</t>
  </si>
  <si>
    <t>2 785</t>
  </si>
  <si>
    <t>10 520</t>
  </si>
  <si>
    <t>2 707</t>
  </si>
  <si>
    <t>2 681</t>
  </si>
  <si>
    <t>4 485</t>
  </si>
  <si>
    <t>2 946</t>
  </si>
  <si>
    <t>11 119</t>
  </si>
  <si>
    <t>1 507</t>
  </si>
  <si>
    <t>1 538</t>
  </si>
  <si>
    <t>2 589</t>
  </si>
  <si>
    <t>1 865</t>
  </si>
  <si>
    <t>6 739</t>
  </si>
  <si>
    <t>2 551</t>
  </si>
  <si>
    <t>2 042</t>
  </si>
  <si>
    <t>1 970</t>
  </si>
  <si>
    <t>6 939</t>
  </si>
  <si>
    <t>2 417</t>
  </si>
  <si>
    <t>2 554</t>
  </si>
  <si>
    <t>2 546</t>
  </si>
  <si>
    <t>1 102</t>
  </si>
  <si>
    <t>8 724</t>
  </si>
  <si>
    <t>2 751</t>
  </si>
  <si>
    <t>1 127</t>
  </si>
  <si>
    <t>53 878</t>
  </si>
  <si>
    <t>1 036</t>
  </si>
  <si>
    <t>1 572</t>
  </si>
  <si>
    <t>1 269</t>
  </si>
  <si>
    <t>1 315</t>
  </si>
  <si>
    <t>1 131</t>
  </si>
  <si>
    <t>1 713</t>
  </si>
  <si>
    <t>1 838</t>
  </si>
  <si>
    <t>1 456</t>
  </si>
  <si>
    <t>1 754</t>
  </si>
  <si>
    <t>2 499</t>
  </si>
  <si>
    <t>2 614</t>
  </si>
  <si>
    <t>2 579</t>
  </si>
  <si>
    <t>10 111</t>
  </si>
  <si>
    <t>2 736</t>
  </si>
  <si>
    <t>2 659</t>
  </si>
  <si>
    <t>2 772</t>
  </si>
  <si>
    <t>2 896</t>
  </si>
  <si>
    <t>9 281</t>
  </si>
  <si>
    <t>1 635</t>
  </si>
  <si>
    <t>2 555</t>
  </si>
  <si>
    <t>1 762</t>
  </si>
  <si>
    <t>4 985</t>
  </si>
  <si>
    <t>2 409</t>
  </si>
  <si>
    <t>2 456</t>
  </si>
  <si>
    <t>2 395</t>
  </si>
  <si>
    <t>1 822</t>
  </si>
  <si>
    <t>6 482</t>
  </si>
  <si>
    <t>2 223</t>
  </si>
  <si>
    <t>2 346</t>
  </si>
  <si>
    <t>2 338</t>
  </si>
  <si>
    <t>7 909</t>
  </si>
  <si>
    <t>2 415</t>
  </si>
  <si>
    <t>1 741</t>
  </si>
  <si>
    <t>1 837</t>
  </si>
  <si>
    <t>1 238</t>
  </si>
  <si>
    <t>2 088</t>
  </si>
  <si>
    <t>2 166</t>
  </si>
  <si>
    <t>2 184</t>
  </si>
  <si>
    <t>8 370</t>
  </si>
  <si>
    <t>2 251</t>
  </si>
  <si>
    <t>2 201</t>
  </si>
  <si>
    <t>2 228</t>
  </si>
  <si>
    <t>2 373</t>
  </si>
  <si>
    <t>7 444</t>
  </si>
  <si>
    <t>1 396</t>
  </si>
  <si>
    <t>2 138</t>
  </si>
  <si>
    <t>1 574</t>
  </si>
  <si>
    <t>4 376</t>
  </si>
  <si>
    <t>2 017</t>
  </si>
  <si>
    <t>2 036</t>
  </si>
  <si>
    <t>2 033</t>
  </si>
  <si>
    <t>1 611</t>
  </si>
  <si>
    <t>5 634</t>
  </si>
  <si>
    <t>1 852</t>
  </si>
  <si>
    <t>1 704</t>
  </si>
  <si>
    <t>1 953</t>
  </si>
  <si>
    <t>6 671</t>
  </si>
  <si>
    <t>2 011</t>
  </si>
  <si>
    <t>7,42</t>
  </si>
  <si>
    <t>7,63</t>
  </si>
  <si>
    <t>7,76</t>
  </si>
  <si>
    <t>7,81</t>
  </si>
  <si>
    <t>29,89</t>
  </si>
  <si>
    <t>8,07</t>
  </si>
  <si>
    <t>7,94</t>
  </si>
  <si>
    <t>8,68</t>
  </si>
  <si>
    <t>26,93</t>
  </si>
  <si>
    <t>5,20</t>
  </si>
  <si>
    <t>0,40</t>
  </si>
  <si>
    <t>8,09</t>
  </si>
  <si>
    <t>6,12</t>
  </si>
  <si>
    <t>16,59</t>
  </si>
  <si>
    <t>7,92</t>
  </si>
  <si>
    <t>8,05</t>
  </si>
  <si>
    <t>8,16</t>
  </si>
  <si>
    <t>6,57</t>
  </si>
  <si>
    <t>22,51</t>
  </si>
  <si>
    <t>7,69</t>
  </si>
  <si>
    <t>7,13</t>
  </si>
  <si>
    <t>8,22</t>
  </si>
  <si>
    <t>3,56</t>
  </si>
  <si>
    <t>27,99</t>
  </si>
  <si>
    <t>8,58</t>
  </si>
  <si>
    <t>2,75</t>
  </si>
  <si>
    <t>7,39</t>
  </si>
  <si>
    <t>7,61</t>
  </si>
  <si>
    <t>7,72</t>
  </si>
  <si>
    <t>7,77</t>
  </si>
  <si>
    <t>29,77</t>
  </si>
  <si>
    <t>8,04</t>
  </si>
  <si>
    <t>7,91</t>
  </si>
  <si>
    <t>8,03</t>
  </si>
  <si>
    <t>8,65</t>
  </si>
  <si>
    <t>26,83</t>
  </si>
  <si>
    <t>5,19</t>
  </si>
  <si>
    <t>6,09</t>
  </si>
  <si>
    <t>16,53</t>
  </si>
  <si>
    <t>7,89</t>
  </si>
  <si>
    <t>8,13</t>
  </si>
  <si>
    <t>6,54</t>
  </si>
  <si>
    <t>22,43</t>
  </si>
  <si>
    <t>7,66</t>
  </si>
  <si>
    <t>7,11</t>
  </si>
  <si>
    <t>8,18</t>
  </si>
  <si>
    <t>3,54</t>
  </si>
  <si>
    <t>27,89</t>
  </si>
  <si>
    <t>8,55</t>
  </si>
  <si>
    <t>2,74</t>
  </si>
  <si>
    <t>281,3</t>
  </si>
  <si>
    <t>279,8</t>
  </si>
  <si>
    <t>279,3</t>
  </si>
  <si>
    <t>279,7</t>
  </si>
  <si>
    <t>280,0</t>
  </si>
  <si>
    <t>279,0</t>
  </si>
  <si>
    <t>277,4</t>
  </si>
  <si>
    <t>276,2</t>
  </si>
  <si>
    <t>273,3</t>
  </si>
  <si>
    <t>276,4</t>
  </si>
  <si>
    <t>268,3</t>
  </si>
  <si>
    <t>265,8</t>
  </si>
  <si>
    <t>264,1</t>
  </si>
  <si>
    <t>257,1</t>
  </si>
  <si>
    <t>263,7</t>
  </si>
  <si>
    <t>254,7</t>
  </si>
  <si>
    <t>252,8</t>
  </si>
  <si>
    <t>249,3</t>
  </si>
  <si>
    <t>245,2</t>
  </si>
  <si>
    <t>250,3</t>
  </si>
  <si>
    <t>240,7</t>
  </si>
  <si>
    <t>238,9</t>
  </si>
  <si>
    <t>237,5</t>
  </si>
  <si>
    <t>236,0</t>
  </si>
  <si>
    <t>238,3</t>
  </si>
  <si>
    <t>234,4</t>
  </si>
  <si>
    <t>233,5</t>
  </si>
  <si>
    <t>282,6</t>
  </si>
  <si>
    <t>280,8</t>
  </si>
  <si>
    <t>280,6</t>
  </si>
  <si>
    <t>281,0</t>
  </si>
  <si>
    <t>281,2</t>
  </si>
  <si>
    <t>278,4</t>
  </si>
  <si>
    <t>277,3</t>
  </si>
  <si>
    <t>274,3</t>
  </si>
  <si>
    <t>269,2</t>
  </si>
  <si>
    <t>266,7</t>
  </si>
  <si>
    <t>265,1</t>
  </si>
  <si>
    <t>258,3</t>
  </si>
  <si>
    <t>264,6</t>
  </si>
  <si>
    <t>255,7</t>
  </si>
  <si>
    <t>253,6</t>
  </si>
  <si>
    <t>250,2</t>
  </si>
  <si>
    <t>246,1</t>
  </si>
  <si>
    <t>251,2</t>
  </si>
  <si>
    <t>241,6</t>
  </si>
  <si>
    <t>239,6</t>
  </si>
  <si>
    <t>238,6</t>
  </si>
  <si>
    <t>237,0</t>
  </si>
  <si>
    <t>239,2</t>
  </si>
  <si>
    <t>235,3</t>
  </si>
  <si>
    <t>234,3</t>
  </si>
  <si>
    <t>234,6</t>
  </si>
  <si>
    <t>Income Statement - Metrics</t>
  </si>
  <si>
    <t>Balance Sheet - Metrics</t>
  </si>
  <si>
    <t>Cash Flow – Sum of the Quarters = FY</t>
  </si>
  <si>
    <t>Share-based compensation expense</t>
  </si>
  <si>
    <t>Cash Flow Statement – Metrics</t>
  </si>
  <si>
    <t>Stock Data</t>
  </si>
  <si>
    <t>Bridge</t>
  </si>
  <si>
    <t>Valuation</t>
  </si>
  <si>
    <t>Indexes</t>
  </si>
  <si>
    <t>CURRENCY</t>
  </si>
  <si>
    <t>USD</t>
  </si>
  <si>
    <t>(+) Ordinary Stock Market Capitalization</t>
  </si>
  <si>
    <t>EV / Sales</t>
  </si>
  <si>
    <t>NASDAQ 100 STOCK INDX</t>
  </si>
  <si>
    <t>NDX Index</t>
  </si>
  <si>
    <t>FORMAT</t>
  </si>
  <si>
    <t>MLN</t>
  </si>
  <si>
    <t>(+) Preferred Stock Market Capitalization</t>
  </si>
  <si>
    <t>EV / EBITDA</t>
  </si>
  <si>
    <t>STXE TM Aro&amp;Def (EUR) Pr</t>
  </si>
  <si>
    <t>SXPARO Index</t>
  </si>
  <si>
    <t>TICKER</t>
  </si>
  <si>
    <t>(+) Non-controlling Interest</t>
  </si>
  <si>
    <t>P / E</t>
  </si>
  <si>
    <t>PREFERRED TICKER</t>
  </si>
  <si>
    <t>(+) Total Debt</t>
  </si>
  <si>
    <t>P / Sales</t>
  </si>
  <si>
    <t>Peers Formatting</t>
  </si>
  <si>
    <t>Year-end</t>
  </si>
  <si>
    <t>(-) Cash &amp; Cash Equivalents &amp; Short-term Investments</t>
  </si>
  <si>
    <t>Quarter-end</t>
  </si>
  <si>
    <t>Update to Next Year and Next Quarter End</t>
  </si>
  <si>
    <t>Tier I Peers</t>
  </si>
  <si>
    <t>Tier II Peers</t>
  </si>
  <si>
    <t>Tier III Peers</t>
  </si>
  <si>
    <t>RTX US Equity</t>
  </si>
  <si>
    <t>GD US Equity</t>
  </si>
  <si>
    <t>BA US Equity</t>
  </si>
  <si>
    <t>NOC US Equity</t>
  </si>
  <si>
    <t>HWM US Equity</t>
  </si>
  <si>
    <t>TXT US Equity</t>
  </si>
  <si>
    <t>AVAV US Equity</t>
  </si>
  <si>
    <t>KTOS US Equity</t>
  </si>
  <si>
    <t>LHX US Equity</t>
  </si>
  <si>
    <t>DRS US Equity</t>
  </si>
  <si>
    <t>HII US Equity</t>
  </si>
  <si>
    <t>BAESY US Equity</t>
  </si>
  <si>
    <t>CW US Equity</t>
  </si>
  <si>
    <t>AIR US Equity</t>
  </si>
  <si>
    <t>LOCKHEED MARTIN vs NDX Index</t>
  </si>
  <si>
    <t>Stock Returns vs Peers</t>
  </si>
  <si>
    <t>Out. Shares</t>
  </si>
  <si>
    <t>Market Cap</t>
  </si>
  <si>
    <t>Price / Sales</t>
  </si>
  <si>
    <t>Operating Income</t>
  </si>
  <si>
    <t>Capex</t>
  </si>
  <si>
    <t>Debt to Equity</t>
  </si>
  <si>
    <t>Operating Margin</t>
  </si>
  <si>
    <t>ROIC-to-WACC</t>
  </si>
  <si>
    <t>Capex-to-Sales</t>
  </si>
  <si>
    <t>Environmental Data</t>
  </si>
  <si>
    <t>GHG_SCOPE_1</t>
  </si>
  <si>
    <t>#N/A</t>
  </si>
  <si>
    <t>ENERGY_CONSUMPTION</t>
  </si>
  <si>
    <t>WATER_CONSMPTN</t>
  </si>
  <si>
    <t>Total Waste</t>
  </si>
  <si>
    <t>TOTAL_WASTE</t>
  </si>
  <si>
    <t>SALES_REV_TURN</t>
  </si>
  <si>
    <t>vs Index</t>
  </si>
  <si>
    <t>Stock Price</t>
  </si>
  <si>
    <t>Stock Returns</t>
  </si>
  <si>
    <t>Volume</t>
  </si>
  <si>
    <t>EQY_BETA</t>
  </si>
  <si>
    <t>RSI_PX_52WEEK</t>
  </si>
  <si>
    <t>MOV_AVG_100D</t>
  </si>
  <si>
    <t>VOLUME_AVG_30D</t>
  </si>
  <si>
    <t>EQY_SH_OUT</t>
  </si>
  <si>
    <t>EQY_FREE_FLOAT_PCT</t>
  </si>
  <si>
    <t>SI_PERCENT_EQUITY_FLOAT</t>
  </si>
  <si>
    <t>%Held by Insiders</t>
  </si>
  <si>
    <t>PCT_INSIDER_SHARES_OUT</t>
  </si>
  <si>
    <t>PCT_FLT_SHARES_INSTITUTIONS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</si>
</sst>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_-* #,##0.00\ &quot;€&quot;_-;\-* #,##0.00\ &quot;€&quot;_-;_-* &quot;-&quot;??\ &quot;€&quot;_-;_-@_-"/>
    <numFmt numFmtId="165" formatCode="0&quot;A&quot;"/>
    <numFmt numFmtId="166" formatCode="0&quot;E&quot;"/>
    <numFmt numFmtId="167" formatCode="_-* #,##0.00\ _€_-;\-* #,##0.00\ _€_-;_-* &quot;-&quot;??\ _€_-;_-@_-"/>
    <numFmt numFmtId="168" formatCode="0.0%"/>
    <numFmt numFmtId="169" formatCode="_(* #,##0_);_(* \(#,##0\);_(* &quot;-&quot;??_);_(@_)"/>
    <numFmt numFmtId="170" formatCode="0.0"/>
    <numFmt numFmtId="171" formatCode="_-[$₩-412]* #,##0_-;\-[$₩-412]* #,##0_-;_-[$₩-412]* &quot;-&quot;_-;_-@_-"/>
    <numFmt numFmtId="172" formatCode="0.0&quot;x&quot;"/>
    <numFmt numFmtId="173" formatCode="0.0\x"/>
    <numFmt numFmtId="174" formatCode="m/d/yy;@"/>
    <numFmt numFmtId="175" formatCode="#,##0.0_);\(#,##0.0\)"/>
    <numFmt numFmtId="176" formatCode="#,#00"/>
    <numFmt numFmtId="177" formatCode="#,#00.00"/>
    <numFmt numFmtId="178" formatCode="yyyy\-mm\-dd;@"/>
    <numFmt numFmtId="179" formatCode="#,##0_ ;\-#,##0\ "/>
    <numFmt numFmtId="180" formatCode="[$$-409]#,##0"/>
    <numFmt numFmtId="181" formatCode="[$$-540A]#,##0"/>
  </numFmts>
  <fonts count="106">
    <font>
      <sz val="11"/>
      <color theme="1"/>
      <name val="Arial"/>
      <family val="2"/>
    </font>
    <font>
      <sz val="11"/>
      <color theme="1"/>
      <name val="Calibri"/>
      <family val="2"/>
      <scheme val="minor"/>
    </font>
    <font>
      <sz val="11"/>
      <color theme="1"/>
      <name val="Arial"/>
      <family val="2"/>
    </font>
    <font>
      <b/>
      <sz val="11"/>
      <color theme="1"/>
      <name val="Arial"/>
      <family val="2"/>
    </font>
    <font>
      <b/>
      <sz val="11"/>
      <color theme="0"/>
      <name val="Arial"/>
      <family val="2"/>
    </font>
    <font>
      <sz val="11"/>
      <color theme="0"/>
      <name val="Arial"/>
      <family val="2"/>
    </font>
    <font>
      <sz val="11"/>
      <color rgb="FF000000"/>
      <name val="Arial"/>
      <family val="2"/>
    </font>
    <font>
      <u/>
      <sz val="11"/>
      <color theme="10"/>
      <name val="Arial"/>
      <family val="2"/>
    </font>
    <font>
      <sz val="11"/>
      <name val="Arial"/>
      <family val="2"/>
    </font>
    <font>
      <sz val="10"/>
      <name val="Arial"/>
      <family val="2"/>
    </font>
    <font>
      <i/>
      <sz val="11"/>
      <color theme="1"/>
      <name val="Arial"/>
      <family val="2"/>
    </font>
    <font>
      <sz val="9"/>
      <color indexed="81"/>
      <name val="Tahoma"/>
      <family val="2"/>
    </font>
    <font>
      <sz val="11"/>
      <color rgb="FF00B050"/>
      <name val="Arial"/>
      <family val="2"/>
    </font>
    <font>
      <b/>
      <sz val="10"/>
      <color indexed="9"/>
      <name val="Arial"/>
      <family val="2"/>
    </font>
    <font>
      <b/>
      <sz val="11"/>
      <color indexed="9"/>
      <name val="Calibri"/>
      <family val="2"/>
    </font>
    <font>
      <sz val="12"/>
      <color theme="1"/>
      <name val="Arial Nova"/>
      <family val="2"/>
    </font>
    <font>
      <b/>
      <sz val="12"/>
      <color theme="0"/>
      <name val="Arial Nova"/>
      <family val="2"/>
    </font>
    <font>
      <sz val="12"/>
      <color theme="0"/>
      <name val="Arial Nova"/>
      <family val="2"/>
    </font>
    <font>
      <sz val="12"/>
      <name val="Arial Nova"/>
      <family val="2"/>
    </font>
    <font>
      <sz val="12"/>
      <color rgb="FF0070C0"/>
      <name val="Arial Nova"/>
      <family val="2"/>
    </font>
    <font>
      <sz val="12"/>
      <color rgb="FF000000"/>
      <name val="Arial Nova"/>
      <family val="2"/>
    </font>
    <font>
      <sz val="12"/>
      <color rgb="FF00B050"/>
      <name val="Arial Nova"/>
      <family val="2"/>
    </font>
    <font>
      <i/>
      <sz val="11"/>
      <color theme="0" tint="-0.499984740745262"/>
      <name val="Arial Nova"/>
      <family val="2"/>
    </font>
    <font>
      <i/>
      <sz val="11"/>
      <color rgb="FF0070C0"/>
      <name val="Arial Nova"/>
      <family val="2"/>
    </font>
    <font>
      <i/>
      <sz val="11"/>
      <name val="Arial Nova"/>
      <family val="2"/>
    </font>
    <font>
      <i/>
      <sz val="11"/>
      <color theme="1"/>
      <name val="Arial Nova"/>
      <family val="2"/>
    </font>
    <font>
      <sz val="11"/>
      <color rgb="FF0070C0"/>
      <name val="Arial Nova"/>
      <family val="2"/>
    </font>
    <font>
      <sz val="11"/>
      <name val="Arial Nova"/>
      <family val="2"/>
    </font>
    <font>
      <sz val="11"/>
      <color theme="1"/>
      <name val="Arial Nova"/>
      <family val="2"/>
    </font>
    <font>
      <i/>
      <sz val="12"/>
      <name val="Arial Nova"/>
      <family val="2"/>
    </font>
    <font>
      <i/>
      <sz val="12"/>
      <color rgb="FF00B050"/>
      <name val="Arial Nova"/>
      <family val="2"/>
    </font>
    <font>
      <i/>
      <sz val="11"/>
      <color theme="1" tint="0.499984740745262"/>
      <name val="Arial Nova"/>
      <family val="2"/>
    </font>
    <font>
      <i/>
      <sz val="12"/>
      <color theme="1"/>
      <name val="Arial Nova"/>
      <family val="2"/>
    </font>
    <font>
      <b/>
      <sz val="12"/>
      <color theme="1"/>
      <name val="Arial Nova"/>
      <family val="2"/>
    </font>
    <font>
      <b/>
      <sz val="11"/>
      <color theme="1"/>
      <name val="Arial Nova"/>
      <family val="2"/>
    </font>
    <font>
      <sz val="11"/>
      <color theme="0"/>
      <name val="Arial Nova"/>
      <family val="2"/>
    </font>
    <font>
      <i/>
      <sz val="12"/>
      <color theme="0" tint="-0.249977111117893"/>
      <name val="Arial Nova"/>
      <family val="2"/>
    </font>
    <font>
      <b/>
      <sz val="11"/>
      <color theme="0"/>
      <name val="Arial Nova"/>
      <family val="2"/>
    </font>
    <font>
      <sz val="11"/>
      <color rgb="FF7030A0"/>
      <name val="Arial Nova"/>
      <family val="2"/>
    </font>
    <font>
      <sz val="11"/>
      <color rgb="FF00B050"/>
      <name val="Arial Nova"/>
      <family val="2"/>
    </font>
    <font>
      <b/>
      <u/>
      <sz val="12"/>
      <color theme="0"/>
      <name val="Arial Nova"/>
      <family val="2"/>
    </font>
    <font>
      <sz val="11"/>
      <color theme="0" tint="-0.14999847407452621"/>
      <name val="Arial Nova"/>
      <family val="2"/>
    </font>
    <font>
      <i/>
      <sz val="11"/>
      <color theme="0"/>
      <name val="Arial Nova"/>
      <family val="2"/>
    </font>
    <font>
      <b/>
      <sz val="11"/>
      <name val="Arial Nova"/>
      <family val="2"/>
    </font>
    <font>
      <i/>
      <sz val="10"/>
      <color theme="0" tint="-0.499984740745262"/>
      <name val="Arial Nova"/>
      <family val="2"/>
    </font>
    <font>
      <i/>
      <sz val="12"/>
      <color theme="0"/>
      <name val="Arial Nova"/>
      <family val="2"/>
    </font>
    <font>
      <b/>
      <sz val="12"/>
      <color rgb="FF7B1314"/>
      <name val="Arial Nova"/>
      <family val="2"/>
    </font>
    <font>
      <sz val="12"/>
      <color rgb="FF7B1314"/>
      <name val="Arial Nova"/>
      <family val="2"/>
    </font>
    <font>
      <b/>
      <u/>
      <sz val="12"/>
      <color rgb="FF7B1314"/>
      <name val="Arial Nova"/>
      <family val="2"/>
    </font>
    <font>
      <sz val="11"/>
      <color rgb="FF7030A0"/>
      <name val="Arial"/>
      <family val="2"/>
    </font>
    <font>
      <i/>
      <sz val="11"/>
      <color theme="0" tint="-0.249977111117893"/>
      <name val="Arial Nova"/>
      <family val="2"/>
    </font>
    <font>
      <sz val="11"/>
      <color rgb="FF7B1314"/>
      <name val="Arial Nova"/>
      <family val="2"/>
    </font>
    <font>
      <sz val="11"/>
      <color rgb="FFFF0000"/>
      <name val="Arial Nova"/>
      <family val="2"/>
    </font>
    <font>
      <sz val="11"/>
      <color theme="4"/>
      <name val="Arial Nova"/>
      <family val="2"/>
    </font>
    <font>
      <b/>
      <i/>
      <sz val="11"/>
      <color theme="1"/>
      <name val="Arial"/>
      <family val="2"/>
    </font>
    <font>
      <b/>
      <u/>
      <sz val="11"/>
      <color theme="0"/>
      <name val="Arial"/>
      <family val="2"/>
    </font>
    <font>
      <b/>
      <u/>
      <sz val="11"/>
      <name val="Arial Nova"/>
      <family val="2"/>
    </font>
    <font>
      <sz val="11"/>
      <color theme="0" tint="-0.499984740745262"/>
      <name val="Arial Nova"/>
      <family val="2"/>
    </font>
    <font>
      <sz val="11"/>
      <color rgb="FF000000"/>
      <name val="Arial Nova"/>
      <family val="2"/>
    </font>
    <font>
      <sz val="11"/>
      <color theme="1" tint="0.499984740745262"/>
      <name val="Arial Nova"/>
      <family val="2"/>
    </font>
    <font>
      <i/>
      <sz val="11"/>
      <color rgb="FF000000"/>
      <name val="Arial Nova"/>
      <family val="2"/>
    </font>
    <font>
      <b/>
      <i/>
      <sz val="11"/>
      <color theme="0" tint="-0.249977111117893"/>
      <name val="Arial Nova"/>
      <family val="2"/>
    </font>
    <font>
      <b/>
      <i/>
      <sz val="11"/>
      <color theme="1"/>
      <name val="Arial Nova"/>
      <family val="2"/>
    </font>
    <font>
      <u/>
      <sz val="11"/>
      <color theme="10"/>
      <name val="Arial Nova"/>
      <family val="2"/>
    </font>
    <font>
      <b/>
      <sz val="14"/>
      <color rgb="FF000000"/>
      <name val="Arial Nova"/>
      <family val="2"/>
    </font>
    <font>
      <b/>
      <sz val="8"/>
      <color theme="0" tint="-0.499984740745262"/>
      <name val="Arial Nova"/>
      <family val="2"/>
    </font>
    <font>
      <sz val="11"/>
      <color theme="2" tint="-0.499984740745262"/>
      <name val="Arial Nova"/>
      <family val="2"/>
    </font>
    <font>
      <b/>
      <sz val="8"/>
      <color theme="0"/>
      <name val="Arial Nova"/>
      <family val="2"/>
    </font>
    <font>
      <b/>
      <sz val="11"/>
      <name val="Arial"/>
      <family val="2"/>
    </font>
    <font>
      <b/>
      <u/>
      <sz val="11"/>
      <name val="Arial"/>
      <family val="2"/>
    </font>
    <font>
      <sz val="11"/>
      <color theme="1"/>
      <name val="Arial Nova"/>
      <family val="2"/>
    </font>
    <font>
      <b/>
      <sz val="11"/>
      <color theme="0"/>
      <name val="Arial Nova"/>
      <family val="2"/>
    </font>
    <font>
      <sz val="11"/>
      <color theme="0"/>
      <name val="Arial Nova"/>
      <family val="2"/>
    </font>
    <font>
      <sz val="9"/>
      <color rgb="FF000000"/>
      <name val="Arial Nova"/>
      <family val="2"/>
    </font>
    <font>
      <i/>
      <sz val="9"/>
      <color rgb="FF000000"/>
      <name val="Arial Nova"/>
      <family val="2"/>
    </font>
    <font>
      <b/>
      <sz val="8"/>
      <color theme="1"/>
      <name val="Arial Nova"/>
      <family val="2"/>
    </font>
    <font>
      <sz val="8"/>
      <color theme="1"/>
      <name val="Arial Nova"/>
      <family val="2"/>
    </font>
    <font>
      <b/>
      <sz val="8"/>
      <color rgb="FF7B1314"/>
      <name val="Arial Nova"/>
      <family val="2"/>
    </font>
    <font>
      <sz val="8"/>
      <color theme="0" tint="-0.499984740745262"/>
      <name val="Arial Nova"/>
      <family val="2"/>
    </font>
    <font>
      <i/>
      <sz val="7"/>
      <color theme="1"/>
      <name val="Arial Nova"/>
      <family val="2"/>
    </font>
    <font>
      <i/>
      <sz val="11"/>
      <color rgb="FF7B1314"/>
      <name val="Arial Nova"/>
      <family val="2"/>
    </font>
    <font>
      <i/>
      <sz val="11"/>
      <color theme="4"/>
      <name val="Arial Nova"/>
      <family val="2"/>
    </font>
    <font>
      <sz val="11"/>
      <color theme="0" tint="-0.249977111117893"/>
      <name val="Arial Nova"/>
      <family val="2"/>
    </font>
    <font>
      <b/>
      <sz val="11"/>
      <color rgb="FF7B1314"/>
      <name val="Arial Nova"/>
      <family val="2"/>
    </font>
    <font>
      <b/>
      <sz val="11"/>
      <color rgb="FF000000"/>
      <name val="Arial Nova"/>
      <family val="2"/>
    </font>
    <font>
      <i/>
      <sz val="10"/>
      <color rgb="FF808080"/>
      <name val="Arial Nova"/>
      <family val="2"/>
    </font>
    <font>
      <sz val="11"/>
      <color rgb="FF242424"/>
      <name val="Aptos Narrow"/>
      <family val="2"/>
    </font>
    <font>
      <sz val="11"/>
      <color rgb="FF242424"/>
      <name val="Arial Nova"/>
      <family val="2"/>
    </font>
    <font>
      <sz val="14"/>
      <color theme="1"/>
      <name val="Arial Nova"/>
      <family val="2"/>
    </font>
    <font>
      <b/>
      <sz val="14"/>
      <color theme="1"/>
      <name val="Arial Nova"/>
      <family val="2"/>
    </font>
    <font>
      <sz val="11"/>
      <color rgb="FF000000"/>
      <name val="Arial"/>
    </font>
    <font>
      <i/>
      <sz val="12"/>
      <color theme="1"/>
      <name val="Arial"/>
      <family val="2"/>
    </font>
    <font>
      <sz val="9"/>
      <color indexed="81"/>
      <name val="Tahoma"/>
      <charset val="1"/>
    </font>
    <font>
      <b/>
      <sz val="9"/>
      <color indexed="81"/>
      <name val="Tahoma"/>
      <charset val="1"/>
    </font>
    <font>
      <b/>
      <sz val="9"/>
      <color indexed="81"/>
      <name val="Tahoma"/>
      <family val="2"/>
    </font>
    <font>
      <sz val="11"/>
      <color theme="1"/>
      <name val="Arial Nova"/>
    </font>
    <font>
      <sz val="11"/>
      <name val="Arial Nova"/>
    </font>
    <font>
      <sz val="11"/>
      <color rgb="FF0070C0"/>
      <name val="Arial Nova"/>
    </font>
    <font>
      <b/>
      <sz val="11"/>
      <color theme="1"/>
      <name val="Arial Nova"/>
    </font>
    <font>
      <sz val="12"/>
      <color theme="1"/>
      <name val="Arial Nova"/>
    </font>
    <font>
      <sz val="13"/>
      <color theme="1"/>
      <name val="Arial Nova"/>
    </font>
    <font>
      <sz val="13"/>
      <color rgb="FF242424"/>
      <name val="Arial Nova"/>
    </font>
    <font>
      <sz val="13"/>
      <color rgb="FF000000"/>
      <name val="Arial Nova"/>
    </font>
    <font>
      <b/>
      <sz val="13"/>
      <color rgb="FF000000"/>
      <name val="Arial Nova"/>
    </font>
    <font>
      <b/>
      <sz val="13"/>
      <color theme="1"/>
      <name val="Arial Nova"/>
    </font>
    <font>
      <b/>
      <sz val="14"/>
      <color theme="1"/>
      <name val="Arial Nova"/>
    </font>
  </fonts>
  <fills count="21">
    <fill>
      <patternFill patternType="none"/>
    </fill>
    <fill>
      <patternFill patternType="gray125"/>
    </fill>
    <fill>
      <patternFill patternType="solid">
        <fgColor rgb="FF7B1314"/>
        <bgColor indexed="64"/>
      </patternFill>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
      <patternFill patternType="solid">
        <fgColor rgb="FF4F81BD"/>
        <bgColor indexed="64"/>
      </patternFill>
    </fill>
    <fill>
      <patternFill patternType="solid">
        <fgColor rgb="FF92D05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781414"/>
        <bgColor indexed="64"/>
      </patternFill>
    </fill>
    <fill>
      <patternFill patternType="solid">
        <fgColor rgb="FFFFC000"/>
        <bgColor indexed="64"/>
      </patternFill>
    </fill>
    <fill>
      <patternFill patternType="solid">
        <fgColor theme="4" tint="-0.249977111117893"/>
        <bgColor indexed="64"/>
      </patternFill>
    </fill>
    <fill>
      <patternFill patternType="solid">
        <fgColor theme="4"/>
        <bgColor indexed="64"/>
      </patternFill>
    </fill>
    <fill>
      <patternFill patternType="solid">
        <fgColor theme="0" tint="-0.14999847407452621"/>
        <bgColor indexed="64"/>
      </patternFill>
    </fill>
    <fill>
      <patternFill patternType="solid">
        <fgColor rgb="FFF2F2F2"/>
        <bgColor rgb="FF000000"/>
      </patternFill>
    </fill>
    <fill>
      <patternFill patternType="solid">
        <fgColor rgb="FFFFFFFF"/>
        <bgColor rgb="FF000000"/>
      </patternFill>
    </fill>
    <fill>
      <patternFill patternType="solid">
        <fgColor rgb="FF00B050"/>
        <bgColor indexed="64"/>
      </patternFill>
    </fill>
    <fill>
      <patternFill patternType="solid">
        <fgColor theme="0" tint="-0.34998626667073579"/>
        <bgColor indexed="64"/>
      </patternFill>
    </fill>
  </fills>
  <borders count="37">
    <border>
      <left/>
      <right/>
      <top/>
      <bottom/>
      <diagonal/>
    </border>
    <border>
      <left/>
      <right/>
      <top/>
      <bottom style="thin">
        <color indexed="64"/>
      </bottom>
      <diagonal/>
    </border>
    <border>
      <left/>
      <right/>
      <top style="medium">
        <color auto="1"/>
      </top>
      <bottom/>
      <diagonal/>
    </border>
    <border>
      <left/>
      <right style="thin">
        <color indexed="64"/>
      </right>
      <top/>
      <bottom/>
      <diagonal/>
    </border>
    <border>
      <left style="hair">
        <color indexed="64"/>
      </left>
      <right style="hair">
        <color indexed="64"/>
      </right>
      <top style="hair">
        <color indexed="64"/>
      </top>
      <bottom style="hair">
        <color indexed="64"/>
      </bottom>
      <diagonal/>
    </border>
    <border>
      <left/>
      <right style="thin">
        <color rgb="FF000000"/>
      </right>
      <top/>
      <bottom/>
      <diagonal/>
    </border>
    <border>
      <left/>
      <right style="hair">
        <color indexed="64"/>
      </right>
      <top style="hair">
        <color indexed="64"/>
      </top>
      <bottom style="hair">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theme="0"/>
      </bottom>
      <diagonal/>
    </border>
    <border>
      <left/>
      <right/>
      <top/>
      <bottom style="thin">
        <color theme="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hair">
        <color indexed="64"/>
      </left>
      <right/>
      <top style="hair">
        <color indexed="64"/>
      </top>
      <bottom style="hair">
        <color indexed="64"/>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right/>
      <top style="thin">
        <color indexed="64"/>
      </top>
      <bottom style="double">
        <color indexed="64"/>
      </bottom>
      <diagonal/>
    </border>
    <border>
      <left/>
      <right style="hair">
        <color indexed="64"/>
      </right>
      <top/>
      <bottom style="hair">
        <color indexed="64"/>
      </bottom>
      <diagonal/>
    </border>
    <border>
      <left/>
      <right/>
      <top/>
      <bottom style="medium">
        <color indexed="64"/>
      </bottom>
      <diagonal/>
    </border>
    <border>
      <left/>
      <right style="dotted">
        <color indexed="64"/>
      </right>
      <top/>
      <bottom style="thin">
        <color indexed="64"/>
      </bottom>
      <diagonal/>
    </border>
    <border>
      <left/>
      <right style="dotted">
        <color indexed="64"/>
      </right>
      <top/>
      <bottom/>
      <diagonal/>
    </border>
    <border>
      <left/>
      <right style="dotted">
        <color indexed="64"/>
      </right>
      <top style="thin">
        <color indexed="64"/>
      </top>
      <bottom/>
      <diagonal/>
    </border>
    <border>
      <left/>
      <right/>
      <top/>
      <bottom style="double">
        <color indexed="64"/>
      </bottom>
      <diagonal/>
    </border>
    <border>
      <left/>
      <right/>
      <top/>
      <bottom style="thin">
        <color rgb="FF000000"/>
      </bottom>
      <diagonal/>
    </border>
    <border>
      <left/>
      <right style="dotted">
        <color indexed="64"/>
      </right>
      <top/>
      <bottom style="thin">
        <color rgb="FF000000"/>
      </bottom>
      <diagonal/>
    </border>
    <border>
      <left/>
      <right/>
      <top style="thin">
        <color indexed="64"/>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rgb="FF000000"/>
      </bottom>
      <diagonal/>
    </border>
  </borders>
  <cellStyleXfs count="14">
    <xf numFmtId="0" fontId="0" fillId="0" borderId="0"/>
    <xf numFmtId="167" fontId="2" fillId="0" borderId="0" applyFont="0" applyFill="0" applyBorder="0" applyAlignment="0" applyProtection="0"/>
    <xf numFmtId="9" fontId="2" fillId="0" borderId="0" applyFont="0" applyFill="0" applyBorder="0" applyAlignment="0" applyProtection="0"/>
    <xf numFmtId="0" fontId="7" fillId="0" borderId="0" applyNumberFormat="0" applyFill="0" applyBorder="0" applyAlignment="0" applyProtection="0"/>
    <xf numFmtId="9" fontId="9" fillId="0" borderId="0" applyFont="0" applyFill="0" applyBorder="0" applyAlignment="0" applyProtection="0"/>
    <xf numFmtId="0" fontId="9" fillId="0" borderId="0"/>
    <xf numFmtId="0" fontId="9" fillId="0" borderId="0"/>
    <xf numFmtId="9" fontId="1" fillId="0" borderId="0" applyFont="0" applyFill="0" applyBorder="0" applyAlignment="0" applyProtection="0"/>
    <xf numFmtId="0" fontId="1" fillId="0" borderId="0"/>
    <xf numFmtId="164" fontId="2" fillId="0" borderId="0" applyFont="0" applyFill="0" applyBorder="0" applyAlignment="0" applyProtection="0"/>
    <xf numFmtId="0" fontId="1" fillId="0" borderId="0"/>
    <xf numFmtId="0" fontId="13" fillId="6" borderId="8">
      <alignment horizontal="right"/>
    </xf>
    <xf numFmtId="0" fontId="14" fillId="6" borderId="0"/>
    <xf numFmtId="0" fontId="9" fillId="0" borderId="0"/>
  </cellStyleXfs>
  <cellXfs count="903">
    <xf numFmtId="0" fontId="0" fillId="0" borderId="0" xfId="0"/>
    <xf numFmtId="0" fontId="3" fillId="0" borderId="0" xfId="0" applyFont="1"/>
    <xf numFmtId="0" fontId="4" fillId="2" borderId="0" xfId="0" applyFont="1" applyFill="1"/>
    <xf numFmtId="0" fontId="5" fillId="2" borderId="0" xfId="0" applyFont="1" applyFill="1"/>
    <xf numFmtId="0" fontId="8" fillId="0" borderId="0" xfId="0" applyFont="1"/>
    <xf numFmtId="0" fontId="3" fillId="0" borderId="0" xfId="0" applyFont="1" applyAlignment="1">
      <alignment horizontal="left" indent="1"/>
    </xf>
    <xf numFmtId="0" fontId="0" fillId="0" borderId="0" xfId="0" applyAlignment="1">
      <alignment horizontal="left" indent="1"/>
    </xf>
    <xf numFmtId="0" fontId="0" fillId="0" borderId="1" xfId="0" applyBorder="1"/>
    <xf numFmtId="37" fontId="3" fillId="0" borderId="0" xfId="0" applyNumberFormat="1" applyFont="1"/>
    <xf numFmtId="0" fontId="10" fillId="0" borderId="0" xfId="0" applyFont="1" applyAlignment="1">
      <alignment horizontal="left" indent="1"/>
    </xf>
    <xf numFmtId="0" fontId="2" fillId="0" borderId="0" xfId="0" applyFont="1"/>
    <xf numFmtId="3" fontId="2" fillId="0" borderId="0" xfId="0" applyNumberFormat="1" applyFont="1"/>
    <xf numFmtId="0" fontId="4" fillId="0" borderId="0" xfId="0" applyFont="1"/>
    <xf numFmtId="0" fontId="5" fillId="0" borderId="0" xfId="0" applyFont="1"/>
    <xf numFmtId="168" fontId="2" fillId="0" borderId="0" xfId="2" applyNumberFormat="1" applyFont="1"/>
    <xf numFmtId="14" fontId="0" fillId="0" borderId="0" xfId="0" applyNumberFormat="1"/>
    <xf numFmtId="0" fontId="0" fillId="0" borderId="1" xfId="0" applyBorder="1" applyAlignment="1">
      <alignment horizontal="left" indent="1"/>
    </xf>
    <xf numFmtId="0" fontId="15" fillId="0" borderId="0" xfId="0" applyFont="1"/>
    <xf numFmtId="0" fontId="17" fillId="2" borderId="0" xfId="0" applyFont="1" applyFill="1"/>
    <xf numFmtId="0" fontId="17" fillId="0" borderId="0" xfId="0" applyFont="1"/>
    <xf numFmtId="37" fontId="15" fillId="0" borderId="0" xfId="0" applyNumberFormat="1" applyFont="1"/>
    <xf numFmtId="0" fontId="22" fillId="0" borderId="0" xfId="0" applyFont="1"/>
    <xf numFmtId="0" fontId="25" fillId="0" borderId="0" xfId="0" applyFont="1"/>
    <xf numFmtId="0" fontId="28" fillId="0" borderId="0" xfId="0" applyFont="1"/>
    <xf numFmtId="37" fontId="28" fillId="0" borderId="0" xfId="0" applyNumberFormat="1" applyFont="1"/>
    <xf numFmtId="0" fontId="27" fillId="0" borderId="0" xfId="0" applyFont="1"/>
    <xf numFmtId="0" fontId="31" fillId="0" borderId="0" xfId="0" applyFont="1"/>
    <xf numFmtId="0" fontId="32" fillId="0" borderId="0" xfId="0" applyFont="1"/>
    <xf numFmtId="0" fontId="15" fillId="0" borderId="0" xfId="0" applyFont="1" applyAlignment="1">
      <alignment horizontal="left" indent="1"/>
    </xf>
    <xf numFmtId="0" fontId="32" fillId="0" borderId="0" xfId="0" applyFont="1" applyAlignment="1">
      <alignment horizontal="left" indent="1"/>
    </xf>
    <xf numFmtId="0" fontId="36" fillId="0" borderId="0" xfId="0" applyFont="1"/>
    <xf numFmtId="0" fontId="24" fillId="0" borderId="0" xfId="0" applyFont="1" applyAlignment="1">
      <alignment horizontal="left" indent="2"/>
    </xf>
    <xf numFmtId="0" fontId="35" fillId="2" borderId="0" xfId="0" applyFont="1" applyFill="1"/>
    <xf numFmtId="0" fontId="34" fillId="0" borderId="0" xfId="0" applyFont="1"/>
    <xf numFmtId="166" fontId="16" fillId="0" borderId="0" xfId="0" applyNumberFormat="1" applyFont="1"/>
    <xf numFmtId="0" fontId="17" fillId="10" borderId="0" xfId="0" applyFont="1" applyFill="1"/>
    <xf numFmtId="0" fontId="28" fillId="10" borderId="0" xfId="0" applyFont="1" applyFill="1"/>
    <xf numFmtId="0" fontId="37" fillId="2" borderId="0" xfId="0" applyFont="1" applyFill="1" applyAlignment="1">
      <alignment horizontal="right"/>
    </xf>
    <xf numFmtId="0" fontId="0" fillId="10" borderId="0" xfId="0" applyFill="1"/>
    <xf numFmtId="0" fontId="20" fillId="0" borderId="0" xfId="0" applyFont="1" applyAlignment="1">
      <alignment horizontal="left" indent="1"/>
    </xf>
    <xf numFmtId="2" fontId="0" fillId="0" borderId="0" xfId="0" applyNumberFormat="1"/>
    <xf numFmtId="0" fontId="15" fillId="0" borderId="0" xfId="0" applyFont="1" applyProtection="1">
      <protection locked="0"/>
    </xf>
    <xf numFmtId="0" fontId="33" fillId="0" borderId="0" xfId="0" applyFont="1" applyProtection="1">
      <protection locked="0"/>
    </xf>
    <xf numFmtId="0" fontId="17" fillId="0" borderId="0" xfId="0" applyFont="1" applyProtection="1">
      <protection locked="0"/>
    </xf>
    <xf numFmtId="0" fontId="41" fillId="0" borderId="0" xfId="0" applyFont="1" applyProtection="1">
      <protection locked="0"/>
    </xf>
    <xf numFmtId="0" fontId="28" fillId="0" borderId="0" xfId="0" applyFont="1" applyAlignment="1" applyProtection="1">
      <alignment horizontal="left" indent="1"/>
      <protection locked="0"/>
    </xf>
    <xf numFmtId="37" fontId="27" fillId="3" borderId="0" xfId="0" applyNumberFormat="1" applyFont="1" applyFill="1" applyProtection="1">
      <protection locked="0"/>
    </xf>
    <xf numFmtId="37" fontId="27" fillId="0" borderId="0" xfId="1" applyNumberFormat="1" applyFont="1" applyFill="1" applyProtection="1">
      <protection locked="0"/>
    </xf>
    <xf numFmtId="37" fontId="27" fillId="0" borderId="0" xfId="0" applyNumberFormat="1" applyFont="1"/>
    <xf numFmtId="37" fontId="27" fillId="0" borderId="3" xfId="1" applyNumberFormat="1" applyFont="1" applyFill="1" applyBorder="1" applyProtection="1"/>
    <xf numFmtId="37" fontId="39" fillId="3" borderId="0" xfId="0" applyNumberFormat="1" applyFont="1" applyFill="1" applyProtection="1">
      <protection locked="0"/>
    </xf>
    <xf numFmtId="37" fontId="27" fillId="0" borderId="0" xfId="1" applyNumberFormat="1" applyFont="1" applyFill="1" applyProtection="1"/>
    <xf numFmtId="37" fontId="39" fillId="0" borderId="0" xfId="1" applyNumberFormat="1" applyFont="1" applyFill="1" applyProtection="1">
      <protection locked="0"/>
    </xf>
    <xf numFmtId="37" fontId="39" fillId="0" borderId="0" xfId="1" applyNumberFormat="1" applyFont="1" applyFill="1" applyProtection="1"/>
    <xf numFmtId="3" fontId="27" fillId="0" borderId="0" xfId="0" applyNumberFormat="1" applyFont="1" applyProtection="1">
      <protection locked="0"/>
    </xf>
    <xf numFmtId="0" fontId="35" fillId="0" borderId="0" xfId="0" applyFont="1" applyProtection="1">
      <protection locked="0"/>
    </xf>
    <xf numFmtId="0" fontId="28" fillId="0" borderId="0" xfId="0" applyFont="1" applyAlignment="1" applyProtection="1">
      <alignment horizontal="left" indent="3"/>
      <protection locked="0"/>
    </xf>
    <xf numFmtId="37" fontId="27" fillId="0" borderId="0" xfId="1" applyNumberFormat="1" applyFont="1" applyFill="1" applyBorder="1" applyProtection="1">
      <protection locked="0"/>
    </xf>
    <xf numFmtId="37" fontId="39" fillId="0" borderId="0" xfId="1" applyNumberFormat="1" applyFont="1" applyFill="1" applyBorder="1" applyProtection="1">
      <protection locked="0"/>
    </xf>
    <xf numFmtId="0" fontId="28" fillId="0" borderId="0" xfId="0" applyFont="1" applyAlignment="1" applyProtection="1">
      <alignment horizontal="left" indent="5"/>
      <protection locked="0"/>
    </xf>
    <xf numFmtId="37" fontId="27" fillId="3" borderId="0" xfId="2" applyNumberFormat="1" applyFont="1" applyFill="1" applyBorder="1" applyProtection="1">
      <protection locked="0"/>
    </xf>
    <xf numFmtId="37" fontId="27" fillId="0" borderId="9" xfId="2" applyNumberFormat="1" applyFont="1" applyFill="1" applyBorder="1" applyProtection="1">
      <protection locked="0"/>
    </xf>
    <xf numFmtId="37" fontId="39" fillId="3" borderId="0" xfId="2" applyNumberFormat="1" applyFont="1" applyFill="1" applyBorder="1" applyProtection="1">
      <protection locked="0"/>
    </xf>
    <xf numFmtId="37" fontId="39" fillId="0" borderId="9" xfId="2" applyNumberFormat="1" applyFont="1" applyFill="1" applyBorder="1" applyProtection="1">
      <protection locked="0"/>
    </xf>
    <xf numFmtId="0" fontId="34" fillId="0" borderId="0" xfId="0" applyFont="1" applyAlignment="1" applyProtection="1">
      <alignment horizontal="left" indent="1"/>
      <protection locked="0"/>
    </xf>
    <xf numFmtId="0" fontId="28" fillId="0" borderId="0" xfId="0" applyFont="1" applyAlignment="1" applyProtection="1">
      <alignment horizontal="left" indent="2"/>
      <protection locked="0"/>
    </xf>
    <xf numFmtId="37" fontId="27" fillId="0" borderId="0" xfId="0" applyNumberFormat="1" applyFont="1" applyProtection="1">
      <protection locked="0"/>
    </xf>
    <xf numFmtId="37" fontId="27" fillId="4" borderId="0" xfId="1" applyNumberFormat="1" applyFont="1" applyFill="1" applyProtection="1"/>
    <xf numFmtId="37" fontId="39" fillId="0" borderId="0" xfId="0" applyNumberFormat="1" applyFont="1" applyProtection="1">
      <protection locked="0"/>
    </xf>
    <xf numFmtId="37" fontId="39" fillId="4" borderId="0" xfId="1" applyNumberFormat="1" applyFont="1" applyFill="1" applyProtection="1"/>
    <xf numFmtId="0" fontId="28" fillId="0" borderId="0" xfId="0" applyFont="1" applyAlignment="1" applyProtection="1">
      <alignment horizontal="left" indent="4"/>
      <protection locked="0"/>
    </xf>
    <xf numFmtId="37" fontId="27" fillId="0" borderId="0" xfId="1" applyNumberFormat="1" applyFont="1" applyFill="1" applyBorder="1" applyProtection="1"/>
    <xf numFmtId="37" fontId="39" fillId="0" borderId="0" xfId="1" applyNumberFormat="1" applyFont="1" applyFill="1" applyBorder="1" applyProtection="1"/>
    <xf numFmtId="0" fontId="22" fillId="0" borderId="0" xfId="0" applyFont="1" applyProtection="1">
      <protection locked="0"/>
    </xf>
    <xf numFmtId="37" fontId="27" fillId="0" borderId="1" xfId="0" applyNumberFormat="1" applyFont="1" applyBorder="1" applyProtection="1">
      <protection locked="0"/>
    </xf>
    <xf numFmtId="37" fontId="39" fillId="0" borderId="1" xfId="0" applyNumberFormat="1" applyFont="1" applyBorder="1" applyProtection="1">
      <protection locked="0"/>
    </xf>
    <xf numFmtId="0" fontId="28" fillId="0" borderId="0" xfId="0" applyFont="1" applyAlignment="1" applyProtection="1">
      <alignment horizontal="left" indent="6"/>
      <protection locked="0"/>
    </xf>
    <xf numFmtId="37" fontId="27" fillId="0" borderId="7" xfId="0" applyNumberFormat="1" applyFont="1" applyBorder="1" applyProtection="1">
      <protection locked="0"/>
    </xf>
    <xf numFmtId="37" fontId="39" fillId="0" borderId="7" xfId="0" applyNumberFormat="1" applyFont="1" applyBorder="1" applyProtection="1">
      <protection locked="0"/>
    </xf>
    <xf numFmtId="0" fontId="28" fillId="0" borderId="0" xfId="0" applyFont="1" applyAlignment="1" applyProtection="1">
      <alignment horizontal="left" indent="8"/>
      <protection locked="0"/>
    </xf>
    <xf numFmtId="0" fontId="22" fillId="0" borderId="0" xfId="0" applyFont="1" applyAlignment="1" applyProtection="1">
      <alignment horizontal="left" indent="3"/>
      <protection locked="0"/>
    </xf>
    <xf numFmtId="37" fontId="27" fillId="0" borderId="0" xfId="2" applyNumberFormat="1" applyFont="1" applyFill="1" applyProtection="1"/>
    <xf numFmtId="37" fontId="27" fillId="0" borderId="3" xfId="2" applyNumberFormat="1" applyFont="1" applyFill="1" applyBorder="1" applyProtection="1"/>
    <xf numFmtId="37" fontId="39" fillId="0" borderId="0" xfId="2" applyNumberFormat="1" applyFont="1" applyFill="1" applyProtection="1"/>
    <xf numFmtId="0" fontId="42" fillId="0" borderId="0" xfId="0" applyFont="1" applyProtection="1">
      <protection locked="0"/>
    </xf>
    <xf numFmtId="37" fontId="27" fillId="0" borderId="9" xfId="0" applyNumberFormat="1" applyFont="1" applyBorder="1" applyProtection="1">
      <protection locked="0"/>
    </xf>
    <xf numFmtId="37" fontId="27" fillId="0" borderId="0" xfId="2" applyNumberFormat="1" applyFont="1" applyFill="1" applyBorder="1" applyProtection="1"/>
    <xf numFmtId="37" fontId="39" fillId="0" borderId="0" xfId="2" applyNumberFormat="1" applyFont="1" applyFill="1" applyBorder="1" applyProtection="1"/>
    <xf numFmtId="37" fontId="27" fillId="4" borderId="0" xfId="2" applyNumberFormat="1" applyFont="1" applyFill="1" applyProtection="1"/>
    <xf numFmtId="37" fontId="39" fillId="4" borderId="0" xfId="2" applyNumberFormat="1" applyFont="1" applyFill="1" applyProtection="1"/>
    <xf numFmtId="0" fontId="28" fillId="0" borderId="0" xfId="0" applyFont="1" applyAlignment="1" applyProtection="1">
      <alignment horizontal="left" indent="10"/>
      <protection locked="0"/>
    </xf>
    <xf numFmtId="37" fontId="27" fillId="0" borderId="0" xfId="1" applyNumberFormat="1" applyFont="1" applyBorder="1" applyProtection="1"/>
    <xf numFmtId="37" fontId="27" fillId="0" borderId="0" xfId="1" applyNumberFormat="1" applyFont="1" applyProtection="1"/>
    <xf numFmtId="37" fontId="27" fillId="0" borderId="23" xfId="0" applyNumberFormat="1" applyFont="1" applyBorder="1" applyProtection="1">
      <protection locked="0"/>
    </xf>
    <xf numFmtId="37" fontId="39" fillId="0" borderId="23" xfId="0" applyNumberFormat="1" applyFont="1" applyBorder="1" applyProtection="1">
      <protection locked="0"/>
    </xf>
    <xf numFmtId="37" fontId="27" fillId="0" borderId="3" xfId="0" applyNumberFormat="1" applyFont="1" applyBorder="1"/>
    <xf numFmtId="37" fontId="39" fillId="0" borderId="0" xfId="0" applyNumberFormat="1" applyFont="1"/>
    <xf numFmtId="0" fontId="28" fillId="0" borderId="0" xfId="0" applyFont="1" applyProtection="1">
      <protection locked="0"/>
    </xf>
    <xf numFmtId="39" fontId="27" fillId="3" borderId="0" xfId="0" applyNumberFormat="1" applyFont="1" applyFill="1" applyProtection="1">
      <protection locked="0"/>
    </xf>
    <xf numFmtId="39" fontId="27" fillId="0" borderId="0" xfId="1" applyNumberFormat="1" applyFont="1" applyFill="1" applyProtection="1">
      <protection locked="0"/>
    </xf>
    <xf numFmtId="39" fontId="27" fillId="0" borderId="0" xfId="0" applyNumberFormat="1" applyFont="1"/>
    <xf numFmtId="39" fontId="27" fillId="0" borderId="3" xfId="0" applyNumberFormat="1" applyFont="1" applyBorder="1"/>
    <xf numFmtId="39" fontId="39" fillId="3" borderId="0" xfId="0" applyNumberFormat="1" applyFont="1" applyFill="1" applyProtection="1">
      <protection locked="0"/>
    </xf>
    <xf numFmtId="39" fontId="39" fillId="0" borderId="0" xfId="1" applyNumberFormat="1" applyFont="1" applyFill="1" applyProtection="1">
      <protection locked="0"/>
    </xf>
    <xf numFmtId="39" fontId="39" fillId="0" borderId="0" xfId="0" applyNumberFormat="1" applyFont="1"/>
    <xf numFmtId="0" fontId="34" fillId="0" borderId="0" xfId="0" applyFont="1" applyProtection="1">
      <protection locked="0"/>
    </xf>
    <xf numFmtId="0" fontId="43" fillId="0" borderId="0" xfId="0" applyFont="1" applyAlignment="1" applyProtection="1">
      <alignment horizontal="left" indent="1"/>
      <protection locked="0"/>
    </xf>
    <xf numFmtId="37" fontId="44" fillId="3" borderId="0" xfId="0" applyNumberFormat="1" applyFont="1" applyFill="1" applyProtection="1">
      <protection locked="0"/>
    </xf>
    <xf numFmtId="37" fontId="18" fillId="0" borderId="0" xfId="1" applyNumberFormat="1" applyFont="1" applyFill="1" applyProtection="1">
      <protection locked="0"/>
    </xf>
    <xf numFmtId="37" fontId="44" fillId="3" borderId="0" xfId="1" applyNumberFormat="1" applyFont="1" applyFill="1" applyProtection="1">
      <protection locked="0"/>
    </xf>
    <xf numFmtId="37" fontId="18" fillId="0" borderId="3" xfId="1" applyNumberFormat="1" applyFont="1" applyFill="1" applyBorder="1" applyProtection="1"/>
    <xf numFmtId="37" fontId="18" fillId="3" borderId="0" xfId="1" applyNumberFormat="1" applyFont="1" applyFill="1" applyBorder="1" applyProtection="1">
      <protection locked="0"/>
    </xf>
    <xf numFmtId="37" fontId="18" fillId="0" borderId="0" xfId="1" applyNumberFormat="1" applyFont="1" applyFill="1" applyProtection="1"/>
    <xf numFmtId="0" fontId="44" fillId="0" borderId="0" xfId="0" applyFont="1" applyProtection="1">
      <protection locked="0"/>
    </xf>
    <xf numFmtId="0" fontId="27" fillId="0" borderId="0" xfId="0" applyFont="1" applyAlignment="1" applyProtection="1">
      <alignment horizontal="left" indent="1"/>
      <protection locked="0"/>
    </xf>
    <xf numFmtId="0" fontId="44" fillId="0" borderId="0" xfId="0" applyFont="1"/>
    <xf numFmtId="37" fontId="44" fillId="0" borderId="0" xfId="0" applyNumberFormat="1" applyFont="1"/>
    <xf numFmtId="37" fontId="44" fillId="0" borderId="0" xfId="1" applyNumberFormat="1" applyFont="1" applyFill="1" applyProtection="1"/>
    <xf numFmtId="37" fontId="44" fillId="0" borderId="3" xfId="1" applyNumberFormat="1" applyFont="1" applyFill="1" applyBorder="1" applyProtection="1"/>
    <xf numFmtId="37" fontId="44" fillId="3" borderId="0" xfId="1" applyNumberFormat="1" applyFont="1" applyFill="1" applyBorder="1" applyProtection="1">
      <protection locked="0"/>
    </xf>
    <xf numFmtId="37" fontId="44" fillId="4" borderId="0" xfId="1" applyNumberFormat="1" applyFont="1" applyFill="1" applyProtection="1"/>
    <xf numFmtId="37" fontId="15" fillId="3" borderId="0" xfId="0" applyNumberFormat="1" applyFont="1" applyFill="1" applyProtection="1">
      <protection locked="0"/>
    </xf>
    <xf numFmtId="37" fontId="21" fillId="0" borderId="0" xfId="1" applyNumberFormat="1" applyFont="1" applyFill="1" applyProtection="1"/>
    <xf numFmtId="37" fontId="21" fillId="3" borderId="0" xfId="1" applyNumberFormat="1" applyFont="1" applyFill="1" applyProtection="1">
      <protection locked="0"/>
    </xf>
    <xf numFmtId="37" fontId="21" fillId="0" borderId="3" xfId="1" applyNumberFormat="1" applyFont="1" applyFill="1" applyBorder="1" applyProtection="1"/>
    <xf numFmtId="37" fontId="21" fillId="3" borderId="0" xfId="1" applyNumberFormat="1" applyFont="1" applyFill="1" applyBorder="1" applyProtection="1">
      <protection locked="0"/>
    </xf>
    <xf numFmtId="37" fontId="18" fillId="0" borderId="0" xfId="1" applyNumberFormat="1" applyFont="1" applyFill="1" applyBorder="1" applyProtection="1"/>
    <xf numFmtId="0" fontId="27" fillId="0" borderId="0" xfId="0" applyFont="1" applyAlignment="1" applyProtection="1">
      <alignment horizontal="left" indent="3"/>
      <protection locked="0"/>
    </xf>
    <xf numFmtId="37" fontId="44" fillId="0" borderId="0" xfId="1" applyNumberFormat="1" applyFont="1" applyFill="1" applyBorder="1" applyProtection="1"/>
    <xf numFmtId="37" fontId="44" fillId="0" borderId="0" xfId="2" applyNumberFormat="1" applyFont="1" applyFill="1" applyProtection="1"/>
    <xf numFmtId="37" fontId="44" fillId="0" borderId="3" xfId="2" applyNumberFormat="1" applyFont="1" applyFill="1" applyBorder="1" applyProtection="1"/>
    <xf numFmtId="37" fontId="31" fillId="0" borderId="0" xfId="0" applyNumberFormat="1" applyFont="1"/>
    <xf numFmtId="37" fontId="31" fillId="0" borderId="0" xfId="2" applyNumberFormat="1" applyFont="1" applyFill="1" applyProtection="1"/>
    <xf numFmtId="37" fontId="31" fillId="0" borderId="3" xfId="2" applyNumberFormat="1" applyFont="1" applyFill="1" applyBorder="1" applyProtection="1"/>
    <xf numFmtId="37" fontId="23" fillId="0" borderId="0" xfId="2" applyNumberFormat="1" applyFont="1" applyFill="1" applyProtection="1"/>
    <xf numFmtId="0" fontId="31" fillId="0" borderId="0" xfId="0" applyFont="1" applyProtection="1">
      <protection locked="0"/>
    </xf>
    <xf numFmtId="0" fontId="22" fillId="0" borderId="0" xfId="0" applyFont="1" applyAlignment="1" applyProtection="1">
      <alignment horizontal="left" indent="1"/>
      <protection locked="0"/>
    </xf>
    <xf numFmtId="37" fontId="19" fillId="0" borderId="0" xfId="2" applyNumberFormat="1" applyFont="1" applyFill="1" applyProtection="1"/>
    <xf numFmtId="0" fontId="27" fillId="0" borderId="0" xfId="0" applyFont="1" applyAlignment="1" applyProtection="1">
      <alignment horizontal="left" indent="5"/>
      <protection locked="0"/>
    </xf>
    <xf numFmtId="37" fontId="20" fillId="0" borderId="0" xfId="1" applyNumberFormat="1" applyFont="1" applyFill="1" applyProtection="1"/>
    <xf numFmtId="0" fontId="27" fillId="0" borderId="0" xfId="0" applyFont="1" applyAlignment="1" applyProtection="1">
      <alignment horizontal="left" indent="7"/>
      <protection locked="0"/>
    </xf>
    <xf numFmtId="37" fontId="44" fillId="0" borderId="0" xfId="2" applyNumberFormat="1" applyFont="1" applyFill="1" applyBorder="1" applyProtection="1"/>
    <xf numFmtId="0" fontId="45" fillId="0" borderId="0" xfId="0" applyFont="1" applyProtection="1">
      <protection locked="0"/>
    </xf>
    <xf numFmtId="0" fontId="15" fillId="0" borderId="0" xfId="0" applyFont="1" applyAlignment="1" applyProtection="1">
      <alignment horizontal="left" indent="1"/>
      <protection locked="0"/>
    </xf>
    <xf numFmtId="37" fontId="32" fillId="0" borderId="0" xfId="0" applyNumberFormat="1" applyFont="1"/>
    <xf numFmtId="37" fontId="30" fillId="0" borderId="0" xfId="1" applyNumberFormat="1" applyFont="1" applyFill="1" applyProtection="1"/>
    <xf numFmtId="37" fontId="30" fillId="0" borderId="3" xfId="1" applyNumberFormat="1" applyFont="1" applyFill="1" applyBorder="1" applyProtection="1"/>
    <xf numFmtId="0" fontId="32" fillId="0" borderId="0" xfId="0" applyFont="1" applyProtection="1">
      <protection locked="0"/>
    </xf>
    <xf numFmtId="37" fontId="20" fillId="0" borderId="0" xfId="1" applyNumberFormat="1" applyFont="1" applyProtection="1"/>
    <xf numFmtId="37" fontId="44" fillId="0" borderId="0" xfId="1" applyNumberFormat="1" applyFont="1" applyProtection="1"/>
    <xf numFmtId="37" fontId="15" fillId="0" borderId="3" xfId="0" applyNumberFormat="1" applyFont="1" applyBorder="1"/>
    <xf numFmtId="37" fontId="18" fillId="0" borderId="0" xfId="1" applyNumberFormat="1" applyFont="1" applyFill="1" applyAlignment="1" applyProtection="1">
      <alignment wrapText="1"/>
    </xf>
    <xf numFmtId="0" fontId="44" fillId="0" borderId="0" xfId="0" applyFont="1" applyAlignment="1" applyProtection="1">
      <alignment horizontal="left" indent="1"/>
      <protection locked="0"/>
    </xf>
    <xf numFmtId="37" fontId="44" fillId="0" borderId="3" xfId="0" applyNumberFormat="1" applyFont="1" applyBorder="1"/>
    <xf numFmtId="3" fontId="27" fillId="0" borderId="0" xfId="0" applyNumberFormat="1" applyFont="1" applyAlignment="1" applyProtection="1">
      <alignment horizontal="left" indent="1"/>
      <protection locked="0"/>
    </xf>
    <xf numFmtId="3" fontId="27" fillId="0" borderId="0" xfId="0" applyNumberFormat="1" applyFont="1" applyAlignment="1" applyProtection="1">
      <alignment horizontal="left" indent="3"/>
      <protection locked="0"/>
    </xf>
    <xf numFmtId="3" fontId="27" fillId="0" borderId="0" xfId="0" applyNumberFormat="1" applyFont="1" applyAlignment="1" applyProtection="1">
      <alignment horizontal="left" indent="5"/>
      <protection locked="0"/>
    </xf>
    <xf numFmtId="3" fontId="27" fillId="0" borderId="0" xfId="0" applyNumberFormat="1" applyFont="1" applyAlignment="1" applyProtection="1">
      <alignment horizontal="left" indent="7"/>
      <protection locked="0"/>
    </xf>
    <xf numFmtId="3" fontId="27" fillId="0" borderId="0" xfId="0" applyNumberFormat="1" applyFont="1" applyAlignment="1" applyProtection="1">
      <alignment horizontal="left" indent="2"/>
      <protection locked="0"/>
    </xf>
    <xf numFmtId="3" fontId="27" fillId="0" borderId="0" xfId="0" applyNumberFormat="1" applyFont="1" applyAlignment="1" applyProtection="1">
      <alignment horizontal="left" indent="4"/>
      <protection locked="0"/>
    </xf>
    <xf numFmtId="3" fontId="27" fillId="0" borderId="0" xfId="0" applyNumberFormat="1" applyFont="1" applyAlignment="1" applyProtection="1">
      <alignment horizontal="left" indent="6"/>
      <protection locked="0"/>
    </xf>
    <xf numFmtId="0" fontId="16" fillId="2" borderId="0" xfId="0" applyFont="1" applyFill="1" applyAlignment="1" applyProtection="1">
      <alignment horizontal="left"/>
      <protection locked="0"/>
    </xf>
    <xf numFmtId="0" fontId="17" fillId="2" borderId="0" xfId="0" applyFont="1" applyFill="1" applyProtection="1">
      <protection locked="0"/>
    </xf>
    <xf numFmtId="0" fontId="16" fillId="2" borderId="0" xfId="0" applyFont="1" applyFill="1" applyProtection="1">
      <protection locked="0"/>
    </xf>
    <xf numFmtId="0" fontId="16" fillId="2" borderId="0" xfId="0" applyFont="1" applyFill="1" applyAlignment="1" applyProtection="1">
      <alignment horizontal="left" indent="1"/>
      <protection locked="0"/>
    </xf>
    <xf numFmtId="165" fontId="16" fillId="2" borderId="0" xfId="0" applyNumberFormat="1" applyFont="1" applyFill="1" applyAlignment="1">
      <alignment horizontal="center"/>
    </xf>
    <xf numFmtId="166" fontId="16" fillId="2" borderId="10" xfId="0" applyNumberFormat="1" applyFont="1" applyFill="1" applyBorder="1" applyAlignment="1" applyProtection="1">
      <alignment horizontal="center"/>
      <protection locked="0"/>
    </xf>
    <xf numFmtId="165" fontId="40" fillId="2" borderId="0" xfId="0" applyNumberFormat="1" applyFont="1" applyFill="1" applyAlignment="1">
      <alignment horizontal="center"/>
    </xf>
    <xf numFmtId="165" fontId="16" fillId="2" borderId="0" xfId="0" applyNumberFormat="1" applyFont="1" applyFill="1" applyAlignment="1" applyProtection="1">
      <alignment horizontal="center"/>
      <protection locked="0"/>
    </xf>
    <xf numFmtId="0" fontId="47" fillId="2" borderId="0" xfId="0" applyFont="1" applyFill="1"/>
    <xf numFmtId="165" fontId="46" fillId="2" borderId="0" xfId="0" applyNumberFormat="1" applyFont="1" applyFill="1" applyAlignment="1">
      <alignment horizontal="center"/>
    </xf>
    <xf numFmtId="165" fontId="48" fillId="2" borderId="0" xfId="0" applyNumberFormat="1" applyFont="1" applyFill="1" applyAlignment="1">
      <alignment horizontal="center"/>
    </xf>
    <xf numFmtId="0" fontId="16" fillId="0" borderId="0" xfId="0" applyFont="1" applyProtection="1">
      <protection locked="0"/>
    </xf>
    <xf numFmtId="165" fontId="16" fillId="0" borderId="0" xfId="0" applyNumberFormat="1" applyFont="1" applyProtection="1">
      <protection locked="0"/>
    </xf>
    <xf numFmtId="165" fontId="16" fillId="0" borderId="0" xfId="0" applyNumberFormat="1" applyFont="1"/>
    <xf numFmtId="166" fontId="16" fillId="0" borderId="0" xfId="0" applyNumberFormat="1" applyFont="1" applyProtection="1">
      <protection locked="0"/>
    </xf>
    <xf numFmtId="0" fontId="16" fillId="10" borderId="0" xfId="0" applyFont="1" applyFill="1" applyProtection="1">
      <protection locked="0"/>
    </xf>
    <xf numFmtId="165" fontId="16" fillId="10" borderId="0" xfId="0" applyNumberFormat="1" applyFont="1" applyFill="1" applyProtection="1">
      <protection locked="0"/>
    </xf>
    <xf numFmtId="165" fontId="16" fillId="10" borderId="0" xfId="0" applyNumberFormat="1" applyFont="1" applyFill="1"/>
    <xf numFmtId="166" fontId="16" fillId="10" borderId="0" xfId="0" applyNumberFormat="1" applyFont="1" applyFill="1" applyProtection="1">
      <protection locked="0"/>
    </xf>
    <xf numFmtId="166" fontId="16" fillId="10" borderId="0" xfId="0" applyNumberFormat="1" applyFont="1" applyFill="1"/>
    <xf numFmtId="37" fontId="27" fillId="0" borderId="0" xfId="2" applyNumberFormat="1" applyFont="1" applyFill="1" applyBorder="1" applyProtection="1">
      <protection locked="0"/>
    </xf>
    <xf numFmtId="37" fontId="39" fillId="0" borderId="0" xfId="2" applyNumberFormat="1" applyFont="1" applyFill="1" applyBorder="1" applyProtection="1">
      <protection locked="0"/>
    </xf>
    <xf numFmtId="37" fontId="27" fillId="4" borderId="0" xfId="2" applyNumberFormat="1" applyFont="1" applyFill="1" applyBorder="1" applyProtection="1"/>
    <xf numFmtId="0" fontId="28" fillId="2" borderId="0" xfId="0" applyFont="1" applyFill="1"/>
    <xf numFmtId="37" fontId="27" fillId="2" borderId="0" xfId="0" applyNumberFormat="1" applyFont="1" applyFill="1" applyProtection="1">
      <protection locked="0"/>
    </xf>
    <xf numFmtId="37" fontId="27" fillId="2" borderId="0" xfId="1" applyNumberFormat="1" applyFont="1" applyFill="1" applyBorder="1" applyProtection="1">
      <protection locked="0"/>
    </xf>
    <xf numFmtId="37" fontId="27" fillId="2" borderId="0" xfId="1" applyNumberFormat="1" applyFont="1" applyFill="1" applyBorder="1" applyProtection="1"/>
    <xf numFmtId="37" fontId="39" fillId="2" borderId="0" xfId="0" applyNumberFormat="1" applyFont="1" applyFill="1" applyProtection="1">
      <protection locked="0"/>
    </xf>
    <xf numFmtId="37" fontId="39" fillId="2" borderId="0" xfId="1" applyNumberFormat="1" applyFont="1" applyFill="1" applyBorder="1" applyProtection="1">
      <protection locked="0"/>
    </xf>
    <xf numFmtId="37" fontId="39" fillId="2" borderId="0" xfId="1" applyNumberFormat="1" applyFont="1" applyFill="1" applyBorder="1" applyProtection="1"/>
    <xf numFmtId="3" fontId="27" fillId="2" borderId="0" xfId="0" applyNumberFormat="1" applyFont="1" applyFill="1" applyProtection="1">
      <protection locked="0"/>
    </xf>
    <xf numFmtId="0" fontId="28" fillId="10" borderId="0" xfId="0" applyFont="1" applyFill="1" applyAlignment="1" applyProtection="1">
      <alignment horizontal="left" indent="1"/>
      <protection locked="0"/>
    </xf>
    <xf numFmtId="37" fontId="27" fillId="10" borderId="0" xfId="0" applyNumberFormat="1" applyFont="1" applyFill="1" applyProtection="1">
      <protection locked="0"/>
    </xf>
    <xf numFmtId="37" fontId="27" fillId="10" borderId="0" xfId="1" applyNumberFormat="1" applyFont="1" applyFill="1" applyBorder="1" applyProtection="1">
      <protection locked="0"/>
    </xf>
    <xf numFmtId="37" fontId="27" fillId="10" borderId="0" xfId="1" applyNumberFormat="1" applyFont="1" applyFill="1" applyBorder="1" applyProtection="1"/>
    <xf numFmtId="37" fontId="39" fillId="10" borderId="0" xfId="0" applyNumberFormat="1" applyFont="1" applyFill="1" applyProtection="1">
      <protection locked="0"/>
    </xf>
    <xf numFmtId="37" fontId="39" fillId="10" borderId="0" xfId="1" applyNumberFormat="1" applyFont="1" applyFill="1" applyBorder="1" applyProtection="1">
      <protection locked="0"/>
    </xf>
    <xf numFmtId="37" fontId="39" fillId="10" borderId="0" xfId="1" applyNumberFormat="1" applyFont="1" applyFill="1" applyBorder="1" applyProtection="1"/>
    <xf numFmtId="3" fontId="27" fillId="10" borderId="0" xfId="0" applyNumberFormat="1" applyFont="1" applyFill="1" applyProtection="1">
      <protection locked="0"/>
    </xf>
    <xf numFmtId="165" fontId="46" fillId="2" borderId="0" xfId="0" applyNumberFormat="1" applyFont="1" applyFill="1" applyAlignment="1" applyProtection="1">
      <alignment horizontal="center"/>
      <protection locked="0"/>
    </xf>
    <xf numFmtId="166" fontId="46" fillId="2" borderId="0" xfId="0" applyNumberFormat="1" applyFont="1" applyFill="1" applyAlignment="1" applyProtection="1">
      <alignment horizontal="center"/>
      <protection locked="0"/>
    </xf>
    <xf numFmtId="165" fontId="16" fillId="0" borderId="3" xfId="0" applyNumberFormat="1" applyFont="1" applyBorder="1"/>
    <xf numFmtId="0" fontId="28" fillId="0" borderId="3" xfId="0" applyFont="1" applyBorder="1"/>
    <xf numFmtId="0" fontId="22" fillId="0" borderId="0" xfId="0" applyFont="1" applyAlignment="1" applyProtection="1">
      <alignment horizontal="left"/>
      <protection locked="0"/>
    </xf>
    <xf numFmtId="0" fontId="28" fillId="0" borderId="0" xfId="0" applyFont="1" applyAlignment="1" applyProtection="1">
      <alignment horizontal="left"/>
      <protection locked="0"/>
    </xf>
    <xf numFmtId="37" fontId="27" fillId="3" borderId="0" xfId="0" applyNumberFormat="1" applyFont="1" applyFill="1" applyAlignment="1" applyProtection="1">
      <alignment horizontal="right"/>
      <protection locked="0"/>
    </xf>
    <xf numFmtId="37" fontId="27" fillId="0" borderId="0" xfId="1" applyNumberFormat="1" applyFont="1" applyFill="1" applyAlignment="1" applyProtection="1">
      <alignment horizontal="right"/>
      <protection locked="0"/>
    </xf>
    <xf numFmtId="37" fontId="27" fillId="0" borderId="0" xfId="0" applyNumberFormat="1" applyFont="1" applyAlignment="1">
      <alignment horizontal="right"/>
    </xf>
    <xf numFmtId="37" fontId="27" fillId="0" borderId="3" xfId="1" applyNumberFormat="1" applyFont="1" applyFill="1" applyBorder="1" applyAlignment="1" applyProtection="1">
      <alignment horizontal="right"/>
    </xf>
    <xf numFmtId="37" fontId="39" fillId="3" borderId="0" xfId="0" applyNumberFormat="1" applyFont="1" applyFill="1" applyAlignment="1" applyProtection="1">
      <alignment horizontal="right"/>
      <protection locked="0"/>
    </xf>
    <xf numFmtId="37" fontId="27" fillId="0" borderId="0" xfId="1" applyNumberFormat="1" applyFont="1" applyFill="1" applyAlignment="1" applyProtection="1">
      <alignment horizontal="right"/>
    </xf>
    <xf numFmtId="37" fontId="39" fillId="0" borderId="0" xfId="1" applyNumberFormat="1" applyFont="1" applyFill="1" applyAlignment="1" applyProtection="1">
      <alignment horizontal="right"/>
      <protection locked="0"/>
    </xf>
    <xf numFmtId="37" fontId="39" fillId="0" borderId="0" xfId="1" applyNumberFormat="1" applyFont="1" applyFill="1" applyAlignment="1" applyProtection="1">
      <alignment horizontal="right"/>
    </xf>
    <xf numFmtId="37" fontId="27" fillId="0" borderId="0" xfId="1" applyNumberFormat="1" applyFont="1" applyFill="1" applyBorder="1" applyAlignment="1" applyProtection="1">
      <alignment horizontal="right"/>
      <protection locked="0"/>
    </xf>
    <xf numFmtId="37" fontId="27" fillId="3" borderId="0" xfId="2" applyNumberFormat="1" applyFont="1" applyFill="1" applyBorder="1" applyAlignment="1" applyProtection="1">
      <alignment horizontal="right"/>
      <protection locked="0"/>
    </xf>
    <xf numFmtId="37" fontId="27" fillId="0" borderId="9" xfId="2" applyNumberFormat="1" applyFont="1" applyFill="1" applyBorder="1" applyAlignment="1" applyProtection="1">
      <alignment horizontal="right"/>
      <protection locked="0"/>
    </xf>
    <xf numFmtId="37" fontId="27" fillId="0" borderId="0" xfId="0" applyNumberFormat="1" applyFont="1" applyAlignment="1" applyProtection="1">
      <alignment horizontal="right"/>
      <protection locked="0"/>
    </xf>
    <xf numFmtId="37" fontId="27" fillId="4" borderId="0" xfId="1" applyNumberFormat="1" applyFont="1" applyFill="1" applyAlignment="1" applyProtection="1">
      <alignment horizontal="right"/>
    </xf>
    <xf numFmtId="37" fontId="39" fillId="0" borderId="0" xfId="0" applyNumberFormat="1" applyFont="1" applyAlignment="1" applyProtection="1">
      <alignment horizontal="right"/>
      <protection locked="0"/>
    </xf>
    <xf numFmtId="37" fontId="39" fillId="4" borderId="0" xfId="1" applyNumberFormat="1" applyFont="1" applyFill="1" applyAlignment="1" applyProtection="1">
      <alignment horizontal="right"/>
    </xf>
    <xf numFmtId="37" fontId="27" fillId="0" borderId="0" xfId="1" applyNumberFormat="1" applyFont="1" applyFill="1" applyBorder="1" applyAlignment="1" applyProtection="1">
      <alignment horizontal="right"/>
    </xf>
    <xf numFmtId="37" fontId="39" fillId="0" borderId="0" xfId="1" applyNumberFormat="1" applyFont="1" applyFill="1" applyBorder="1" applyAlignment="1" applyProtection="1">
      <alignment horizontal="right"/>
    </xf>
    <xf numFmtId="37" fontId="27" fillId="0" borderId="1" xfId="0" applyNumberFormat="1" applyFont="1" applyBorder="1" applyAlignment="1" applyProtection="1">
      <alignment horizontal="right"/>
      <protection locked="0"/>
    </xf>
    <xf numFmtId="37" fontId="27" fillId="0" borderId="7" xfId="0" applyNumberFormat="1" applyFont="1" applyBorder="1" applyAlignment="1" applyProtection="1">
      <alignment horizontal="right"/>
      <protection locked="0"/>
    </xf>
    <xf numFmtId="37" fontId="27" fillId="0" borderId="0" xfId="2" applyNumberFormat="1" applyFont="1" applyFill="1" applyAlignment="1" applyProtection="1">
      <alignment horizontal="right"/>
    </xf>
    <xf numFmtId="37" fontId="27" fillId="0" borderId="3" xfId="2" applyNumberFormat="1" applyFont="1" applyFill="1" applyBorder="1" applyAlignment="1" applyProtection="1">
      <alignment horizontal="right"/>
    </xf>
    <xf numFmtId="37" fontId="39" fillId="0" borderId="0" xfId="2" applyNumberFormat="1" applyFont="1" applyFill="1" applyAlignment="1" applyProtection="1">
      <alignment horizontal="right"/>
    </xf>
    <xf numFmtId="37" fontId="27" fillId="0" borderId="0" xfId="2" applyNumberFormat="1" applyFont="1" applyFill="1" applyBorder="1" applyAlignment="1" applyProtection="1">
      <alignment horizontal="right"/>
    </xf>
    <xf numFmtId="37" fontId="27" fillId="4" borderId="0" xfId="2" applyNumberFormat="1" applyFont="1" applyFill="1" applyAlignment="1" applyProtection="1">
      <alignment horizontal="right"/>
    </xf>
    <xf numFmtId="37" fontId="39" fillId="4" borderId="0" xfId="2" applyNumberFormat="1" applyFont="1" applyFill="1" applyAlignment="1" applyProtection="1">
      <alignment horizontal="right"/>
    </xf>
    <xf numFmtId="37" fontId="27" fillId="0" borderId="0" xfId="1" applyNumberFormat="1" applyFont="1" applyAlignment="1" applyProtection="1">
      <alignment horizontal="right"/>
    </xf>
    <xf numFmtId="37" fontId="27" fillId="0" borderId="23" xfId="0" applyNumberFormat="1" applyFont="1" applyBorder="1" applyAlignment="1" applyProtection="1">
      <alignment horizontal="right"/>
      <protection locked="0"/>
    </xf>
    <xf numFmtId="37" fontId="27" fillId="0" borderId="3" xfId="0" applyNumberFormat="1" applyFont="1" applyBorder="1" applyAlignment="1">
      <alignment horizontal="right"/>
    </xf>
    <xf numFmtId="37" fontId="39" fillId="0" borderId="0" xfId="0" applyNumberFormat="1" applyFont="1" applyAlignment="1">
      <alignment horizontal="right"/>
    </xf>
    <xf numFmtId="39" fontId="27" fillId="3" borderId="0" xfId="0" applyNumberFormat="1" applyFont="1" applyFill="1" applyAlignment="1" applyProtection="1">
      <alignment horizontal="right"/>
      <protection locked="0"/>
    </xf>
    <xf numFmtId="39" fontId="27" fillId="0" borderId="0" xfId="1" applyNumberFormat="1" applyFont="1" applyFill="1" applyAlignment="1" applyProtection="1">
      <alignment horizontal="right"/>
      <protection locked="0"/>
    </xf>
    <xf numFmtId="39" fontId="27" fillId="0" borderId="0" xfId="0" applyNumberFormat="1" applyFont="1" applyAlignment="1">
      <alignment horizontal="right"/>
    </xf>
    <xf numFmtId="39" fontId="27" fillId="0" borderId="3" xfId="0" applyNumberFormat="1" applyFont="1" applyBorder="1" applyAlignment="1">
      <alignment horizontal="right"/>
    </xf>
    <xf numFmtId="39" fontId="39" fillId="0" borderId="0" xfId="0" applyNumberFormat="1" applyFont="1" applyAlignment="1">
      <alignment horizontal="right"/>
    </xf>
    <xf numFmtId="3" fontId="27" fillId="0" borderId="0" xfId="0" applyNumberFormat="1" applyFont="1" applyAlignment="1" applyProtection="1">
      <alignment horizontal="right"/>
      <protection locked="0"/>
    </xf>
    <xf numFmtId="37" fontId="39" fillId="0" borderId="0" xfId="1" applyNumberFormat="1" applyFont="1" applyAlignment="1" applyProtection="1">
      <alignment horizontal="right"/>
    </xf>
    <xf numFmtId="37" fontId="15" fillId="0" borderId="0" xfId="0" applyNumberFormat="1" applyFont="1" applyAlignment="1">
      <alignment horizontal="right"/>
    </xf>
    <xf numFmtId="37" fontId="44" fillId="3" borderId="0" xfId="0" applyNumberFormat="1" applyFont="1" applyFill="1" applyAlignment="1" applyProtection="1">
      <alignment horizontal="right"/>
      <protection locked="0"/>
    </xf>
    <xf numFmtId="37" fontId="18" fillId="0" borderId="0" xfId="1" applyNumberFormat="1" applyFont="1" applyFill="1" applyAlignment="1" applyProtection="1">
      <alignment horizontal="right"/>
      <protection locked="0"/>
    </xf>
    <xf numFmtId="37" fontId="44" fillId="3" borderId="0" xfId="1" applyNumberFormat="1" applyFont="1" applyFill="1" applyAlignment="1" applyProtection="1">
      <alignment horizontal="right"/>
      <protection locked="0"/>
    </xf>
    <xf numFmtId="37" fontId="18" fillId="0" borderId="3" xfId="1" applyNumberFormat="1" applyFont="1" applyFill="1" applyBorder="1" applyAlignment="1" applyProtection="1">
      <alignment horizontal="right"/>
    </xf>
    <xf numFmtId="37" fontId="18" fillId="3" borderId="0" xfId="1" applyNumberFormat="1" applyFont="1" applyFill="1" applyBorder="1" applyAlignment="1" applyProtection="1">
      <alignment horizontal="right"/>
      <protection locked="0"/>
    </xf>
    <xf numFmtId="37" fontId="18" fillId="0" borderId="0" xfId="1" applyNumberFormat="1" applyFont="1" applyFill="1" applyAlignment="1" applyProtection="1">
      <alignment horizontal="right"/>
    </xf>
    <xf numFmtId="0" fontId="15" fillId="0" borderId="0" xfId="0" applyFont="1" applyAlignment="1" applyProtection="1">
      <alignment horizontal="right"/>
      <protection locked="0"/>
    </xf>
    <xf numFmtId="37" fontId="44" fillId="0" borderId="0" xfId="0" applyNumberFormat="1" applyFont="1" applyAlignment="1">
      <alignment horizontal="right"/>
    </xf>
    <xf numFmtId="37" fontId="44" fillId="0" borderId="0" xfId="1" applyNumberFormat="1" applyFont="1" applyFill="1" applyAlignment="1" applyProtection="1">
      <alignment horizontal="right"/>
    </xf>
    <xf numFmtId="37" fontId="44" fillId="0" borderId="3" xfId="1" applyNumberFormat="1" applyFont="1" applyFill="1" applyBorder="1" applyAlignment="1" applyProtection="1">
      <alignment horizontal="right"/>
    </xf>
    <xf numFmtId="37" fontId="44" fillId="3" borderId="0" xfId="1" applyNumberFormat="1" applyFont="1" applyFill="1" applyBorder="1" applyAlignment="1" applyProtection="1">
      <alignment horizontal="right"/>
      <protection locked="0"/>
    </xf>
    <xf numFmtId="37" fontId="44" fillId="4" borderId="0" xfId="1" applyNumberFormat="1" applyFont="1" applyFill="1" applyAlignment="1" applyProtection="1">
      <alignment horizontal="right"/>
    </xf>
    <xf numFmtId="0" fontId="44" fillId="0" borderId="0" xfId="0" applyFont="1" applyAlignment="1" applyProtection="1">
      <alignment horizontal="right"/>
      <protection locked="0"/>
    </xf>
    <xf numFmtId="37" fontId="15" fillId="3" borderId="0" xfId="0" applyNumberFormat="1" applyFont="1" applyFill="1" applyAlignment="1" applyProtection="1">
      <alignment horizontal="right"/>
      <protection locked="0"/>
    </xf>
    <xf numFmtId="37" fontId="21" fillId="0" borderId="0" xfId="1" applyNumberFormat="1" applyFont="1" applyFill="1" applyAlignment="1" applyProtection="1">
      <alignment horizontal="right"/>
    </xf>
    <xf numFmtId="37" fontId="21" fillId="3" borderId="0" xfId="1" applyNumberFormat="1" applyFont="1" applyFill="1" applyAlignment="1" applyProtection="1">
      <alignment horizontal="right"/>
      <protection locked="0"/>
    </xf>
    <xf numFmtId="37" fontId="21" fillId="0" borderId="3" xfId="1" applyNumberFormat="1" applyFont="1" applyFill="1" applyBorder="1" applyAlignment="1" applyProtection="1">
      <alignment horizontal="right"/>
    </xf>
    <xf numFmtId="37" fontId="21" fillId="3" borderId="0" xfId="1" applyNumberFormat="1" applyFont="1" applyFill="1" applyBorder="1" applyAlignment="1" applyProtection="1">
      <alignment horizontal="right"/>
      <protection locked="0"/>
    </xf>
    <xf numFmtId="37" fontId="18" fillId="0" borderId="0" xfId="1" applyNumberFormat="1" applyFont="1" applyFill="1" applyBorder="1" applyAlignment="1" applyProtection="1">
      <alignment horizontal="right"/>
    </xf>
    <xf numFmtId="37" fontId="31" fillId="0" borderId="0" xfId="0" applyNumberFormat="1" applyFont="1" applyAlignment="1">
      <alignment horizontal="right"/>
    </xf>
    <xf numFmtId="37" fontId="31" fillId="0" borderId="0" xfId="2" applyNumberFormat="1" applyFont="1" applyFill="1" applyAlignment="1" applyProtection="1">
      <alignment horizontal="right"/>
    </xf>
    <xf numFmtId="37" fontId="31" fillId="0" borderId="3" xfId="2" applyNumberFormat="1" applyFont="1" applyFill="1" applyBorder="1" applyAlignment="1" applyProtection="1">
      <alignment horizontal="right"/>
    </xf>
    <xf numFmtId="37" fontId="23" fillId="0" borderId="0" xfId="2" applyNumberFormat="1" applyFont="1" applyFill="1" applyAlignment="1" applyProtection="1">
      <alignment horizontal="right"/>
    </xf>
    <xf numFmtId="0" fontId="31" fillId="0" borderId="0" xfId="0" applyFont="1" applyAlignment="1" applyProtection="1">
      <alignment horizontal="right"/>
      <protection locked="0"/>
    </xf>
    <xf numFmtId="37" fontId="44" fillId="0" borderId="0" xfId="2" applyNumberFormat="1" applyFont="1" applyFill="1" applyAlignment="1" applyProtection="1">
      <alignment horizontal="right"/>
    </xf>
    <xf numFmtId="37" fontId="44" fillId="0" borderId="3" xfId="2" applyNumberFormat="1" applyFont="1" applyFill="1" applyBorder="1" applyAlignment="1" applyProtection="1">
      <alignment horizontal="right"/>
    </xf>
    <xf numFmtId="37" fontId="20" fillId="0" borderId="0" xfId="1" applyNumberFormat="1" applyFont="1" applyFill="1" applyAlignment="1" applyProtection="1">
      <alignment horizontal="right"/>
    </xf>
    <xf numFmtId="37" fontId="44" fillId="0" borderId="0" xfId="2" applyNumberFormat="1" applyFont="1" applyFill="1" applyBorder="1" applyAlignment="1" applyProtection="1">
      <alignment horizontal="right"/>
    </xf>
    <xf numFmtId="37" fontId="32" fillId="0" borderId="0" xfId="0" applyNumberFormat="1" applyFont="1" applyAlignment="1">
      <alignment horizontal="right"/>
    </xf>
    <xf numFmtId="37" fontId="30" fillId="0" borderId="0" xfId="1" applyNumberFormat="1" applyFont="1" applyFill="1" applyAlignment="1" applyProtection="1">
      <alignment horizontal="right"/>
    </xf>
    <xf numFmtId="37" fontId="30" fillId="0" borderId="3" xfId="1" applyNumberFormat="1" applyFont="1" applyFill="1" applyBorder="1" applyAlignment="1" applyProtection="1">
      <alignment horizontal="right"/>
    </xf>
    <xf numFmtId="37" fontId="29" fillId="0" borderId="0" xfId="1" applyNumberFormat="1" applyFont="1" applyFill="1" applyAlignment="1" applyProtection="1">
      <alignment horizontal="right"/>
    </xf>
    <xf numFmtId="0" fontId="32" fillId="0" borderId="0" xfId="0" applyFont="1" applyAlignment="1" applyProtection="1">
      <alignment horizontal="right"/>
      <protection locked="0"/>
    </xf>
    <xf numFmtId="37" fontId="20" fillId="0" borderId="0" xfId="1" applyNumberFormat="1" applyFont="1" applyAlignment="1" applyProtection="1">
      <alignment horizontal="right"/>
    </xf>
    <xf numFmtId="37" fontId="44" fillId="0" borderId="0" xfId="1" applyNumberFormat="1" applyFont="1" applyAlignment="1" applyProtection="1">
      <alignment horizontal="right"/>
    </xf>
    <xf numFmtId="37" fontId="15" fillId="0" borderId="3" xfId="0" applyNumberFormat="1" applyFont="1" applyBorder="1" applyAlignment="1">
      <alignment horizontal="right"/>
    </xf>
    <xf numFmtId="37" fontId="44" fillId="0" borderId="3" xfId="0" applyNumberFormat="1" applyFont="1" applyBorder="1" applyAlignment="1">
      <alignment horizontal="right"/>
    </xf>
    <xf numFmtId="0" fontId="28" fillId="2" borderId="0" xfId="0" applyFont="1" applyFill="1" applyProtection="1">
      <protection locked="0"/>
    </xf>
    <xf numFmtId="0" fontId="34" fillId="2" borderId="0" xfId="0" applyFont="1" applyFill="1" applyProtection="1">
      <protection locked="0"/>
    </xf>
    <xf numFmtId="0" fontId="28" fillId="10" borderId="0" xfId="0" applyFont="1" applyFill="1" applyProtection="1">
      <protection locked="0"/>
    </xf>
    <xf numFmtId="0" fontId="34" fillId="10" borderId="0" xfId="0" applyFont="1" applyFill="1" applyProtection="1">
      <protection locked="0"/>
    </xf>
    <xf numFmtId="0" fontId="28" fillId="3" borderId="0" xfId="0" applyFont="1" applyFill="1" applyProtection="1">
      <protection locked="0"/>
    </xf>
    <xf numFmtId="0" fontId="34" fillId="11" borderId="19" xfId="0" applyFont="1" applyFill="1" applyBorder="1" applyAlignment="1" applyProtection="1">
      <alignment horizontal="left" indent="1"/>
      <protection locked="0"/>
    </xf>
    <xf numFmtId="0" fontId="34" fillId="11" borderId="7" xfId="0" applyFont="1" applyFill="1" applyBorder="1"/>
    <xf numFmtId="10" fontId="28" fillId="0" borderId="0" xfId="0" applyNumberFormat="1" applyFont="1" applyProtection="1">
      <protection locked="0"/>
    </xf>
    <xf numFmtId="0" fontId="27" fillId="0" borderId="0" xfId="0" applyFont="1" applyProtection="1">
      <protection locked="0"/>
    </xf>
    <xf numFmtId="10" fontId="27" fillId="0" borderId="0" xfId="0" applyNumberFormat="1" applyFont="1" applyProtection="1">
      <protection locked="0"/>
    </xf>
    <xf numFmtId="2" fontId="28" fillId="0" borderId="0" xfId="0" applyNumberFormat="1" applyFont="1" applyProtection="1">
      <protection locked="0"/>
    </xf>
    <xf numFmtId="2" fontId="27" fillId="0" borderId="0" xfId="0" applyNumberFormat="1" applyFont="1" applyProtection="1">
      <protection locked="0"/>
    </xf>
    <xf numFmtId="37" fontId="38" fillId="3" borderId="0" xfId="0" applyNumberFormat="1" applyFont="1" applyFill="1" applyProtection="1">
      <protection locked="0"/>
    </xf>
    <xf numFmtId="0" fontId="15" fillId="0" borderId="0" xfId="0" applyFont="1" applyAlignment="1">
      <alignment horizontal="left" indent="3"/>
    </xf>
    <xf numFmtId="0" fontId="24" fillId="0" borderId="0" xfId="0" applyFont="1" applyAlignment="1">
      <alignment horizontal="left" indent="4"/>
    </xf>
    <xf numFmtId="174" fontId="0" fillId="0" borderId="0" xfId="0" applyNumberFormat="1"/>
    <xf numFmtId="39" fontId="0" fillId="0" borderId="0" xfId="0" applyNumberFormat="1"/>
    <xf numFmtId="168" fontId="24" fillId="3" borderId="0" xfId="2" applyNumberFormat="1" applyFont="1" applyFill="1" applyProtection="1">
      <protection locked="0"/>
    </xf>
    <xf numFmtId="168" fontId="24" fillId="0" borderId="0" xfId="2" applyNumberFormat="1" applyFont="1" applyFill="1" applyBorder="1" applyProtection="1">
      <protection locked="0"/>
    </xf>
    <xf numFmtId="168" fontId="24" fillId="3" borderId="0" xfId="2" applyNumberFormat="1" applyFont="1" applyFill="1" applyBorder="1" applyProtection="1">
      <protection locked="0"/>
    </xf>
    <xf numFmtId="168" fontId="24" fillId="0" borderId="0" xfId="2" applyNumberFormat="1" applyFont="1" applyProtection="1">
      <protection locked="0"/>
    </xf>
    <xf numFmtId="168" fontId="39" fillId="3" borderId="0" xfId="2" applyNumberFormat="1" applyFont="1" applyFill="1" applyProtection="1">
      <protection locked="0"/>
    </xf>
    <xf numFmtId="168" fontId="39" fillId="0" borderId="0" xfId="2" applyNumberFormat="1" applyFont="1" applyProtection="1">
      <protection locked="0"/>
    </xf>
    <xf numFmtId="37" fontId="38" fillId="0" borderId="0" xfId="0" applyNumberFormat="1" applyFont="1" applyProtection="1">
      <protection locked="0"/>
    </xf>
    <xf numFmtId="37" fontId="28" fillId="0" borderId="0" xfId="0" applyNumberFormat="1" applyFont="1" applyProtection="1">
      <protection locked="0"/>
    </xf>
    <xf numFmtId="37" fontId="28" fillId="0" borderId="7" xfId="0" applyNumberFormat="1" applyFont="1" applyBorder="1" applyProtection="1">
      <protection locked="0"/>
    </xf>
    <xf numFmtId="37" fontId="28" fillId="3" borderId="0" xfId="0" applyNumberFormat="1" applyFont="1" applyFill="1" applyProtection="1">
      <protection locked="0"/>
    </xf>
    <xf numFmtId="37" fontId="34" fillId="11" borderId="7" xfId="0" applyNumberFormat="1" applyFont="1" applyFill="1" applyBorder="1" applyProtection="1">
      <protection locked="0"/>
    </xf>
    <xf numFmtId="168" fontId="23" fillId="9" borderId="4" xfId="2" applyNumberFormat="1" applyFont="1" applyFill="1" applyBorder="1" applyProtection="1">
      <protection locked="0"/>
    </xf>
    <xf numFmtId="37" fontId="38" fillId="0" borderId="0" xfId="1" applyNumberFormat="1" applyFont="1" applyFill="1" applyBorder="1" applyProtection="1">
      <protection locked="0"/>
    </xf>
    <xf numFmtId="168" fontId="28" fillId="0" borderId="0" xfId="0" applyNumberFormat="1" applyFont="1" applyProtection="1">
      <protection locked="0"/>
    </xf>
    <xf numFmtId="168" fontId="25" fillId="0" borderId="0" xfId="0" applyNumberFormat="1" applyFont="1" applyProtection="1">
      <protection locked="0"/>
    </xf>
    <xf numFmtId="175" fontId="27" fillId="3" borderId="0" xfId="0" applyNumberFormat="1" applyFont="1" applyFill="1" applyProtection="1">
      <protection locked="0"/>
    </xf>
    <xf numFmtId="39" fontId="34" fillId="0" borderId="0" xfId="0" applyNumberFormat="1" applyFont="1" applyProtection="1">
      <protection locked="0"/>
    </xf>
    <xf numFmtId="37" fontId="34" fillId="0" borderId="0" xfId="0" applyNumberFormat="1" applyFont="1" applyProtection="1">
      <protection locked="0"/>
    </xf>
    <xf numFmtId="37" fontId="24" fillId="3" borderId="0" xfId="0" applyNumberFormat="1" applyFont="1" applyFill="1" applyProtection="1">
      <protection locked="0"/>
    </xf>
    <xf numFmtId="37" fontId="25" fillId="0" borderId="0" xfId="0" applyNumberFormat="1" applyFont="1" applyProtection="1">
      <protection locked="0"/>
    </xf>
    <xf numFmtId="37" fontId="25" fillId="0" borderId="0" xfId="0" applyNumberFormat="1" applyFont="1"/>
    <xf numFmtId="37" fontId="25" fillId="0" borderId="3" xfId="0" applyNumberFormat="1" applyFont="1" applyBorder="1"/>
    <xf numFmtId="37" fontId="23" fillId="9" borderId="4" xfId="0" applyNumberFormat="1" applyFont="1" applyFill="1" applyBorder="1" applyProtection="1">
      <protection locked="0"/>
    </xf>
    <xf numFmtId="168" fontId="28" fillId="0" borderId="0" xfId="2" applyNumberFormat="1" applyFont="1" applyProtection="1">
      <protection locked="0"/>
    </xf>
    <xf numFmtId="175" fontId="23" fillId="9" borderId="4" xfId="0" applyNumberFormat="1" applyFont="1" applyFill="1" applyBorder="1" applyProtection="1">
      <protection locked="0"/>
    </xf>
    <xf numFmtId="175" fontId="27" fillId="0" borderId="0" xfId="0" applyNumberFormat="1" applyFont="1" applyProtection="1">
      <protection locked="0"/>
    </xf>
    <xf numFmtId="175" fontId="27" fillId="0" borderId="0" xfId="0" applyNumberFormat="1" applyFont="1"/>
    <xf numFmtId="175" fontId="27" fillId="0" borderId="3" xfId="0" applyNumberFormat="1" applyFont="1" applyBorder="1"/>
    <xf numFmtId="175" fontId="39" fillId="3" borderId="0" xfId="0" applyNumberFormat="1" applyFont="1" applyFill="1" applyProtection="1">
      <protection locked="0"/>
    </xf>
    <xf numFmtId="175" fontId="27" fillId="0" borderId="0" xfId="1" applyNumberFormat="1" applyFont="1" applyFill="1" applyBorder="1" applyProtection="1"/>
    <xf numFmtId="175" fontId="27" fillId="0" borderId="3" xfId="1" applyNumberFormat="1" applyFont="1" applyFill="1" applyBorder="1" applyProtection="1"/>
    <xf numFmtId="175" fontId="25" fillId="0" borderId="0" xfId="0" applyNumberFormat="1" applyFont="1" applyProtection="1">
      <protection locked="0"/>
    </xf>
    <xf numFmtId="39" fontId="25" fillId="0" borderId="0" xfId="0" applyNumberFormat="1" applyFont="1" applyProtection="1">
      <protection locked="0"/>
    </xf>
    <xf numFmtId="168" fontId="25" fillId="0" borderId="0" xfId="2" applyNumberFormat="1" applyFont="1" applyProtection="1">
      <protection locked="0"/>
    </xf>
    <xf numFmtId="0" fontId="28" fillId="0" borderId="13" xfId="0" applyFont="1" applyBorder="1"/>
    <xf numFmtId="0" fontId="35" fillId="2" borderId="0" xfId="0" applyFont="1" applyFill="1" applyProtection="1">
      <protection locked="0"/>
    </xf>
    <xf numFmtId="0" fontId="37" fillId="0" borderId="0" xfId="0" applyFont="1" applyProtection="1">
      <protection locked="0"/>
    </xf>
    <xf numFmtId="0" fontId="37" fillId="0" borderId="0" xfId="0" applyFont="1"/>
    <xf numFmtId="0" fontId="37" fillId="2" borderId="0" xfId="0" applyFont="1" applyFill="1" applyProtection="1">
      <protection locked="0"/>
    </xf>
    <xf numFmtId="0" fontId="43" fillId="0" borderId="0" xfId="0" applyFont="1" applyProtection="1">
      <protection locked="0"/>
    </xf>
    <xf numFmtId="0" fontId="43" fillId="0" borderId="0" xfId="0" applyFont="1"/>
    <xf numFmtId="37" fontId="43" fillId="0" borderId="0" xfId="0" applyNumberFormat="1" applyFont="1" applyProtection="1">
      <protection locked="0"/>
    </xf>
    <xf numFmtId="172" fontId="26" fillId="9" borderId="4" xfId="2" applyNumberFormat="1" applyFont="1" applyFill="1" applyBorder="1" applyProtection="1">
      <protection locked="0"/>
    </xf>
    <xf numFmtId="0" fontId="28" fillId="0" borderId="1" xfId="0" applyFont="1" applyBorder="1" applyProtection="1">
      <protection locked="0"/>
    </xf>
    <xf numFmtId="37" fontId="28" fillId="0" borderId="1" xfId="0" applyNumberFormat="1" applyFont="1" applyBorder="1" applyProtection="1">
      <protection locked="0"/>
    </xf>
    <xf numFmtId="175" fontId="38" fillId="0" borderId="1" xfId="0" applyNumberFormat="1" applyFont="1" applyBorder="1" applyProtection="1">
      <protection locked="0"/>
    </xf>
    <xf numFmtId="37" fontId="49" fillId="0" borderId="0" xfId="0" applyNumberFormat="1" applyFont="1"/>
    <xf numFmtId="37" fontId="12" fillId="0" borderId="0" xfId="0" applyNumberFormat="1" applyFont="1"/>
    <xf numFmtId="37" fontId="12" fillId="0" borderId="1" xfId="0" applyNumberFormat="1" applyFont="1" applyBorder="1"/>
    <xf numFmtId="172" fontId="0" fillId="0" borderId="0" xfId="0" applyNumberFormat="1"/>
    <xf numFmtId="39" fontId="39" fillId="0" borderId="0" xfId="0" applyNumberFormat="1" applyFont="1" applyProtection="1">
      <protection locked="0"/>
    </xf>
    <xf numFmtId="0" fontId="28" fillId="0" borderId="1" xfId="0" applyFont="1" applyBorder="1"/>
    <xf numFmtId="0" fontId="34" fillId="0" borderId="1" xfId="0" applyFont="1" applyBorder="1" applyProtection="1">
      <protection locked="0"/>
    </xf>
    <xf numFmtId="173" fontId="39" fillId="0" borderId="0" xfId="0" applyNumberFormat="1" applyFont="1" applyProtection="1">
      <protection locked="0"/>
    </xf>
    <xf numFmtId="0" fontId="37" fillId="2" borderId="0" xfId="0" applyFont="1" applyFill="1" applyAlignment="1" applyProtection="1">
      <alignment horizontal="right"/>
      <protection locked="0"/>
    </xf>
    <xf numFmtId="175" fontId="39" fillId="0" borderId="0" xfId="0" applyNumberFormat="1" applyFont="1" applyProtection="1">
      <protection locked="0"/>
    </xf>
    <xf numFmtId="37" fontId="28" fillId="0" borderId="9" xfId="0" applyNumberFormat="1" applyFont="1" applyBorder="1" applyProtection="1">
      <protection locked="0"/>
    </xf>
    <xf numFmtId="0" fontId="44" fillId="0" borderId="3" xfId="0" applyFont="1" applyBorder="1"/>
    <xf numFmtId="3" fontId="39" fillId="0" borderId="0" xfId="0" applyNumberFormat="1" applyFont="1" applyProtection="1">
      <protection locked="0"/>
    </xf>
    <xf numFmtId="0" fontId="6" fillId="9" borderId="4" xfId="13" applyFont="1" applyFill="1" applyBorder="1"/>
    <xf numFmtId="0" fontId="6" fillId="9" borderId="4" xfId="13" applyFont="1" applyFill="1" applyBorder="1" applyAlignment="1">
      <alignment wrapText="1"/>
    </xf>
    <xf numFmtId="0" fontId="5" fillId="12" borderId="0" xfId="0" applyFont="1" applyFill="1"/>
    <xf numFmtId="170" fontId="2" fillId="0" borderId="0" xfId="0" applyNumberFormat="1" applyFont="1"/>
    <xf numFmtId="0" fontId="4" fillId="12" borderId="0" xfId="0" applyFont="1" applyFill="1"/>
    <xf numFmtId="0" fontId="2" fillId="12" borderId="0" xfId="0" applyFont="1" applyFill="1"/>
    <xf numFmtId="0" fontId="3" fillId="0" borderId="0" xfId="0" applyFont="1" applyAlignment="1">
      <alignment horizontal="left"/>
    </xf>
    <xf numFmtId="0" fontId="6" fillId="9" borderId="22" xfId="13" applyFont="1" applyFill="1" applyBorder="1"/>
    <xf numFmtId="0" fontId="0" fillId="9" borderId="24" xfId="0" applyFill="1" applyBorder="1"/>
    <xf numFmtId="0" fontId="6" fillId="9" borderId="16" xfId="13" applyFont="1" applyFill="1" applyBorder="1"/>
    <xf numFmtId="0" fontId="0" fillId="9" borderId="6" xfId="0" applyFill="1" applyBorder="1"/>
    <xf numFmtId="0" fontId="37" fillId="2" borderId="0" xfId="0" applyFont="1" applyFill="1"/>
    <xf numFmtId="0" fontId="34" fillId="0" borderId="0" xfId="0" applyFont="1" applyAlignment="1">
      <alignment horizontal="left" indent="1"/>
    </xf>
    <xf numFmtId="0" fontId="34" fillId="0" borderId="0" xfId="0" applyFont="1" applyAlignment="1">
      <alignment horizontal="center" vertical="center" wrapText="1"/>
    </xf>
    <xf numFmtId="0" fontId="28" fillId="0" borderId="0" xfId="0" applyFont="1" applyAlignment="1">
      <alignment horizontal="left" indent="1"/>
    </xf>
    <xf numFmtId="0" fontId="34" fillId="0" borderId="0" xfId="0" applyFont="1" applyAlignment="1">
      <alignment horizontal="left" vertical="top" indent="1"/>
    </xf>
    <xf numFmtId="0" fontId="27" fillId="0" borderId="0" xfId="5" applyFont="1" applyAlignment="1">
      <alignment vertical="center"/>
    </xf>
    <xf numFmtId="0" fontId="43" fillId="0" borderId="0" xfId="5" applyFont="1" applyAlignment="1">
      <alignment vertical="center"/>
    </xf>
    <xf numFmtId="0" fontId="28" fillId="10" borderId="0" xfId="0" applyFont="1" applyFill="1" applyAlignment="1">
      <alignment horizontal="center"/>
    </xf>
    <xf numFmtId="0" fontId="50" fillId="0" borderId="0" xfId="0" applyFont="1"/>
    <xf numFmtId="0" fontId="37" fillId="2" borderId="0" xfId="0" applyFont="1" applyFill="1" applyAlignment="1" applyProtection="1">
      <alignment horizontal="left"/>
      <protection locked="0"/>
    </xf>
    <xf numFmtId="0" fontId="37" fillId="2" borderId="0" xfId="0" applyFont="1" applyFill="1" applyAlignment="1" applyProtection="1">
      <alignment horizontal="left" indent="1"/>
      <protection locked="0"/>
    </xf>
    <xf numFmtId="165" fontId="37" fillId="2" borderId="0" xfId="0" applyNumberFormat="1" applyFont="1" applyFill="1" applyAlignment="1">
      <alignment horizontal="center"/>
    </xf>
    <xf numFmtId="0" fontId="51" fillId="2" borderId="0" xfId="0" applyFont="1" applyFill="1"/>
    <xf numFmtId="165" fontId="37" fillId="2" borderId="0" xfId="0" applyNumberFormat="1" applyFont="1" applyFill="1" applyAlignment="1" applyProtection="1">
      <alignment horizontal="center"/>
      <protection locked="0"/>
    </xf>
    <xf numFmtId="0" fontId="37" fillId="10" borderId="0" xfId="0" applyFont="1" applyFill="1" applyProtection="1">
      <protection locked="0"/>
    </xf>
    <xf numFmtId="0" fontId="35" fillId="10" borderId="0" xfId="0" applyFont="1" applyFill="1"/>
    <xf numFmtId="165" fontId="37" fillId="10" borderId="0" xfId="0" applyNumberFormat="1" applyFont="1" applyFill="1" applyProtection="1">
      <protection locked="0"/>
    </xf>
    <xf numFmtId="165" fontId="37" fillId="10" borderId="0" xfId="0" applyNumberFormat="1" applyFont="1" applyFill="1"/>
    <xf numFmtId="0" fontId="37" fillId="2" borderId="0" xfId="5" applyFont="1" applyFill="1" applyAlignment="1">
      <alignment vertical="center"/>
    </xf>
    <xf numFmtId="0" fontId="37" fillId="0" borderId="0" xfId="0" applyFont="1" applyAlignment="1" applyProtection="1">
      <alignment horizontal="left" indent="1"/>
      <protection locked="0"/>
    </xf>
    <xf numFmtId="0" fontId="27" fillId="10" borderId="0" xfId="5" applyFont="1" applyFill="1" applyAlignment="1">
      <alignment vertical="center"/>
    </xf>
    <xf numFmtId="0" fontId="43" fillId="10" borderId="0" xfId="5" applyFont="1" applyFill="1" applyAlignment="1">
      <alignment vertical="center"/>
    </xf>
    <xf numFmtId="0" fontId="27" fillId="0" borderId="25" xfId="5" applyFont="1" applyBorder="1" applyAlignment="1">
      <alignment vertical="center"/>
    </xf>
    <xf numFmtId="0" fontId="43" fillId="0" borderId="25" xfId="5" applyFont="1" applyBorder="1" applyAlignment="1">
      <alignment vertical="center"/>
    </xf>
    <xf numFmtId="0" fontId="27" fillId="0" borderId="0" xfId="5" applyFont="1" applyAlignment="1">
      <alignment horizontal="center" vertical="center"/>
    </xf>
    <xf numFmtId="0" fontId="27" fillId="0" borderId="0" xfId="5" applyFont="1" applyAlignment="1">
      <alignment horizontal="left" vertical="center" wrapText="1"/>
    </xf>
    <xf numFmtId="0" fontId="27" fillId="0" borderId="0" xfId="5" applyFont="1" applyAlignment="1">
      <alignment horizontal="left" vertical="top" wrapText="1"/>
    </xf>
    <xf numFmtId="0" fontId="25" fillId="0" borderId="0" xfId="0" applyFont="1" applyAlignment="1">
      <alignment horizontal="left" indent="1"/>
    </xf>
    <xf numFmtId="0" fontId="43" fillId="0" borderId="25" xfId="5" applyFont="1" applyBorder="1" applyAlignment="1">
      <alignment horizontal="right" vertical="center"/>
    </xf>
    <xf numFmtId="0" fontId="43" fillId="0" borderId="0" xfId="5" applyFont="1" applyAlignment="1">
      <alignment horizontal="left" vertical="center" indent="1"/>
    </xf>
    <xf numFmtId="0" fontId="53" fillId="0" borderId="0" xfId="5" applyFont="1" applyAlignment="1">
      <alignment vertical="center"/>
    </xf>
    <xf numFmtId="14" fontId="53" fillId="0" borderId="0" xfId="5" applyNumberFormat="1" applyFont="1" applyAlignment="1">
      <alignment horizontal="right" vertical="center"/>
    </xf>
    <xf numFmtId="0" fontId="6" fillId="9" borderId="21" xfId="13" applyFont="1" applyFill="1" applyBorder="1"/>
    <xf numFmtId="0" fontId="54" fillId="0" borderId="25" xfId="0" applyFont="1" applyBorder="1"/>
    <xf numFmtId="0" fontId="0" fillId="0" borderId="25" xfId="0" applyBorder="1"/>
    <xf numFmtId="0" fontId="3" fillId="0" borderId="25" xfId="0" applyFont="1" applyBorder="1"/>
    <xf numFmtId="39" fontId="0" fillId="0" borderId="0" xfId="0" applyNumberFormat="1" applyAlignment="1">
      <alignment horizontal="right"/>
    </xf>
    <xf numFmtId="0" fontId="55" fillId="2" borderId="0" xfId="0" applyFont="1" applyFill="1" applyAlignment="1">
      <alignment horizontal="right"/>
    </xf>
    <xf numFmtId="37" fontId="39" fillId="0" borderId="3" xfId="1" applyNumberFormat="1" applyFont="1" applyFill="1" applyBorder="1" applyProtection="1">
      <protection locked="0"/>
    </xf>
    <xf numFmtId="168" fontId="24" fillId="0" borderId="3" xfId="2" applyNumberFormat="1" applyFont="1" applyFill="1" applyBorder="1" applyProtection="1">
      <protection locked="0"/>
    </xf>
    <xf numFmtId="37" fontId="27" fillId="0" borderId="3" xfId="1" applyNumberFormat="1" applyFont="1" applyFill="1" applyBorder="1" applyProtection="1">
      <protection locked="0"/>
    </xf>
    <xf numFmtId="37" fontId="27" fillId="0" borderId="3" xfId="2" applyNumberFormat="1" applyFont="1" applyFill="1" applyBorder="1" applyProtection="1">
      <protection locked="0"/>
    </xf>
    <xf numFmtId="168" fontId="24" fillId="0" borderId="3" xfId="2" applyNumberFormat="1" applyFont="1" applyBorder="1" applyProtection="1">
      <protection locked="0"/>
    </xf>
    <xf numFmtId="37" fontId="27" fillId="0" borderId="3" xfId="0" applyNumberFormat="1" applyFont="1" applyBorder="1" applyProtection="1">
      <protection locked="0"/>
    </xf>
    <xf numFmtId="37" fontId="39" fillId="0" borderId="3" xfId="0" applyNumberFormat="1" applyFont="1" applyBorder="1" applyProtection="1">
      <protection locked="0"/>
    </xf>
    <xf numFmtId="37" fontId="25" fillId="0" borderId="3" xfId="0" applyNumberFormat="1" applyFont="1" applyBorder="1" applyProtection="1">
      <protection locked="0"/>
    </xf>
    <xf numFmtId="0" fontId="28" fillId="0" borderId="3" xfId="0" applyFont="1" applyBorder="1" applyProtection="1">
      <protection locked="0"/>
    </xf>
    <xf numFmtId="0" fontId="27" fillId="10" borderId="0" xfId="0" applyFont="1" applyFill="1"/>
    <xf numFmtId="0" fontId="35" fillId="0" borderId="0" xfId="0" applyFont="1"/>
    <xf numFmtId="0" fontId="37" fillId="10" borderId="0" xfId="0" applyFont="1" applyFill="1"/>
    <xf numFmtId="0" fontId="56" fillId="0" borderId="0" xfId="0" applyFont="1"/>
    <xf numFmtId="37" fontId="38" fillId="0" borderId="0" xfId="0" applyNumberFormat="1" applyFont="1"/>
    <xf numFmtId="37" fontId="34" fillId="0" borderId="0" xfId="0" applyNumberFormat="1" applyFont="1"/>
    <xf numFmtId="37" fontId="39" fillId="0" borderId="1" xfId="0" applyNumberFormat="1" applyFont="1" applyBorder="1"/>
    <xf numFmtId="168" fontId="26" fillId="0" borderId="0" xfId="2" applyNumberFormat="1" applyFont="1" applyAlignment="1">
      <alignment horizontal="right"/>
    </xf>
    <xf numFmtId="172" fontId="38" fillId="0" borderId="0" xfId="0" applyNumberFormat="1" applyFont="1"/>
    <xf numFmtId="172" fontId="26" fillId="0" borderId="0" xfId="0" applyNumberFormat="1" applyFont="1"/>
    <xf numFmtId="168" fontId="26" fillId="0" borderId="0" xfId="2" applyNumberFormat="1" applyFont="1" applyFill="1" applyBorder="1"/>
    <xf numFmtId="168" fontId="26" fillId="0" borderId="0" xfId="2" applyNumberFormat="1" applyFont="1"/>
    <xf numFmtId="173" fontId="27" fillId="0" borderId="0" xfId="0" applyNumberFormat="1" applyFont="1"/>
    <xf numFmtId="168" fontId="27" fillId="0" borderId="0" xfId="2" applyNumberFormat="1" applyFont="1"/>
    <xf numFmtId="0" fontId="27" fillId="0" borderId="1" xfId="0" applyFont="1" applyBorder="1"/>
    <xf numFmtId="37" fontId="38" fillId="0" borderId="1" xfId="0" applyNumberFormat="1" applyFont="1" applyBorder="1"/>
    <xf numFmtId="173" fontId="27" fillId="0" borderId="1" xfId="0" applyNumberFormat="1" applyFont="1" applyBorder="1"/>
    <xf numFmtId="168" fontId="27" fillId="0" borderId="1" xfId="2" applyNumberFormat="1" applyFont="1" applyBorder="1"/>
    <xf numFmtId="0" fontId="38" fillId="0" borderId="0" xfId="0" applyFont="1"/>
    <xf numFmtId="37" fontId="43" fillId="0" borderId="0" xfId="0" applyNumberFormat="1" applyFont="1"/>
    <xf numFmtId="173" fontId="43" fillId="0" borderId="0" xfId="0" applyNumberFormat="1" applyFont="1"/>
    <xf numFmtId="168" fontId="43" fillId="0" borderId="0" xfId="2" applyNumberFormat="1" applyFont="1"/>
    <xf numFmtId="0" fontId="27" fillId="0" borderId="19" xfId="0" applyFont="1" applyBorder="1"/>
    <xf numFmtId="37" fontId="38" fillId="0" borderId="7" xfId="0" applyNumberFormat="1" applyFont="1" applyBorder="1"/>
    <xf numFmtId="173" fontId="27" fillId="0" borderId="7" xfId="0" applyNumberFormat="1" applyFont="1" applyBorder="1"/>
    <xf numFmtId="168" fontId="27" fillId="0" borderId="17" xfId="2" applyNumberFormat="1" applyFont="1" applyBorder="1"/>
    <xf numFmtId="0" fontId="27" fillId="3" borderId="19" xfId="0" applyFont="1" applyFill="1" applyBorder="1"/>
    <xf numFmtId="0" fontId="27" fillId="3" borderId="7" xfId="0" applyFont="1" applyFill="1" applyBorder="1"/>
    <xf numFmtId="37" fontId="28" fillId="3" borderId="7" xfId="0" applyNumberFormat="1" applyFont="1" applyFill="1" applyBorder="1"/>
    <xf numFmtId="173" fontId="27" fillId="3" borderId="7" xfId="0" applyNumberFormat="1" applyFont="1" applyFill="1" applyBorder="1"/>
    <xf numFmtId="168" fontId="27" fillId="3" borderId="17" xfId="2" applyNumberFormat="1" applyFont="1" applyFill="1" applyBorder="1"/>
    <xf numFmtId="165" fontId="37" fillId="2" borderId="0" xfId="0" applyNumberFormat="1" applyFont="1" applyFill="1"/>
    <xf numFmtId="166" fontId="37" fillId="2" borderId="0" xfId="0" applyNumberFormat="1" applyFont="1" applyFill="1"/>
    <xf numFmtId="0" fontId="27" fillId="0" borderId="0" xfId="0" applyFont="1" applyAlignment="1">
      <alignment horizontal="left" indent="1"/>
    </xf>
    <xf numFmtId="10" fontId="27" fillId="0" borderId="0" xfId="2" applyNumberFormat="1" applyFont="1" applyFill="1" applyBorder="1" applyAlignment="1">
      <alignment horizontal="center"/>
    </xf>
    <xf numFmtId="168" fontId="24" fillId="0" borderId="0" xfId="2" applyNumberFormat="1" applyFont="1" applyFill="1" applyBorder="1"/>
    <xf numFmtId="0" fontId="24" fillId="0" borderId="0" xfId="0" applyFont="1"/>
    <xf numFmtId="10" fontId="57" fillId="11" borderId="7" xfId="2" applyNumberFormat="1" applyFont="1" applyFill="1" applyBorder="1" applyAlignment="1">
      <alignment horizontal="center"/>
    </xf>
    <xf numFmtId="0" fontId="57" fillId="11" borderId="7" xfId="0" applyFont="1" applyFill="1" applyBorder="1"/>
    <xf numFmtId="10" fontId="24" fillId="11" borderId="7" xfId="2" applyNumberFormat="1" applyFont="1" applyFill="1" applyBorder="1"/>
    <xf numFmtId="10" fontId="24" fillId="11" borderId="17" xfId="2" applyNumberFormat="1" applyFont="1" applyFill="1" applyBorder="1"/>
    <xf numFmtId="10" fontId="27" fillId="0" borderId="0" xfId="2" applyNumberFormat="1" applyFont="1" applyAlignment="1">
      <alignment horizontal="center"/>
    </xf>
    <xf numFmtId="4" fontId="39" fillId="0" borderId="0" xfId="0" applyNumberFormat="1" applyFont="1"/>
    <xf numFmtId="4" fontId="39" fillId="0" borderId="5" xfId="0" applyNumberFormat="1" applyFont="1" applyBorder="1"/>
    <xf numFmtId="2" fontId="27" fillId="4" borderId="0" xfId="0" applyNumberFormat="1" applyFont="1" applyFill="1"/>
    <xf numFmtId="2" fontId="27" fillId="0" borderId="0" xfId="0" applyNumberFormat="1" applyFont="1"/>
    <xf numFmtId="0" fontId="27" fillId="10" borderId="0" xfId="0" applyFont="1" applyFill="1" applyAlignment="1">
      <alignment horizontal="left" indent="1"/>
    </xf>
    <xf numFmtId="10" fontId="27" fillId="10" borderId="0" xfId="2" applyNumberFormat="1" applyFont="1" applyFill="1" applyAlignment="1">
      <alignment horizontal="center"/>
    </xf>
    <xf numFmtId="4" fontId="39" fillId="10" borderId="0" xfId="0" applyNumberFormat="1" applyFont="1" applyFill="1"/>
    <xf numFmtId="2" fontId="27" fillId="10" borderId="0" xfId="0" applyNumberFormat="1" applyFont="1" applyFill="1"/>
    <xf numFmtId="169" fontId="35" fillId="0" borderId="0" xfId="1" applyNumberFormat="1" applyFont="1"/>
    <xf numFmtId="169" fontId="27" fillId="0" borderId="0" xfId="1" applyNumberFormat="1" applyFont="1"/>
    <xf numFmtId="168" fontId="23" fillId="9" borderId="6" xfId="2" applyNumberFormat="1" applyFont="1" applyFill="1" applyBorder="1"/>
    <xf numFmtId="168" fontId="23" fillId="9" borderId="4" xfId="2" applyNumberFormat="1" applyFont="1" applyFill="1" applyBorder="1"/>
    <xf numFmtId="168" fontId="24" fillId="0" borderId="0" xfId="2" applyNumberFormat="1" applyFont="1"/>
    <xf numFmtId="0" fontId="28" fillId="4" borderId="0" xfId="0" applyFont="1" applyFill="1"/>
    <xf numFmtId="168" fontId="26" fillId="4" borderId="0" xfId="2" applyNumberFormat="1" applyFont="1" applyFill="1"/>
    <xf numFmtId="0" fontId="27" fillId="4" borderId="0" xfId="0" applyFont="1" applyFill="1"/>
    <xf numFmtId="168" fontId="28" fillId="0" borderId="0" xfId="2" applyNumberFormat="1" applyFont="1"/>
    <xf numFmtId="0" fontId="28" fillId="0" borderId="0" xfId="0" applyFont="1" applyAlignment="1">
      <alignment horizontal="left" indent="3"/>
    </xf>
    <xf numFmtId="169" fontId="58" fillId="0" borderId="0" xfId="1" applyNumberFormat="1" applyFont="1"/>
    <xf numFmtId="0" fontId="59" fillId="0" borderId="0" xfId="0" applyFont="1"/>
    <xf numFmtId="0" fontId="58" fillId="0" borderId="0" xfId="0" applyFont="1" applyAlignment="1">
      <alignment horizontal="left" indent="1"/>
    </xf>
    <xf numFmtId="168" fontId="24" fillId="0" borderId="5" xfId="2" applyNumberFormat="1" applyFont="1" applyBorder="1"/>
    <xf numFmtId="168" fontId="24" fillId="0" borderId="3" xfId="2" applyNumberFormat="1" applyFont="1" applyBorder="1"/>
    <xf numFmtId="168" fontId="24" fillId="0" borderId="3" xfId="2" applyNumberFormat="1" applyFont="1" applyFill="1" applyBorder="1"/>
    <xf numFmtId="9" fontId="28" fillId="0" borderId="0" xfId="2" applyFont="1"/>
    <xf numFmtId="9" fontId="28" fillId="0" borderId="3" xfId="2" applyFont="1" applyBorder="1"/>
    <xf numFmtId="0" fontId="25" fillId="10" borderId="0" xfId="0" applyFont="1" applyFill="1"/>
    <xf numFmtId="169" fontId="28" fillId="0" borderId="0" xfId="0" applyNumberFormat="1" applyFont="1"/>
    <xf numFmtId="3" fontId="23" fillId="9" borderId="6" xfId="0" applyNumberFormat="1" applyFont="1" applyFill="1" applyBorder="1"/>
    <xf numFmtId="3" fontId="23" fillId="0" borderId="0" xfId="0" applyNumberFormat="1" applyFont="1"/>
    <xf numFmtId="168" fontId="23" fillId="0" borderId="0" xfId="2" applyNumberFormat="1" applyFont="1"/>
    <xf numFmtId="0" fontId="39" fillId="10" borderId="0" xfId="0" applyFont="1" applyFill="1"/>
    <xf numFmtId="169" fontId="38" fillId="0" borderId="0" xfId="1" applyNumberFormat="1" applyFont="1"/>
    <xf numFmtId="168" fontId="60" fillId="0" borderId="0" xfId="2" applyNumberFormat="1" applyFont="1"/>
    <xf numFmtId="0" fontId="61" fillId="0" borderId="0" xfId="0" applyFont="1"/>
    <xf numFmtId="169" fontId="27" fillId="0" borderId="0" xfId="0" applyNumberFormat="1" applyFont="1"/>
    <xf numFmtId="168" fontId="26" fillId="0" borderId="0" xfId="0" applyNumberFormat="1" applyFont="1"/>
    <xf numFmtId="0" fontId="28" fillId="0" borderId="5" xfId="0" applyFont="1" applyBorder="1"/>
    <xf numFmtId="165" fontId="37" fillId="2" borderId="3" xfId="0" applyNumberFormat="1" applyFont="1" applyFill="1" applyBorder="1"/>
    <xf numFmtId="0" fontId="28" fillId="10" borderId="3" xfId="0" applyFont="1" applyFill="1" applyBorder="1"/>
    <xf numFmtId="169" fontId="38" fillId="0" borderId="5" xfId="1" applyNumberFormat="1" applyFont="1" applyBorder="1"/>
    <xf numFmtId="169" fontId="38" fillId="0" borderId="3" xfId="1" applyNumberFormat="1" applyFont="1" applyBorder="1"/>
    <xf numFmtId="169" fontId="27" fillId="0" borderId="3" xfId="1" applyNumberFormat="1" applyFont="1" applyBorder="1"/>
    <xf numFmtId="0" fontId="28" fillId="3" borderId="19" xfId="0" applyFont="1" applyFill="1" applyBorder="1" applyAlignment="1">
      <alignment horizontal="left" indent="1"/>
    </xf>
    <xf numFmtId="0" fontId="28" fillId="3" borderId="7" xfId="0" applyFont="1" applyFill="1" applyBorder="1"/>
    <xf numFmtId="169" fontId="28" fillId="3" borderId="7" xfId="0" applyNumberFormat="1" applyFont="1" applyFill="1" applyBorder="1"/>
    <xf numFmtId="169" fontId="28" fillId="3" borderId="20" xfId="0" applyNumberFormat="1" applyFont="1" applyFill="1" applyBorder="1"/>
    <xf numFmtId="169" fontId="28" fillId="3" borderId="17" xfId="0" applyNumberFormat="1" applyFont="1" applyFill="1" applyBorder="1"/>
    <xf numFmtId="0" fontId="35" fillId="0" borderId="5" xfId="0" applyFont="1" applyBorder="1"/>
    <xf numFmtId="0" fontId="28" fillId="0" borderId="0" xfId="0" applyFont="1" applyAlignment="1">
      <alignment horizontal="left" indent="2"/>
    </xf>
    <xf numFmtId="0" fontId="34" fillId="3" borderId="19" xfId="0" applyFont="1" applyFill="1" applyBorder="1" applyAlignment="1">
      <alignment horizontal="left" indent="2"/>
    </xf>
    <xf numFmtId="0" fontId="34" fillId="0" borderId="0" xfId="0" applyFont="1" applyAlignment="1">
      <alignment horizontal="left" indent="2"/>
    </xf>
    <xf numFmtId="169" fontId="28" fillId="0" borderId="5" xfId="0" applyNumberFormat="1" applyFont="1" applyBorder="1"/>
    <xf numFmtId="0" fontId="28" fillId="0" borderId="1" xfId="0" applyFont="1" applyBorder="1" applyAlignment="1">
      <alignment horizontal="left" indent="1"/>
    </xf>
    <xf numFmtId="172" fontId="38" fillId="0" borderId="1" xfId="0" applyNumberFormat="1" applyFont="1" applyBorder="1"/>
    <xf numFmtId="0" fontId="34" fillId="3" borderId="14" xfId="0" applyFont="1" applyFill="1" applyBorder="1" applyAlignment="1">
      <alignment horizontal="left" indent="1"/>
    </xf>
    <xf numFmtId="0" fontId="34" fillId="3" borderId="9" xfId="0" applyFont="1" applyFill="1" applyBorder="1"/>
    <xf numFmtId="172" fontId="43" fillId="3" borderId="12" xfId="0" applyNumberFormat="1" applyFont="1" applyFill="1" applyBorder="1"/>
    <xf numFmtId="0" fontId="34" fillId="3" borderId="15" xfId="0" applyFont="1" applyFill="1" applyBorder="1" applyAlignment="1">
      <alignment horizontal="left" indent="1"/>
    </xf>
    <xf numFmtId="0" fontId="34" fillId="3" borderId="1" xfId="0" applyFont="1" applyFill="1" applyBorder="1"/>
    <xf numFmtId="168" fontId="62" fillId="3" borderId="13" xfId="2" applyNumberFormat="1" applyFont="1" applyFill="1" applyBorder="1"/>
    <xf numFmtId="37" fontId="34" fillId="11" borderId="17" xfId="0" applyNumberFormat="1" applyFont="1" applyFill="1" applyBorder="1" applyProtection="1">
      <protection locked="0"/>
    </xf>
    <xf numFmtId="0" fontId="33" fillId="11" borderId="19" xfId="0" applyFont="1" applyFill="1" applyBorder="1" applyAlignment="1">
      <alignment horizontal="left" indent="1"/>
    </xf>
    <xf numFmtId="0" fontId="33" fillId="11" borderId="7" xfId="0" applyFont="1" applyFill="1" applyBorder="1"/>
    <xf numFmtId="0" fontId="33" fillId="11" borderId="7" xfId="0" applyFont="1" applyFill="1" applyBorder="1" applyProtection="1">
      <protection locked="0"/>
    </xf>
    <xf numFmtId="0" fontId="33" fillId="11" borderId="17" xfId="0" applyFont="1" applyFill="1" applyBorder="1"/>
    <xf numFmtId="37" fontId="33" fillId="11" borderId="7" xfId="0" applyNumberFormat="1" applyFont="1" applyFill="1" applyBorder="1" applyProtection="1">
      <protection locked="0"/>
    </xf>
    <xf numFmtId="37" fontId="33" fillId="11" borderId="7" xfId="0" applyNumberFormat="1" applyFont="1" applyFill="1" applyBorder="1"/>
    <xf numFmtId="0" fontId="33" fillId="11" borderId="17" xfId="0" applyFont="1" applyFill="1" applyBorder="1" applyProtection="1">
      <protection locked="0"/>
    </xf>
    <xf numFmtId="175" fontId="24" fillId="3" borderId="0" xfId="0" applyNumberFormat="1" applyFont="1" applyFill="1" applyProtection="1">
      <protection locked="0"/>
    </xf>
    <xf numFmtId="166" fontId="37" fillId="2" borderId="0" xfId="0" applyNumberFormat="1" applyFont="1" applyFill="1" applyAlignment="1">
      <alignment horizontal="center"/>
    </xf>
    <xf numFmtId="0" fontId="28" fillId="0" borderId="0" xfId="0" applyFont="1" applyAlignment="1">
      <alignment horizontal="left" vertical="top" wrapText="1"/>
    </xf>
    <xf numFmtId="0" fontId="28" fillId="0" borderId="0" xfId="0" applyFont="1" applyAlignment="1">
      <alignment horizontal="center"/>
    </xf>
    <xf numFmtId="0" fontId="53" fillId="0" borderId="0" xfId="5" applyFont="1" applyAlignment="1">
      <alignment horizontal="right" vertical="center"/>
    </xf>
    <xf numFmtId="0" fontId="24" fillId="0" borderId="0" xfId="5" applyFont="1" applyAlignment="1">
      <alignment vertical="center"/>
    </xf>
    <xf numFmtId="0" fontId="35" fillId="2" borderId="0" xfId="0" applyFont="1" applyFill="1" applyAlignment="1" applyProtection="1">
      <alignment horizontal="left" indent="1"/>
      <protection locked="0"/>
    </xf>
    <xf numFmtId="37" fontId="39" fillId="0" borderId="3" xfId="1" applyNumberFormat="1" applyFont="1" applyFill="1" applyBorder="1" applyProtection="1"/>
    <xf numFmtId="0" fontId="63" fillId="0" borderId="0" xfId="3" applyFont="1"/>
    <xf numFmtId="168" fontId="34" fillId="0" borderId="0" xfId="2" applyNumberFormat="1" applyFont="1"/>
    <xf numFmtId="1" fontId="37" fillId="2" borderId="0" xfId="0" applyNumberFormat="1" applyFont="1" applyFill="1"/>
    <xf numFmtId="1" fontId="37" fillId="2" borderId="0" xfId="0" applyNumberFormat="1" applyFont="1" applyFill="1" applyAlignment="1">
      <alignment horizontal="right"/>
    </xf>
    <xf numFmtId="1" fontId="37" fillId="0" borderId="0" xfId="0" applyNumberFormat="1" applyFont="1"/>
    <xf numFmtId="168" fontId="34" fillId="0" borderId="0" xfId="2" applyNumberFormat="1" applyFont="1" applyAlignment="1">
      <alignment horizontal="right"/>
    </xf>
    <xf numFmtId="0" fontId="28" fillId="0" borderId="3" xfId="0" applyFont="1" applyBorder="1" applyAlignment="1">
      <alignment horizontal="left" vertical="center"/>
    </xf>
    <xf numFmtId="0" fontId="28" fillId="9" borderId="4" xfId="0" applyFont="1" applyFill="1" applyBorder="1"/>
    <xf numFmtId="0" fontId="34" fillId="0" borderId="0" xfId="0" applyFont="1" applyAlignment="1">
      <alignment horizontal="left" vertical="center" indent="1"/>
    </xf>
    <xf numFmtId="0" fontId="25" fillId="0" borderId="0" xfId="0" applyFont="1" applyAlignment="1">
      <alignment horizontal="left" indent="2"/>
    </xf>
    <xf numFmtId="9" fontId="25" fillId="3" borderId="0" xfId="2" applyFont="1" applyFill="1"/>
    <xf numFmtId="37" fontId="34" fillId="3" borderId="0" xfId="2" applyNumberFormat="1" applyFont="1" applyFill="1"/>
    <xf numFmtId="0" fontId="34" fillId="0" borderId="0" xfId="0" applyFont="1" applyAlignment="1">
      <alignment horizontal="left" wrapText="1" indent="1"/>
    </xf>
    <xf numFmtId="168" fontId="25" fillId="0" borderId="0" xfId="2" applyNumberFormat="1" applyFont="1"/>
    <xf numFmtId="10" fontId="28" fillId="0" borderId="0" xfId="0" applyNumberFormat="1" applyFont="1"/>
    <xf numFmtId="165" fontId="40" fillId="0" borderId="0" xfId="0" applyNumberFormat="1" applyFont="1" applyAlignment="1">
      <alignment horizontal="center"/>
    </xf>
    <xf numFmtId="165" fontId="16" fillId="0" borderId="0" xfId="0" applyNumberFormat="1" applyFont="1" applyAlignment="1">
      <alignment horizontal="center"/>
    </xf>
    <xf numFmtId="0" fontId="51" fillId="0" borderId="0" xfId="3" applyFont="1" applyAlignment="1">
      <alignment horizontal="left" indent="1"/>
    </xf>
    <xf numFmtId="0" fontId="66" fillId="0" borderId="0" xfId="3" applyFont="1" applyAlignment="1">
      <alignment horizontal="left" indent="1"/>
    </xf>
    <xf numFmtId="0" fontId="64" fillId="0" borderId="0" xfId="3" applyFont="1" applyBorder="1" applyAlignment="1">
      <alignment horizontal="right"/>
    </xf>
    <xf numFmtId="170" fontId="8" fillId="0" borderId="0" xfId="0" applyNumberFormat="1" applyFont="1"/>
    <xf numFmtId="0" fontId="69" fillId="0" borderId="11" xfId="0" applyFont="1" applyBorder="1" applyAlignment="1">
      <alignment horizontal="right"/>
    </xf>
    <xf numFmtId="174" fontId="8" fillId="0" borderId="0" xfId="0" applyNumberFormat="1" applyFont="1"/>
    <xf numFmtId="39" fontId="8" fillId="0" borderId="0" xfId="0" applyNumberFormat="1" applyFont="1"/>
    <xf numFmtId="14" fontId="8" fillId="0" borderId="0" xfId="0" applyNumberFormat="1" applyFont="1"/>
    <xf numFmtId="0" fontId="68" fillId="0" borderId="0" xfId="0" applyFont="1"/>
    <xf numFmtId="0" fontId="55" fillId="2" borderId="0" xfId="0" applyFont="1" applyFill="1" applyAlignment="1">
      <alignment horizontal="left"/>
    </xf>
    <xf numFmtId="0" fontId="70" fillId="10" borderId="0" xfId="0" applyFont="1" applyFill="1"/>
    <xf numFmtId="0" fontId="71" fillId="0" borderId="0" xfId="0" applyFont="1"/>
    <xf numFmtId="0" fontId="70" fillId="0" borderId="0" xfId="0" applyFont="1"/>
    <xf numFmtId="0" fontId="72" fillId="0" borderId="0" xfId="0" applyFont="1"/>
    <xf numFmtId="9" fontId="27" fillId="3" borderId="0" xfId="2" applyFont="1" applyFill="1" applyProtection="1">
      <protection locked="0"/>
    </xf>
    <xf numFmtId="0" fontId="51" fillId="0" borderId="0" xfId="3" applyFont="1" applyAlignment="1">
      <alignment horizontal="left" vertical="top" indent="1"/>
    </xf>
    <xf numFmtId="0" fontId="66" fillId="0" borderId="0" xfId="3" applyFont="1" applyAlignment="1">
      <alignment horizontal="left" vertical="top" indent="1"/>
    </xf>
    <xf numFmtId="0" fontId="8" fillId="14" borderId="0" xfId="0" applyFont="1" applyFill="1"/>
    <xf numFmtId="0" fontId="50" fillId="10" borderId="0" xfId="0" applyFont="1" applyFill="1"/>
    <xf numFmtId="0" fontId="15" fillId="10" borderId="0" xfId="0" applyFont="1" applyFill="1" applyProtection="1">
      <protection locked="0"/>
    </xf>
    <xf numFmtId="0" fontId="15" fillId="10" borderId="0" xfId="0" applyFont="1" applyFill="1"/>
    <xf numFmtId="0" fontId="33" fillId="10" borderId="0" xfId="0" applyFont="1" applyFill="1" applyProtection="1">
      <protection locked="0"/>
    </xf>
    <xf numFmtId="0" fontId="8" fillId="10" borderId="0" xfId="0" applyFont="1" applyFill="1"/>
    <xf numFmtId="0" fontId="28" fillId="15" borderId="0" xfId="0" applyFont="1" applyFill="1"/>
    <xf numFmtId="9" fontId="28" fillId="0" borderId="0" xfId="2" applyFont="1" applyAlignment="1">
      <alignment horizontal="center"/>
    </xf>
    <xf numFmtId="173" fontId="28" fillId="0" borderId="0" xfId="2" applyNumberFormat="1" applyFont="1" applyAlignment="1">
      <alignment horizontal="center"/>
    </xf>
    <xf numFmtId="176" fontId="28" fillId="0" borderId="0" xfId="2" applyNumberFormat="1" applyFont="1" applyAlignment="1">
      <alignment horizontal="center"/>
    </xf>
    <xf numFmtId="9" fontId="8" fillId="0" borderId="0" xfId="2" applyFont="1"/>
    <xf numFmtId="2" fontId="80" fillId="0" borderId="0" xfId="0" applyNumberFormat="1" applyFont="1"/>
    <xf numFmtId="168" fontId="80" fillId="0" borderId="0" xfId="2" applyNumberFormat="1" applyFont="1"/>
    <xf numFmtId="0" fontId="80" fillId="0" borderId="0" xfId="0" applyFont="1"/>
    <xf numFmtId="3" fontId="80" fillId="0" borderId="0" xfId="0" applyNumberFormat="1" applyFont="1"/>
    <xf numFmtId="0" fontId="81" fillId="0" borderId="0" xfId="0" applyFont="1" applyAlignment="1">
      <alignment horizontal="right"/>
    </xf>
    <xf numFmtId="0" fontId="37" fillId="15" borderId="0" xfId="0" applyFont="1" applyFill="1"/>
    <xf numFmtId="177" fontId="28" fillId="0" borderId="0" xfId="2" applyNumberFormat="1" applyFont="1" applyAlignment="1">
      <alignment horizontal="center"/>
    </xf>
    <xf numFmtId="0" fontId="43" fillId="15" borderId="0" xfId="5" applyFont="1" applyFill="1" applyAlignment="1">
      <alignment vertical="center"/>
    </xf>
    <xf numFmtId="0" fontId="27" fillId="15" borderId="0" xfId="5" applyFont="1" applyFill="1" applyAlignment="1">
      <alignment vertical="center"/>
    </xf>
    <xf numFmtId="0" fontId="28" fillId="10" borderId="0" xfId="0" applyFont="1" applyFill="1" applyAlignment="1">
      <alignment horizontal="left" indent="1"/>
    </xf>
    <xf numFmtId="0" fontId="37" fillId="15" borderId="0" xfId="0" applyFont="1" applyFill="1" applyAlignment="1">
      <alignment horizontal="left"/>
    </xf>
    <xf numFmtId="0" fontId="67" fillId="15" borderId="0" xfId="0" applyFont="1" applyFill="1" applyAlignment="1">
      <alignment horizontal="center"/>
    </xf>
    <xf numFmtId="9" fontId="28" fillId="0" borderId="0" xfId="0" applyNumberFormat="1" applyFont="1" applyProtection="1">
      <protection locked="0"/>
    </xf>
    <xf numFmtId="39" fontId="28" fillId="0" borderId="0" xfId="0" applyNumberFormat="1" applyFont="1"/>
    <xf numFmtId="0" fontId="35" fillId="2" borderId="0" xfId="0" applyFont="1" applyFill="1" applyAlignment="1">
      <alignment horizontal="right"/>
    </xf>
    <xf numFmtId="9" fontId="35" fillId="2" borderId="0" xfId="0" applyNumberFormat="1" applyFont="1" applyFill="1" applyAlignment="1">
      <alignment horizontal="right"/>
    </xf>
    <xf numFmtId="168" fontId="26" fillId="9" borderId="4" xfId="0" applyNumberFormat="1" applyFont="1" applyFill="1" applyBorder="1" applyProtection="1">
      <protection locked="0"/>
    </xf>
    <xf numFmtId="173" fontId="26" fillId="9" borderId="4" xfId="0" applyNumberFormat="1" applyFont="1" applyFill="1" applyBorder="1" applyProtection="1">
      <protection locked="0"/>
    </xf>
    <xf numFmtId="168" fontId="27" fillId="0" borderId="0" xfId="0" applyNumberFormat="1" applyFont="1" applyProtection="1">
      <protection locked="0"/>
    </xf>
    <xf numFmtId="173" fontId="27" fillId="0" borderId="0" xfId="0" applyNumberFormat="1" applyFont="1" applyProtection="1">
      <protection locked="0"/>
    </xf>
    <xf numFmtId="178" fontId="8" fillId="10" borderId="0" xfId="0" applyNumberFormat="1" applyFont="1" applyFill="1"/>
    <xf numFmtId="178" fontId="5" fillId="10" borderId="0" xfId="0" applyNumberFormat="1" applyFont="1" applyFill="1"/>
    <xf numFmtId="0" fontId="43" fillId="0" borderId="0" xfId="0" applyFont="1" applyAlignment="1" applyProtection="1">
      <alignment horizontal="right"/>
      <protection locked="0"/>
    </xf>
    <xf numFmtId="0" fontId="26" fillId="0" borderId="0" xfId="0" applyFont="1" applyProtection="1">
      <protection locked="0"/>
    </xf>
    <xf numFmtId="168" fontId="27" fillId="0" borderId="0" xfId="2" applyNumberFormat="1" applyFont="1" applyProtection="1">
      <protection locked="0"/>
    </xf>
    <xf numFmtId="165" fontId="28" fillId="0" borderId="0" xfId="0" applyNumberFormat="1" applyFont="1" applyProtection="1">
      <protection locked="0"/>
    </xf>
    <xf numFmtId="166" fontId="28" fillId="0" borderId="0" xfId="0" applyNumberFormat="1" applyFont="1" applyProtection="1">
      <protection locked="0"/>
    </xf>
    <xf numFmtId="10" fontId="39" fillId="0" borderId="0" xfId="0" applyNumberFormat="1" applyFont="1"/>
    <xf numFmtId="0" fontId="34" fillId="16" borderId="19" xfId="0" applyFont="1" applyFill="1" applyBorder="1" applyAlignment="1">
      <alignment horizontal="left" indent="1"/>
    </xf>
    <xf numFmtId="168" fontId="23" fillId="0" borderId="0" xfId="2" applyNumberFormat="1" applyFont="1" applyFill="1" applyBorder="1" applyProtection="1">
      <protection locked="0"/>
    </xf>
    <xf numFmtId="3" fontId="35" fillId="0" borderId="0" xfId="0" applyNumberFormat="1" applyFont="1"/>
    <xf numFmtId="37" fontId="35" fillId="0" borderId="0" xfId="0" applyNumberFormat="1" applyFont="1"/>
    <xf numFmtId="179" fontId="23" fillId="9" borderId="4" xfId="2" applyNumberFormat="1" applyFont="1" applyFill="1" applyBorder="1" applyProtection="1">
      <protection locked="0"/>
    </xf>
    <xf numFmtId="0" fontId="82" fillId="0" borderId="0" xfId="0" applyFont="1"/>
    <xf numFmtId="2" fontId="26" fillId="9" borderId="4" xfId="0" applyNumberFormat="1" applyFont="1" applyFill="1" applyBorder="1" applyProtection="1">
      <protection locked="0"/>
    </xf>
    <xf numFmtId="2" fontId="26" fillId="9" borderId="4" xfId="0" applyNumberFormat="1" applyFont="1" applyFill="1" applyBorder="1"/>
    <xf numFmtId="0" fontId="42" fillId="2" borderId="0" xfId="0" applyFont="1" applyFill="1"/>
    <xf numFmtId="0" fontId="37" fillId="2" borderId="0" xfId="0" applyFont="1" applyFill="1" applyAlignment="1">
      <alignment horizontal="center"/>
    </xf>
    <xf numFmtId="0" fontId="28" fillId="0" borderId="0" xfId="0" applyFont="1" applyAlignment="1">
      <alignment horizontal="right"/>
    </xf>
    <xf numFmtId="37" fontId="28" fillId="0" borderId="0" xfId="1" applyNumberFormat="1" applyFont="1" applyAlignment="1">
      <alignment horizontal="right" wrapText="1"/>
    </xf>
    <xf numFmtId="172" fontId="28" fillId="0" borderId="0" xfId="1" applyNumberFormat="1" applyFont="1" applyAlignment="1">
      <alignment horizontal="right"/>
    </xf>
    <xf numFmtId="172" fontId="28" fillId="0" borderId="27" xfId="1" applyNumberFormat="1" applyFont="1" applyBorder="1" applyAlignment="1">
      <alignment horizontal="right"/>
    </xf>
    <xf numFmtId="0" fontId="28" fillId="0" borderId="27" xfId="0" applyFont="1" applyBorder="1"/>
    <xf numFmtId="0" fontId="34" fillId="11" borderId="14" xfId="0" applyFont="1" applyFill="1" applyBorder="1"/>
    <xf numFmtId="0" fontId="28" fillId="11" borderId="9" xfId="0" applyFont="1" applyFill="1" applyBorder="1"/>
    <xf numFmtId="172" fontId="34" fillId="11" borderId="9" xfId="0" applyNumberFormat="1" applyFont="1" applyFill="1" applyBorder="1"/>
    <xf numFmtId="172" fontId="34" fillId="11" borderId="28" xfId="0" applyNumberFormat="1" applyFont="1" applyFill="1" applyBorder="1"/>
    <xf numFmtId="168" fontId="34" fillId="11" borderId="9" xfId="2" applyNumberFormat="1" applyFont="1" applyFill="1" applyBorder="1"/>
    <xf numFmtId="0" fontId="28" fillId="11" borderId="28" xfId="0" applyFont="1" applyFill="1" applyBorder="1"/>
    <xf numFmtId="0" fontId="34" fillId="11" borderId="15" xfId="0" applyFont="1" applyFill="1" applyBorder="1"/>
    <xf numFmtId="0" fontId="28" fillId="11" borderId="1" xfId="0" applyFont="1" applyFill="1" applyBorder="1"/>
    <xf numFmtId="172" fontId="34" fillId="11" borderId="1" xfId="0" applyNumberFormat="1" applyFont="1" applyFill="1" applyBorder="1"/>
    <xf numFmtId="172" fontId="34" fillId="11" borderId="26" xfId="0" applyNumberFormat="1" applyFont="1" applyFill="1" applyBorder="1"/>
    <xf numFmtId="168" fontId="34" fillId="11" borderId="1" xfId="2" applyNumberFormat="1" applyFont="1" applyFill="1" applyBorder="1"/>
    <xf numFmtId="0" fontId="28" fillId="11" borderId="26" xfId="0" applyFont="1" applyFill="1" applyBorder="1"/>
    <xf numFmtId="9" fontId="28" fillId="11" borderId="12" xfId="0" applyNumberFormat="1" applyFont="1" applyFill="1" applyBorder="1"/>
    <xf numFmtId="9" fontId="28" fillId="11" borderId="13" xfId="0" applyNumberFormat="1" applyFont="1" applyFill="1" applyBorder="1"/>
    <xf numFmtId="14" fontId="28" fillId="0" borderId="0" xfId="0" applyNumberFormat="1" applyFont="1"/>
    <xf numFmtId="14" fontId="35" fillId="2" borderId="0" xfId="0" applyNumberFormat="1" applyFont="1" applyFill="1"/>
    <xf numFmtId="14" fontId="28" fillId="10" borderId="0" xfId="0" applyNumberFormat="1" applyFont="1" applyFill="1"/>
    <xf numFmtId="171" fontId="28" fillId="0" borderId="0" xfId="9" applyNumberFormat="1" applyFont="1" applyFill="1" applyAlignment="1">
      <alignment horizontal="right"/>
    </xf>
    <xf numFmtId="0" fontId="35" fillId="2" borderId="10" xfId="0" applyFont="1" applyFill="1" applyBorder="1"/>
    <xf numFmtId="0" fontId="37" fillId="2" borderId="10" xfId="0" applyFont="1" applyFill="1" applyBorder="1" applyAlignment="1">
      <alignment horizontal="right"/>
    </xf>
    <xf numFmtId="171" fontId="28" fillId="0" borderId="0" xfId="9" applyNumberFormat="1" applyFont="1" applyFill="1" applyAlignment="1">
      <alignment horizontal="left" indent="1"/>
    </xf>
    <xf numFmtId="10" fontId="26" fillId="9" borderId="4" xfId="2" applyNumberFormat="1" applyFont="1" applyFill="1" applyBorder="1"/>
    <xf numFmtId="168" fontId="28" fillId="0" borderId="0" xfId="2" applyNumberFormat="1" applyFont="1" applyFill="1" applyAlignment="1">
      <alignment horizontal="right"/>
    </xf>
    <xf numFmtId="0" fontId="58" fillId="0" borderId="0" xfId="0" applyFont="1" applyAlignment="1">
      <alignment horizontal="left" indent="3"/>
    </xf>
    <xf numFmtId="37" fontId="39" fillId="0" borderId="0" xfId="9" applyNumberFormat="1" applyFont="1" applyFill="1" applyAlignment="1">
      <alignment horizontal="right"/>
    </xf>
    <xf numFmtId="0" fontId="25" fillId="0" borderId="0" xfId="0" applyFont="1" applyAlignment="1">
      <alignment horizontal="left" indent="4"/>
    </xf>
    <xf numFmtId="4" fontId="39" fillId="0" borderId="0" xfId="2" applyNumberFormat="1" applyFont="1" applyFill="1" applyBorder="1"/>
    <xf numFmtId="4" fontId="28" fillId="0" borderId="0" xfId="2" applyNumberFormat="1" applyFont="1" applyFill="1" applyBorder="1"/>
    <xf numFmtId="10" fontId="28" fillId="0" borderId="0" xfId="2" applyNumberFormat="1" applyFont="1" applyFill="1" applyBorder="1"/>
    <xf numFmtId="10" fontId="38" fillId="0" borderId="1" xfId="2" applyNumberFormat="1" applyFont="1" applyFill="1" applyBorder="1"/>
    <xf numFmtId="2" fontId="28" fillId="0" borderId="0" xfId="0" applyNumberFormat="1" applyFont="1"/>
    <xf numFmtId="10" fontId="34" fillId="11" borderId="19" xfId="0" applyNumberFormat="1" applyFont="1" applyFill="1" applyBorder="1" applyAlignment="1">
      <alignment horizontal="left" indent="1"/>
    </xf>
    <xf numFmtId="10" fontId="34" fillId="11" borderId="7" xfId="0" applyNumberFormat="1" applyFont="1" applyFill="1" applyBorder="1"/>
    <xf numFmtId="0" fontId="34" fillId="0" borderId="0" xfId="0" applyFont="1" applyAlignment="1">
      <alignment horizontal="left" indent="5"/>
    </xf>
    <xf numFmtId="10" fontId="34" fillId="0" borderId="0" xfId="2" applyNumberFormat="1" applyFont="1" applyFill="1" applyBorder="1"/>
    <xf numFmtId="10" fontId="58" fillId="0" borderId="0" xfId="2" applyNumberFormat="1" applyFont="1" applyFill="1" applyBorder="1"/>
    <xf numFmtId="37" fontId="28" fillId="0" borderId="1" xfId="0" applyNumberFormat="1" applyFont="1" applyBorder="1"/>
    <xf numFmtId="3" fontId="28" fillId="0" borderId="0" xfId="0" applyNumberFormat="1" applyFont="1"/>
    <xf numFmtId="3" fontId="39" fillId="0" borderId="0" xfId="0" applyNumberFormat="1" applyFont="1"/>
    <xf numFmtId="3" fontId="26" fillId="9" borderId="4" xfId="0" applyNumberFormat="1" applyFont="1" applyFill="1" applyBorder="1"/>
    <xf numFmtId="168" fontId="39" fillId="0" borderId="1" xfId="2" applyNumberFormat="1" applyFont="1" applyFill="1" applyBorder="1"/>
    <xf numFmtId="10" fontId="28" fillId="9" borderId="4" xfId="2" applyNumberFormat="1" applyFont="1" applyFill="1" applyBorder="1"/>
    <xf numFmtId="0" fontId="34" fillId="11" borderId="19" xfId="0" applyFont="1" applyFill="1" applyBorder="1" applyAlignment="1">
      <alignment horizontal="left" indent="1"/>
    </xf>
    <xf numFmtId="0" fontId="28" fillId="11" borderId="7" xfId="0" applyFont="1" applyFill="1" applyBorder="1"/>
    <xf numFmtId="10" fontId="34" fillId="11" borderId="7" xfId="2" applyNumberFormat="1" applyFont="1" applyFill="1" applyBorder="1"/>
    <xf numFmtId="10" fontId="34" fillId="11" borderId="17" xfId="2" applyNumberFormat="1" applyFont="1" applyFill="1" applyBorder="1"/>
    <xf numFmtId="9" fontId="28" fillId="0" borderId="0" xfId="0" applyNumberFormat="1" applyFont="1"/>
    <xf numFmtId="0" fontId="28" fillId="16" borderId="7" xfId="0" applyFont="1" applyFill="1" applyBorder="1"/>
    <xf numFmtId="10" fontId="34" fillId="16" borderId="7" xfId="2" applyNumberFormat="1" applyFont="1" applyFill="1" applyBorder="1"/>
    <xf numFmtId="10" fontId="34" fillId="16" borderId="17" xfId="2" applyNumberFormat="1" applyFont="1" applyFill="1" applyBorder="1"/>
    <xf numFmtId="0" fontId="28" fillId="0" borderId="12" xfId="0" applyFont="1" applyBorder="1"/>
    <xf numFmtId="172" fontId="26" fillId="9" borderId="18" xfId="0" applyNumberFormat="1" applyFont="1" applyFill="1" applyBorder="1"/>
    <xf numFmtId="172" fontId="26" fillId="9" borderId="4" xfId="0" applyNumberFormat="1" applyFont="1" applyFill="1" applyBorder="1"/>
    <xf numFmtId="168" fontId="26" fillId="9" borderId="4" xfId="2" applyNumberFormat="1" applyFont="1" applyFill="1" applyBorder="1"/>
    <xf numFmtId="9" fontId="26" fillId="9" borderId="4" xfId="2" applyFont="1" applyFill="1" applyBorder="1"/>
    <xf numFmtId="0" fontId="28" fillId="4" borderId="0" xfId="0" applyFont="1" applyFill="1" applyAlignment="1" applyProtection="1">
      <alignment horizontal="left" indent="6"/>
      <protection locked="0"/>
    </xf>
    <xf numFmtId="0" fontId="7" fillId="0" borderId="0" xfId="3" applyAlignment="1">
      <alignment horizontal="left" vertical="top" indent="1"/>
    </xf>
    <xf numFmtId="0" fontId="0" fillId="9" borderId="24" xfId="0" applyFill="1" applyBorder="1" applyAlignment="1">
      <alignment wrapText="1"/>
    </xf>
    <xf numFmtId="3" fontId="0" fillId="0" borderId="0" xfId="0" applyNumberFormat="1"/>
    <xf numFmtId="168" fontId="0" fillId="0" borderId="0" xfId="2" applyNumberFormat="1" applyFont="1"/>
    <xf numFmtId="0" fontId="28" fillId="0" borderId="0" xfId="0" applyFont="1" applyAlignment="1" applyProtection="1">
      <alignment wrapText="1"/>
      <protection locked="0"/>
    </xf>
    <xf numFmtId="3" fontId="27" fillId="0" borderId="0" xfId="0" applyNumberFormat="1" applyFont="1" applyAlignment="1" applyProtection="1">
      <alignment horizontal="center" vertical="center"/>
      <protection locked="0"/>
    </xf>
    <xf numFmtId="0" fontId="43" fillId="0" borderId="0" xfId="0" applyFont="1" applyAlignment="1" applyProtection="1">
      <alignment horizontal="center" vertical="center"/>
      <protection locked="0"/>
    </xf>
    <xf numFmtId="0" fontId="34" fillId="0" borderId="0" xfId="0" applyFont="1" applyAlignment="1" applyProtection="1">
      <alignment horizontal="center" vertical="center"/>
      <protection locked="0"/>
    </xf>
    <xf numFmtId="37" fontId="28" fillId="0" borderId="0" xfId="0" applyNumberFormat="1" applyFont="1" applyAlignment="1" applyProtection="1">
      <alignment horizontal="center" vertical="center"/>
      <protection locked="0"/>
    </xf>
    <xf numFmtId="3" fontId="83" fillId="0" borderId="0" xfId="0" applyNumberFormat="1" applyFont="1" applyAlignment="1" applyProtection="1">
      <alignment horizontal="center" vertical="center"/>
      <protection locked="0"/>
    </xf>
    <xf numFmtId="37" fontId="83" fillId="0" borderId="0" xfId="0" applyNumberFormat="1" applyFont="1" applyAlignment="1" applyProtection="1">
      <alignment horizontal="center" vertical="center"/>
      <protection locked="0"/>
    </xf>
    <xf numFmtId="3" fontId="43" fillId="0" borderId="0" xfId="0" applyNumberFormat="1" applyFont="1" applyAlignment="1" applyProtection="1">
      <alignment horizontal="left" vertical="center"/>
      <protection locked="0"/>
    </xf>
    <xf numFmtId="3" fontId="34" fillId="0" borderId="0" xfId="0" applyNumberFormat="1" applyFont="1" applyProtection="1">
      <protection locked="0"/>
    </xf>
    <xf numFmtId="3" fontId="83" fillId="0" borderId="0" xfId="0" applyNumberFormat="1" applyFont="1" applyAlignment="1" applyProtection="1">
      <alignment horizontal="center"/>
      <protection locked="0"/>
    </xf>
    <xf numFmtId="10" fontId="51" fillId="0" borderId="0" xfId="0" applyNumberFormat="1" applyFont="1" applyProtection="1">
      <protection locked="0"/>
    </xf>
    <xf numFmtId="0" fontId="58" fillId="0" borderId="0" xfId="0" applyFont="1"/>
    <xf numFmtId="0" fontId="39" fillId="17" borderId="0" xfId="0" applyFont="1" applyFill="1" applyAlignment="1">
      <alignment horizontal="right"/>
    </xf>
    <xf numFmtId="0" fontId="27" fillId="0" borderId="0" xfId="0" applyFont="1" applyAlignment="1">
      <alignment horizontal="right"/>
    </xf>
    <xf numFmtId="0" fontId="39" fillId="0" borderId="0" xfId="0" applyFont="1" applyAlignment="1">
      <alignment horizontal="right"/>
    </xf>
    <xf numFmtId="0" fontId="39" fillId="0" borderId="0" xfId="0" applyFont="1"/>
    <xf numFmtId="0" fontId="27" fillId="17" borderId="0" xfId="0" applyFont="1" applyFill="1" applyAlignment="1">
      <alignment horizontal="right"/>
    </xf>
    <xf numFmtId="0" fontId="27" fillId="0" borderId="9" xfId="0" applyFont="1" applyBorder="1" applyAlignment="1">
      <alignment horizontal="right"/>
    </xf>
    <xf numFmtId="0" fontId="27" fillId="0" borderId="1" xfId="0" applyFont="1" applyBorder="1" applyAlignment="1">
      <alignment horizontal="right"/>
    </xf>
    <xf numFmtId="0" fontId="27" fillId="17" borderId="0" xfId="0" quotePrefix="1" applyFont="1" applyFill="1" applyAlignment="1">
      <alignment horizontal="right"/>
    </xf>
    <xf numFmtId="0" fontId="27" fillId="0" borderId="1" xfId="0" quotePrefix="1" applyFont="1" applyBorder="1" applyAlignment="1">
      <alignment horizontal="right"/>
    </xf>
    <xf numFmtId="0" fontId="27" fillId="0" borderId="0" xfId="0" quotePrefix="1" applyFont="1" applyAlignment="1">
      <alignment horizontal="right"/>
    </xf>
    <xf numFmtId="0" fontId="27" fillId="0" borderId="23" xfId="0" applyFont="1" applyBorder="1" applyAlignment="1">
      <alignment horizontal="right"/>
    </xf>
    <xf numFmtId="0" fontId="58" fillId="0" borderId="0" xfId="0" applyFont="1" applyAlignment="1">
      <alignment horizontal="right"/>
    </xf>
    <xf numFmtId="0" fontId="27" fillId="0" borderId="3" xfId="0" applyFont="1" applyBorder="1" applyAlignment="1">
      <alignment horizontal="right"/>
    </xf>
    <xf numFmtId="0" fontId="39" fillId="0" borderId="9" xfId="0" applyFont="1" applyBorder="1" applyAlignment="1">
      <alignment horizontal="right"/>
    </xf>
    <xf numFmtId="0" fontId="27" fillId="18" borderId="0" xfId="0" applyFont="1" applyFill="1" applyAlignment="1">
      <alignment horizontal="right"/>
    </xf>
    <xf numFmtId="0" fontId="39" fillId="18" borderId="0" xfId="0" applyFont="1" applyFill="1" applyAlignment="1">
      <alignment horizontal="right"/>
    </xf>
    <xf numFmtId="0" fontId="39" fillId="0" borderId="1" xfId="0" applyFont="1" applyBorder="1" applyAlignment="1">
      <alignment horizontal="right"/>
    </xf>
    <xf numFmtId="0" fontId="39" fillId="0" borderId="23" xfId="0" applyFont="1" applyBorder="1" applyAlignment="1">
      <alignment horizontal="right"/>
    </xf>
    <xf numFmtId="0" fontId="84" fillId="0" borderId="0" xfId="0" applyFont="1" applyAlignment="1">
      <alignment horizontal="right"/>
    </xf>
    <xf numFmtId="0" fontId="27" fillId="0" borderId="29" xfId="0" applyFont="1" applyBorder="1" applyAlignment="1">
      <alignment horizontal="right"/>
    </xf>
    <xf numFmtId="0" fontId="39" fillId="0" borderId="29" xfId="0" applyFont="1" applyBorder="1" applyAlignment="1">
      <alignment horizontal="right"/>
    </xf>
    <xf numFmtId="0" fontId="58" fillId="0" borderId="3" xfId="0" applyFont="1" applyBorder="1" applyAlignment="1">
      <alignment horizontal="right"/>
    </xf>
    <xf numFmtId="0" fontId="85" fillId="0" borderId="0" xfId="0" applyFont="1" applyAlignment="1">
      <alignment horizontal="right"/>
    </xf>
    <xf numFmtId="0" fontId="85" fillId="0" borderId="3" xfId="0" applyFont="1" applyBorder="1" applyAlignment="1">
      <alignment horizontal="right"/>
    </xf>
    <xf numFmtId="0" fontId="27" fillId="4" borderId="0" xfId="0" applyFont="1" applyFill="1" applyAlignment="1">
      <alignment horizontal="right"/>
    </xf>
    <xf numFmtId="0" fontId="20" fillId="4" borderId="0" xfId="0" applyFont="1" applyFill="1" applyAlignment="1">
      <alignment horizontal="right"/>
    </xf>
    <xf numFmtId="0" fontId="20" fillId="4" borderId="3" xfId="0" applyFont="1" applyFill="1" applyBorder="1" applyAlignment="1">
      <alignment horizontal="right"/>
    </xf>
    <xf numFmtId="0" fontId="58" fillId="4" borderId="0" xfId="0" applyFont="1" applyFill="1" applyAlignment="1">
      <alignment horizontal="right"/>
    </xf>
    <xf numFmtId="0" fontId="84" fillId="4" borderId="0" xfId="0" applyFont="1" applyFill="1" applyAlignment="1">
      <alignment horizontal="right"/>
    </xf>
    <xf numFmtId="0" fontId="15" fillId="4" borderId="0" xfId="0" applyFont="1" applyFill="1" applyProtection="1">
      <protection locked="0"/>
    </xf>
    <xf numFmtId="0" fontId="0" fillId="0" borderId="0" xfId="0" applyAlignment="1">
      <alignment wrapText="1"/>
    </xf>
    <xf numFmtId="0" fontId="7" fillId="0" borderId="0" xfId="3" applyAlignment="1">
      <alignment wrapText="1"/>
    </xf>
    <xf numFmtId="0" fontId="0" fillId="0" borderId="0" xfId="0" applyAlignment="1">
      <alignment horizontal="center"/>
    </xf>
    <xf numFmtId="0" fontId="3" fillId="0" borderId="0" xfId="0" applyFont="1" applyAlignment="1">
      <alignment vertical="center"/>
    </xf>
    <xf numFmtId="0" fontId="87" fillId="0" borderId="0" xfId="0" applyFont="1"/>
    <xf numFmtId="37" fontId="27" fillId="4" borderId="0" xfId="1" applyNumberFormat="1" applyFont="1" applyFill="1" applyBorder="1" applyProtection="1">
      <protection locked="0"/>
    </xf>
    <xf numFmtId="168" fontId="24" fillId="4" borderId="0" xfId="2" applyNumberFormat="1" applyFont="1" applyFill="1" applyBorder="1" applyAlignment="1" applyProtection="1">
      <alignment wrapText="1"/>
      <protection locked="0"/>
    </xf>
    <xf numFmtId="0" fontId="67" fillId="15" borderId="0" xfId="0" applyFont="1" applyFill="1" applyAlignment="1">
      <alignment horizontal="center" wrapText="1"/>
    </xf>
    <xf numFmtId="172" fontId="34" fillId="11" borderId="27" xfId="0" applyNumberFormat="1" applyFont="1" applyFill="1" applyBorder="1"/>
    <xf numFmtId="0" fontId="28" fillId="0" borderId="30" xfId="0" applyFont="1" applyBorder="1"/>
    <xf numFmtId="0" fontId="28" fillId="0" borderId="31" xfId="0" applyFont="1" applyBorder="1"/>
    <xf numFmtId="0" fontId="28" fillId="11" borderId="0" xfId="0" applyFont="1" applyFill="1"/>
    <xf numFmtId="168" fontId="34" fillId="11" borderId="0" xfId="2" applyNumberFormat="1" applyFont="1" applyFill="1" applyBorder="1"/>
    <xf numFmtId="172" fontId="34" fillId="11" borderId="0" xfId="0" applyNumberFormat="1" applyFont="1" applyFill="1"/>
    <xf numFmtId="0" fontId="28" fillId="11" borderId="27" xfId="0" applyFont="1" applyFill="1" applyBorder="1"/>
    <xf numFmtId="9" fontId="28" fillId="11" borderId="3" xfId="0" applyNumberFormat="1" applyFont="1" applyFill="1" applyBorder="1"/>
    <xf numFmtId="176" fontId="28" fillId="0" borderId="0" xfId="2" applyNumberFormat="1" applyFont="1" applyAlignment="1">
      <alignment horizontal="center" wrapText="1"/>
    </xf>
    <xf numFmtId="9" fontId="83" fillId="0" borderId="0" xfId="0" applyNumberFormat="1" applyFont="1" applyAlignment="1" applyProtection="1">
      <alignment horizontal="center" vertical="center"/>
      <protection locked="0"/>
    </xf>
    <xf numFmtId="0" fontId="15" fillId="4" borderId="0" xfId="0" applyFont="1" applyFill="1" applyAlignment="1">
      <alignment horizontal="left" indent="1"/>
    </xf>
    <xf numFmtId="0" fontId="37" fillId="2" borderId="0" xfId="0" applyFont="1" applyFill="1" applyAlignment="1">
      <alignment wrapText="1"/>
    </xf>
    <xf numFmtId="9" fontId="28" fillId="0" borderId="0" xfId="2" applyFont="1" applyAlignment="1">
      <alignment horizontal="center" wrapText="1"/>
    </xf>
    <xf numFmtId="172" fontId="28" fillId="0" borderId="0" xfId="1" applyNumberFormat="1" applyFont="1" applyBorder="1" applyAlignment="1">
      <alignment horizontal="right"/>
    </xf>
    <xf numFmtId="9" fontId="28" fillId="0" borderId="0" xfId="2" applyFont="1" applyBorder="1"/>
    <xf numFmtId="0" fontId="24" fillId="4" borderId="0" xfId="0" applyFont="1" applyFill="1" applyAlignment="1">
      <alignment horizontal="left" indent="2"/>
    </xf>
    <xf numFmtId="0" fontId="24" fillId="13" borderId="0" xfId="0" applyFont="1" applyFill="1" applyAlignment="1">
      <alignment horizontal="left" indent="2"/>
    </xf>
    <xf numFmtId="0" fontId="86" fillId="0" borderId="0" xfId="0" applyFont="1"/>
    <xf numFmtId="0" fontId="0" fillId="0" borderId="0" xfId="0" applyAlignment="1">
      <alignment horizontal="left" vertical="center"/>
    </xf>
    <xf numFmtId="0" fontId="88" fillId="0" borderId="0" xfId="0" applyFont="1"/>
    <xf numFmtId="0" fontId="88" fillId="0" borderId="0" xfId="0" applyFont="1" applyProtection="1">
      <protection locked="0"/>
    </xf>
    <xf numFmtId="0" fontId="89" fillId="0" borderId="0" xfId="0" applyFont="1" applyProtection="1">
      <protection locked="0"/>
    </xf>
    <xf numFmtId="0" fontId="88" fillId="0" borderId="0" xfId="0" applyFont="1" applyAlignment="1" applyProtection="1">
      <alignment horizontal="left" vertical="center"/>
      <protection locked="0"/>
    </xf>
    <xf numFmtId="0" fontId="27" fillId="0" borderId="0" xfId="0" applyFont="1" applyAlignment="1">
      <alignment horizontal="center" vertical="center"/>
    </xf>
    <xf numFmtId="0" fontId="28" fillId="0" borderId="0" xfId="0" applyFont="1" applyAlignment="1" applyProtection="1">
      <alignment horizontal="center" vertical="center"/>
      <protection locked="0"/>
    </xf>
    <xf numFmtId="1" fontId="28" fillId="0" borderId="0" xfId="0" applyNumberFormat="1" applyFont="1" applyAlignment="1" applyProtection="1">
      <alignment horizontal="center" vertical="center"/>
      <protection locked="0"/>
    </xf>
    <xf numFmtId="1" fontId="27" fillId="0" borderId="0" xfId="0" applyNumberFormat="1" applyFont="1" applyAlignment="1">
      <alignment horizontal="center" vertical="center"/>
    </xf>
    <xf numFmtId="168" fontId="83" fillId="0" borderId="0" xfId="0" applyNumberFormat="1" applyFont="1" applyAlignment="1" applyProtection="1">
      <alignment horizontal="center" vertical="center"/>
      <protection locked="0"/>
    </xf>
    <xf numFmtId="170" fontId="28" fillId="0" borderId="0" xfId="0" applyNumberFormat="1" applyFont="1" applyAlignment="1" applyProtection="1">
      <alignment horizontal="center" vertical="center"/>
      <protection locked="0"/>
    </xf>
    <xf numFmtId="3" fontId="27" fillId="0" borderId="0" xfId="0" applyNumberFormat="1" applyFont="1" applyAlignment="1" applyProtection="1">
      <alignment horizontal="center"/>
      <protection locked="0"/>
    </xf>
    <xf numFmtId="1" fontId="28" fillId="0" borderId="0" xfId="0" applyNumberFormat="1" applyFont="1" applyProtection="1">
      <protection locked="0"/>
    </xf>
    <xf numFmtId="0" fontId="28" fillId="0" borderId="0" xfId="0" applyFont="1" applyAlignment="1" applyProtection="1">
      <alignment vertical="center"/>
      <protection locked="0"/>
    </xf>
    <xf numFmtId="10" fontId="26" fillId="9" borderId="4" xfId="2" applyNumberFormat="1" applyFont="1" applyFill="1" applyBorder="1" applyAlignment="1">
      <alignment horizontal="right" vertical="center"/>
    </xf>
    <xf numFmtId="10" fontId="26" fillId="9" borderId="4" xfId="2" applyNumberFormat="1" applyFont="1" applyFill="1" applyBorder="1" applyAlignment="1">
      <alignment horizontal="right"/>
    </xf>
    <xf numFmtId="169" fontId="23" fillId="9" borderId="4" xfId="2" applyNumberFormat="1" applyFont="1" applyFill="1" applyBorder="1" applyProtection="1">
      <protection locked="0"/>
    </xf>
    <xf numFmtId="37" fontId="27" fillId="0" borderId="0" xfId="1" applyNumberFormat="1" applyFont="1" applyFill="1" applyBorder="1" applyAlignment="1" applyProtection="1">
      <alignment wrapText="1"/>
      <protection locked="0"/>
    </xf>
    <xf numFmtId="0" fontId="90" fillId="0" borderId="0" xfId="0" applyFont="1"/>
    <xf numFmtId="180" fontId="80" fillId="0" borderId="0" xfId="0" applyNumberFormat="1" applyFont="1"/>
    <xf numFmtId="181" fontId="80" fillId="0" borderId="0" xfId="0" applyNumberFormat="1" applyFont="1"/>
    <xf numFmtId="169" fontId="28" fillId="0" borderId="0" xfId="0" applyNumberFormat="1" applyFont="1" applyProtection="1">
      <protection locked="0"/>
    </xf>
    <xf numFmtId="169" fontId="27" fillId="0" borderId="0" xfId="0" applyNumberFormat="1" applyFont="1" applyProtection="1">
      <protection locked="0"/>
    </xf>
    <xf numFmtId="169" fontId="43" fillId="0" borderId="0" xfId="0" applyNumberFormat="1" applyFont="1" applyAlignment="1" applyProtection="1">
      <alignment horizontal="center" vertical="center"/>
      <protection locked="0"/>
    </xf>
    <xf numFmtId="169" fontId="34" fillId="0" borderId="0" xfId="0" applyNumberFormat="1" applyFont="1" applyAlignment="1" applyProtection="1">
      <alignment horizontal="center" vertical="center"/>
      <protection locked="0"/>
    </xf>
    <xf numFmtId="169" fontId="83" fillId="0" borderId="0" xfId="0" applyNumberFormat="1" applyFont="1" applyAlignment="1" applyProtection="1">
      <alignment horizontal="center" vertical="center"/>
      <protection locked="0"/>
    </xf>
    <xf numFmtId="169" fontId="27" fillId="0" borderId="0" xfId="0" applyNumberFormat="1" applyFont="1" applyAlignment="1" applyProtection="1">
      <alignment horizontal="center" vertical="center"/>
      <protection locked="0"/>
    </xf>
    <xf numFmtId="169" fontId="43" fillId="0" borderId="0" xfId="0" applyNumberFormat="1" applyFont="1" applyAlignment="1" applyProtection="1">
      <alignment horizontal="left" vertical="center"/>
      <protection locked="0"/>
    </xf>
    <xf numFmtId="169" fontId="27" fillId="0" borderId="0" xfId="0" applyNumberFormat="1" applyFont="1" applyAlignment="1">
      <alignment horizontal="center" vertical="center"/>
    </xf>
    <xf numFmtId="169" fontId="28" fillId="0" borderId="0" xfId="0" applyNumberFormat="1" applyFont="1" applyAlignment="1" applyProtection="1">
      <alignment horizontal="center" vertical="center"/>
      <protection locked="0"/>
    </xf>
    <xf numFmtId="169" fontId="58" fillId="0" borderId="0" xfId="0" applyNumberFormat="1" applyFont="1"/>
    <xf numFmtId="169" fontId="27" fillId="0" borderId="0" xfId="0" applyNumberFormat="1" applyFont="1" applyAlignment="1">
      <alignment horizontal="right"/>
    </xf>
    <xf numFmtId="169" fontId="34" fillId="0" borderId="0" xfId="0" applyNumberFormat="1" applyFont="1" applyProtection="1">
      <protection locked="0"/>
    </xf>
    <xf numFmtId="0" fontId="28" fillId="0" borderId="0" xfId="0" applyFont="1" applyAlignment="1" applyProtection="1">
      <alignment horizontal="center"/>
      <protection locked="0"/>
    </xf>
    <xf numFmtId="0" fontId="91" fillId="4" borderId="0" xfId="0" applyFont="1" applyFill="1"/>
    <xf numFmtId="0" fontId="83" fillId="0" borderId="0" xfId="0" applyFont="1" applyAlignment="1" applyProtection="1">
      <alignment horizontal="center"/>
      <protection locked="0"/>
    </xf>
    <xf numFmtId="10" fontId="28" fillId="0" borderId="0" xfId="2" applyNumberFormat="1" applyFont="1" applyAlignment="1">
      <alignment horizontal="center"/>
    </xf>
    <xf numFmtId="169" fontId="95" fillId="0" borderId="0" xfId="0" applyNumberFormat="1" applyFont="1" applyProtection="1">
      <protection locked="0"/>
    </xf>
    <xf numFmtId="0" fontId="58" fillId="4" borderId="0" xfId="0" applyFont="1" applyFill="1" applyAlignment="1">
      <alignment horizontal="left" indent="3"/>
    </xf>
    <xf numFmtId="37" fontId="34" fillId="11" borderId="32" xfId="0" applyNumberFormat="1" applyFont="1" applyFill="1" applyBorder="1" applyProtection="1">
      <protection locked="0"/>
    </xf>
    <xf numFmtId="10" fontId="26" fillId="9" borderId="4" xfId="2" applyNumberFormat="1" applyFont="1" applyFill="1" applyBorder="1" applyAlignment="1">
      <alignment wrapText="1"/>
    </xf>
    <xf numFmtId="10" fontId="97" fillId="9" borderId="4" xfId="2" applyNumberFormat="1" applyFont="1" applyFill="1" applyBorder="1" applyAlignment="1">
      <alignment wrapText="1"/>
    </xf>
    <xf numFmtId="0" fontId="34" fillId="11" borderId="33" xfId="0" applyFont="1" applyFill="1" applyBorder="1" applyProtection="1">
      <protection locked="0"/>
    </xf>
    <xf numFmtId="0" fontId="34" fillId="11" borderId="34" xfId="0" applyFont="1" applyFill="1" applyBorder="1"/>
    <xf numFmtId="0" fontId="34" fillId="11" borderId="34" xfId="0" applyFont="1" applyFill="1" applyBorder="1" applyProtection="1">
      <protection locked="0"/>
    </xf>
    <xf numFmtId="37" fontId="34" fillId="11" borderId="34" xfId="0" applyNumberFormat="1" applyFont="1" applyFill="1" applyBorder="1" applyProtection="1">
      <protection locked="0"/>
    </xf>
    <xf numFmtId="37" fontId="34" fillId="11" borderId="35" xfId="0" applyNumberFormat="1" applyFont="1" applyFill="1" applyBorder="1" applyProtection="1">
      <protection locked="0"/>
    </xf>
    <xf numFmtId="0" fontId="34" fillId="11" borderId="30" xfId="0" applyFont="1" applyFill="1" applyBorder="1"/>
    <xf numFmtId="0" fontId="34" fillId="11" borderId="30" xfId="0" applyFont="1" applyFill="1" applyBorder="1" applyProtection="1">
      <protection locked="0"/>
    </xf>
    <xf numFmtId="37" fontId="34" fillId="11" borderId="30" xfId="0" applyNumberFormat="1" applyFont="1" applyFill="1" applyBorder="1" applyProtection="1">
      <protection locked="0"/>
    </xf>
    <xf numFmtId="0" fontId="98" fillId="11" borderId="33" xfId="0" applyFont="1" applyFill="1" applyBorder="1" applyProtection="1">
      <protection locked="0"/>
    </xf>
    <xf numFmtId="37" fontId="98" fillId="11" borderId="30" xfId="0" applyNumberFormat="1" applyFont="1" applyFill="1" applyBorder="1" applyProtection="1">
      <protection locked="0"/>
    </xf>
    <xf numFmtId="37" fontId="34" fillId="11" borderId="30" xfId="0" applyNumberFormat="1" applyFont="1" applyFill="1" applyBorder="1" applyAlignment="1" applyProtection="1">
      <alignment wrapText="1"/>
      <protection locked="0"/>
    </xf>
    <xf numFmtId="0" fontId="28" fillId="0" borderId="1" xfId="0" applyFont="1" applyBorder="1" applyAlignment="1" applyProtection="1">
      <alignment wrapText="1"/>
      <protection locked="0"/>
    </xf>
    <xf numFmtId="2" fontId="28" fillId="0" borderId="0" xfId="0" applyNumberFormat="1" applyFont="1" applyAlignment="1" applyProtection="1">
      <alignment wrapText="1"/>
      <protection locked="0"/>
    </xf>
    <xf numFmtId="2" fontId="95" fillId="0" borderId="0" xfId="0" applyNumberFormat="1" applyFont="1" applyProtection="1">
      <protection locked="0"/>
    </xf>
    <xf numFmtId="0" fontId="95" fillId="0" borderId="0" xfId="0" applyFont="1" applyProtection="1">
      <protection locked="0"/>
    </xf>
    <xf numFmtId="10" fontId="96" fillId="0" borderId="0" xfId="0" applyNumberFormat="1" applyFont="1" applyProtection="1">
      <protection locked="0"/>
    </xf>
    <xf numFmtId="2" fontId="96" fillId="0" borderId="0" xfId="0" applyNumberFormat="1" applyFont="1" applyProtection="1">
      <protection locked="0"/>
    </xf>
    <xf numFmtId="17" fontId="0" fillId="4" borderId="0" xfId="0" applyNumberFormat="1" applyFill="1"/>
    <xf numFmtId="14" fontId="0" fillId="4" borderId="0" xfId="0" applyNumberFormat="1" applyFill="1"/>
    <xf numFmtId="0" fontId="20" fillId="4" borderId="0" xfId="0" applyFont="1" applyFill="1" applyAlignment="1">
      <alignment horizontal="left" indent="1"/>
    </xf>
    <xf numFmtId="168" fontId="28" fillId="0" borderId="0" xfId="0" applyNumberFormat="1" applyFont="1"/>
    <xf numFmtId="2" fontId="97" fillId="9" borderId="4" xfId="0" applyNumberFormat="1" applyFont="1" applyFill="1" applyBorder="1" applyProtection="1">
      <protection locked="0"/>
    </xf>
    <xf numFmtId="170" fontId="28" fillId="0" borderId="0" xfId="0" applyNumberFormat="1" applyFont="1"/>
    <xf numFmtId="173" fontId="28" fillId="0" borderId="0" xfId="0" applyNumberFormat="1" applyFont="1"/>
    <xf numFmtId="0" fontId="27" fillId="0" borderId="36" xfId="5" applyFont="1" applyBorder="1" applyAlignment="1">
      <alignment vertical="center"/>
    </xf>
    <xf numFmtId="0" fontId="27" fillId="0" borderId="36" xfId="5" applyFont="1" applyBorder="1" applyAlignment="1">
      <alignment vertical="center" wrapText="1"/>
    </xf>
    <xf numFmtId="10" fontId="27" fillId="0" borderId="36" xfId="5" applyNumberFormat="1" applyFont="1" applyBorder="1" applyAlignment="1">
      <alignment vertical="center"/>
    </xf>
    <xf numFmtId="9" fontId="27" fillId="0" borderId="36" xfId="5" applyNumberFormat="1" applyFont="1" applyBorder="1" applyAlignment="1">
      <alignment vertical="center"/>
    </xf>
    <xf numFmtId="0" fontId="43" fillId="0" borderId="36" xfId="5" applyFont="1" applyBorder="1" applyAlignment="1">
      <alignment horizontal="center" vertical="center"/>
    </xf>
    <xf numFmtId="0" fontId="43" fillId="0" borderId="36" xfId="5" applyFont="1" applyBorder="1" applyAlignment="1">
      <alignment vertical="center"/>
    </xf>
    <xf numFmtId="0" fontId="3" fillId="0" borderId="36" xfId="0" applyFont="1" applyBorder="1" applyAlignment="1">
      <alignment wrapText="1"/>
    </xf>
    <xf numFmtId="0" fontId="3" fillId="0" borderId="36" xfId="0" applyFont="1" applyBorder="1" applyAlignment="1">
      <alignment horizontal="right" wrapText="1"/>
    </xf>
    <xf numFmtId="0" fontId="0" fillId="0" borderId="36" xfId="0" applyBorder="1" applyAlignment="1">
      <alignment wrapText="1"/>
    </xf>
    <xf numFmtId="10" fontId="0" fillId="0" borderId="36" xfId="0" applyNumberFormat="1" applyBorder="1" applyAlignment="1">
      <alignment wrapText="1"/>
    </xf>
    <xf numFmtId="0" fontId="99" fillId="0" borderId="0" xfId="0" applyFont="1"/>
    <xf numFmtId="0" fontId="99" fillId="0" borderId="3" xfId="0" applyFont="1" applyBorder="1" applyAlignment="1">
      <alignment horizontal="left" vertical="center"/>
    </xf>
    <xf numFmtId="0" fontId="99" fillId="0" borderId="0" xfId="0" applyFont="1" applyAlignment="1">
      <alignment vertical="top" wrapText="1"/>
    </xf>
    <xf numFmtId="0" fontId="99" fillId="0" borderId="0" xfId="0" applyFont="1" applyAlignment="1">
      <alignment horizontal="center" vertical="top"/>
    </xf>
    <xf numFmtId="0" fontId="99" fillId="0" borderId="0" xfId="0" applyFont="1" applyProtection="1">
      <protection locked="0"/>
    </xf>
    <xf numFmtId="0" fontId="99" fillId="0" borderId="3" xfId="0" applyFont="1" applyBorder="1" applyAlignment="1">
      <alignment vertical="center"/>
    </xf>
    <xf numFmtId="0" fontId="99" fillId="0" borderId="0" xfId="0" applyFont="1" applyAlignment="1">
      <alignment vertical="top"/>
    </xf>
    <xf numFmtId="0" fontId="99" fillId="0" borderId="3" xfId="0" applyFont="1" applyBorder="1"/>
    <xf numFmtId="0" fontId="99" fillId="0" borderId="0" xfId="0" applyFont="1" applyAlignment="1" applyProtection="1">
      <alignment horizontal="left" vertical="center"/>
      <protection locked="0"/>
    </xf>
    <xf numFmtId="0" fontId="100" fillId="0" borderId="0" xfId="0" applyFont="1" applyAlignment="1">
      <alignment horizontal="left" vertical="center"/>
    </xf>
    <xf numFmtId="0" fontId="100" fillId="0" borderId="0" xfId="0" applyFont="1" applyAlignment="1">
      <alignment horizontal="center" wrapText="1"/>
    </xf>
    <xf numFmtId="0" fontId="101" fillId="0" borderId="0" xfId="0" applyFont="1"/>
    <xf numFmtId="0" fontId="102" fillId="4" borderId="0" xfId="0" applyFont="1" applyFill="1" applyAlignment="1">
      <alignment horizontal="left" vertical="top"/>
    </xf>
    <xf numFmtId="0" fontId="100" fillId="0" borderId="0" xfId="0" applyFont="1" applyAlignment="1">
      <alignment horizontal="center"/>
    </xf>
    <xf numFmtId="0" fontId="104" fillId="0" borderId="0" xfId="0" applyFont="1"/>
    <xf numFmtId="0" fontId="100" fillId="4" borderId="0" xfId="0" applyFont="1" applyFill="1"/>
    <xf numFmtId="0" fontId="100" fillId="0" borderId="0" xfId="0" applyFont="1" applyAlignment="1">
      <alignment horizontal="center" vertical="top"/>
    </xf>
    <xf numFmtId="0" fontId="103" fillId="4" borderId="0" xfId="0" applyFont="1" applyFill="1"/>
    <xf numFmtId="0" fontId="100" fillId="0" borderId="0" xfId="0" applyFont="1"/>
    <xf numFmtId="0" fontId="100" fillId="0" borderId="0" xfId="0" applyFont="1" applyProtection="1">
      <protection locked="0"/>
    </xf>
    <xf numFmtId="0" fontId="104" fillId="0" borderId="0" xfId="0" applyFont="1" applyProtection="1">
      <protection locked="0"/>
    </xf>
    <xf numFmtId="0" fontId="105" fillId="0" borderId="0" xfId="0" applyFont="1" applyAlignment="1">
      <alignment vertical="center"/>
    </xf>
    <xf numFmtId="0" fontId="105" fillId="0" borderId="0" xfId="0" applyFont="1" applyAlignment="1">
      <alignment vertical="center" wrapText="1" indent="1"/>
    </xf>
    <xf numFmtId="0" fontId="105" fillId="0" borderId="0" xfId="0" applyFont="1" applyAlignment="1">
      <alignment horizontal="left" vertical="center" wrapText="1" indent="1"/>
    </xf>
    <xf numFmtId="0" fontId="102" fillId="4" borderId="0" xfId="0" applyFont="1" applyFill="1"/>
    <xf numFmtId="172" fontId="28" fillId="15" borderId="0" xfId="1" applyNumberFormat="1" applyFont="1" applyFill="1" applyAlignment="1">
      <alignment horizontal="right"/>
    </xf>
    <xf numFmtId="172" fontId="58" fillId="20" borderId="0" xfId="1" applyNumberFormat="1" applyFont="1" applyFill="1" applyAlignment="1">
      <alignment horizontal="right"/>
    </xf>
    <xf numFmtId="172" fontId="28" fillId="20" borderId="0" xfId="1" applyNumberFormat="1" applyFont="1" applyFill="1" applyAlignment="1">
      <alignment horizontal="right"/>
    </xf>
    <xf numFmtId="172" fontId="28" fillId="4" borderId="0" xfId="1" applyNumberFormat="1" applyFont="1" applyFill="1" applyAlignment="1">
      <alignment horizontal="right"/>
    </xf>
    <xf numFmtId="172" fontId="28" fillId="4" borderId="27" xfId="1" applyNumberFormat="1" applyFont="1" applyFill="1" applyBorder="1" applyAlignment="1">
      <alignment horizontal="right"/>
    </xf>
    <xf numFmtId="9" fontId="28" fillId="4" borderId="0" xfId="2" applyFont="1" applyFill="1" applyAlignment="1">
      <alignment horizontal="center"/>
    </xf>
    <xf numFmtId="176" fontId="28" fillId="4" borderId="0" xfId="2" applyNumberFormat="1" applyFont="1" applyFill="1" applyAlignment="1">
      <alignment horizontal="center"/>
    </xf>
    <xf numFmtId="0" fontId="76" fillId="0" borderId="0" xfId="0" applyFont="1" applyAlignment="1">
      <alignment horizontal="left" vertical="top" wrapText="1"/>
    </xf>
    <xf numFmtId="0" fontId="28" fillId="0" borderId="0" xfId="0" applyFont="1" applyAlignment="1">
      <alignment vertical="center" wrapText="1" indent="1"/>
    </xf>
    <xf numFmtId="0" fontId="53" fillId="0" borderId="0" xfId="5" applyFont="1" applyAlignment="1">
      <alignment horizontal="right" vertical="center"/>
    </xf>
    <xf numFmtId="0" fontId="27" fillId="0" borderId="0" xfId="5" applyFont="1" applyAlignment="1">
      <alignment horizontal="center" vertical="center"/>
    </xf>
    <xf numFmtId="0" fontId="28" fillId="0" borderId="0" xfId="0" applyFont="1" applyAlignment="1">
      <alignment horizontal="center"/>
    </xf>
    <xf numFmtId="0" fontId="27" fillId="0" borderId="2" xfId="5" applyFont="1" applyBorder="1" applyAlignment="1">
      <alignment horizontal="left" vertical="center" wrapText="1"/>
    </xf>
    <xf numFmtId="0" fontId="27" fillId="0" borderId="0" xfId="5" applyFont="1" applyAlignment="1">
      <alignment horizontal="left" vertical="center" wrapText="1"/>
    </xf>
    <xf numFmtId="0" fontId="84" fillId="0" borderId="2" xfId="0" applyFont="1" applyBorder="1" applyAlignment="1">
      <alignment horizontal="left"/>
    </xf>
    <xf numFmtId="0" fontId="28" fillId="0" borderId="2" xfId="0" applyFont="1" applyBorder="1" applyAlignment="1">
      <alignment horizontal="left"/>
    </xf>
    <xf numFmtId="0" fontId="28"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9" fontId="34" fillId="7" borderId="0" xfId="0" applyNumberFormat="1" applyFont="1" applyFill="1" applyAlignment="1">
      <alignment horizontal="right"/>
    </xf>
    <xf numFmtId="9" fontId="34" fillId="5" borderId="0" xfId="0" applyNumberFormat="1" applyFont="1" applyFill="1" applyAlignment="1">
      <alignment horizontal="right"/>
    </xf>
    <xf numFmtId="9" fontId="34" fillId="13" borderId="0" xfId="0" applyNumberFormat="1" applyFont="1" applyFill="1" applyAlignment="1">
      <alignment horizontal="right"/>
    </xf>
    <xf numFmtId="0" fontId="34" fillId="19" borderId="0" xfId="0" applyFont="1" applyFill="1" applyAlignment="1">
      <alignment horizontal="right"/>
    </xf>
    <xf numFmtId="1" fontId="34" fillId="7" borderId="0" xfId="0" applyNumberFormat="1" applyFont="1" applyFill="1" applyAlignment="1">
      <alignment horizontal="right"/>
    </xf>
    <xf numFmtId="1" fontId="24" fillId="0" borderId="0" xfId="5" applyNumberFormat="1" applyFont="1" applyAlignment="1">
      <alignment horizontal="right" vertical="center"/>
    </xf>
    <xf numFmtId="1" fontId="60" fillId="0" borderId="0" xfId="5" applyNumberFormat="1" applyFont="1" applyAlignment="1">
      <alignment horizontal="right" vertical="center"/>
    </xf>
    <xf numFmtId="0" fontId="53" fillId="0" borderId="0" xfId="5" applyFont="1" applyAlignment="1">
      <alignment horizontal="center" vertical="center"/>
    </xf>
    <xf numFmtId="0" fontId="27" fillId="0" borderId="0" xfId="5" applyFont="1" applyAlignment="1">
      <alignment horizontal="left" vertical="top" wrapText="1"/>
    </xf>
    <xf numFmtId="0" fontId="27" fillId="0" borderId="0" xfId="5" applyFont="1" applyAlignment="1">
      <alignment horizontal="left" wrapText="1"/>
    </xf>
    <xf numFmtId="0" fontId="27" fillId="5" borderId="0" xfId="5" applyFont="1" applyFill="1" applyAlignment="1">
      <alignment horizontal="center" vertical="center"/>
    </xf>
    <xf numFmtId="3" fontId="53" fillId="0" borderId="0" xfId="5" applyNumberFormat="1" applyFont="1" applyAlignment="1">
      <alignment horizontal="right" vertical="center"/>
    </xf>
    <xf numFmtId="0" fontId="53" fillId="0" borderId="0" xfId="5" applyFont="1" applyAlignment="1">
      <alignment horizontal="right" vertical="top" wrapText="1"/>
    </xf>
    <xf numFmtId="0" fontId="34" fillId="0" borderId="0" xfId="0" applyFont="1" applyAlignment="1">
      <alignment horizontal="left" vertical="top" wrapText="1" indent="1"/>
    </xf>
    <xf numFmtId="0" fontId="27" fillId="7" borderId="0" xfId="5" applyFont="1" applyFill="1" applyAlignment="1">
      <alignment horizontal="center" vertical="center"/>
    </xf>
    <xf numFmtId="0" fontId="27" fillId="13" borderId="0" xfId="5" applyFont="1" applyFill="1" applyAlignment="1">
      <alignment horizontal="center" vertical="center"/>
    </xf>
    <xf numFmtId="0" fontId="27" fillId="19" borderId="0" xfId="5" applyFont="1" applyFill="1" applyAlignment="1">
      <alignment horizontal="center" vertical="center"/>
    </xf>
    <xf numFmtId="0" fontId="28" fillId="0" borderId="0" xfId="0" applyFont="1" applyAlignment="1">
      <alignment horizontal="left" vertical="top" wrapText="1"/>
    </xf>
    <xf numFmtId="0" fontId="27" fillId="8" borderId="0" xfId="5" applyFont="1" applyFill="1" applyAlignment="1">
      <alignment horizontal="center" vertical="center"/>
    </xf>
    <xf numFmtId="0" fontId="27" fillId="5" borderId="0" xfId="5" applyFont="1" applyFill="1" applyAlignment="1">
      <alignment horizontal="left" vertical="center"/>
    </xf>
    <xf numFmtId="0" fontId="27" fillId="7" borderId="0" xfId="5" applyFont="1" applyFill="1" applyAlignment="1">
      <alignment horizontal="left" vertical="center"/>
    </xf>
    <xf numFmtId="0" fontId="52" fillId="13" borderId="0" xfId="5" applyFont="1" applyFill="1" applyAlignment="1">
      <alignment horizontal="left" vertical="center"/>
    </xf>
    <xf numFmtId="0" fontId="27" fillId="13" borderId="0" xfId="5" applyFont="1" applyFill="1" applyAlignment="1">
      <alignment horizontal="left" vertical="center"/>
    </xf>
    <xf numFmtId="166" fontId="16" fillId="2" borderId="10" xfId="0" applyNumberFormat="1" applyFont="1" applyFill="1" applyBorder="1" applyAlignment="1">
      <alignment horizontal="center"/>
    </xf>
    <xf numFmtId="165" fontId="16" fillId="2" borderId="10" xfId="0" applyNumberFormat="1" applyFont="1" applyFill="1" applyBorder="1" applyAlignment="1">
      <alignment horizontal="center"/>
    </xf>
    <xf numFmtId="0" fontId="28" fillId="15" borderId="0" xfId="0" applyFont="1" applyFill="1" applyAlignment="1">
      <alignment horizontal="center" vertical="center"/>
    </xf>
    <xf numFmtId="0" fontId="37" fillId="15" borderId="0" xfId="0" applyFont="1" applyFill="1" applyAlignment="1">
      <alignment horizontal="center" vertical="center"/>
    </xf>
    <xf numFmtId="0" fontId="15" fillId="15" borderId="0" xfId="0" applyFont="1" applyFill="1" applyAlignment="1">
      <alignment horizontal="center" vertical="center"/>
    </xf>
    <xf numFmtId="0" fontId="37" fillId="2" borderId="10" xfId="0" applyFont="1" applyFill="1" applyBorder="1" applyAlignment="1">
      <alignment horizontal="center"/>
    </xf>
    <xf numFmtId="0" fontId="68" fillId="0" borderId="11" xfId="0" applyFont="1" applyBorder="1" applyAlignment="1">
      <alignment horizontal="center"/>
    </xf>
    <xf numFmtId="0" fontId="8" fillId="0" borderId="11" xfId="0" applyFont="1" applyBorder="1" applyAlignment="1">
      <alignment horizontal="center"/>
    </xf>
    <xf numFmtId="0" fontId="84" fillId="0" borderId="0" xfId="0" applyFont="1" applyAlignment="1"/>
    <xf numFmtId="0" fontId="28" fillId="0" borderId="0" xfId="0" applyFont="1" applyAlignment="1"/>
    <xf numFmtId="0" fontId="87" fillId="0" borderId="0" xfId="0" applyFont="1" applyAlignment="1"/>
  </cellXfs>
  <cellStyles count="14">
    <cellStyle name="blp_column_header" xfId="12" xr:uid="{00000000-0005-0000-0000-000000000000}"/>
    <cellStyle name="Comma" xfId="1" builtinId="3"/>
    <cellStyle name="Currency 2" xfId="9" xr:uid="{00000000-0005-0000-0000-000002000000}"/>
    <cellStyle name="fa_column_header_bottom" xfId="11" xr:uid="{00000000-0005-0000-0000-000003000000}"/>
    <cellStyle name="Hyperlink" xfId="3" xr:uid="{00000000-0005-0000-0000-000004000000}"/>
    <cellStyle name="Normal" xfId="0" builtinId="0"/>
    <cellStyle name="Normal 2" xfId="8" xr:uid="{00000000-0005-0000-0000-000006000000}"/>
    <cellStyle name="Normal 2 2" xfId="5" xr:uid="{00000000-0005-0000-0000-000007000000}"/>
    <cellStyle name="Normal 2 2 2" xfId="13" xr:uid="{00000000-0005-0000-0000-000008000000}"/>
    <cellStyle name="Normal 3 2" xfId="6" xr:uid="{00000000-0005-0000-0000-000009000000}"/>
    <cellStyle name="Normal 6" xfId="10" xr:uid="{00000000-0005-0000-0000-00000A000000}"/>
    <cellStyle name="Percent" xfId="2" builtinId="5"/>
    <cellStyle name="Percent 2" xfId="4" xr:uid="{00000000-0005-0000-0000-00000C000000}"/>
    <cellStyle name="Porcentaje 3" xfId="7" xr:uid="{00000000-0005-0000-0000-00000D000000}"/>
  </cellStyles>
  <dxfs count="10">
    <dxf>
      <font>
        <b/>
        <i/>
        <strike val="0"/>
        <color theme="1" tint="4.9989318521683403E-2"/>
      </font>
      <numFmt numFmtId="2" formatCode="0.00"/>
      <fill>
        <patternFill patternType="none">
          <bgColor auto="1"/>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rgb="FFC00000"/>
      </font>
    </dxf>
    <dxf>
      <font>
        <color rgb="FFFF0000"/>
      </font>
    </dxf>
    <dxf>
      <font>
        <color rgb="FF00B050"/>
      </font>
    </dxf>
    <dxf>
      <font>
        <color rgb="FF92D050"/>
      </font>
      <fill>
        <patternFill patternType="none">
          <bgColor auto="1"/>
        </patternFill>
      </fill>
    </dxf>
    <dxf>
      <font>
        <color rgb="FFFFC000"/>
      </font>
      <fill>
        <patternFill patternType="none">
          <bgColor auto="1"/>
        </patternFill>
      </fill>
    </dxf>
  </dxfs>
  <tableStyles count="0" defaultTableStyle="TableStyleMedium2" defaultPivotStyle="PivotStyleLight16"/>
  <colors>
    <mruColors>
      <color rgb="FF7B1314"/>
      <color rgb="FF8DEB91"/>
      <color rgb="FF1C3E64"/>
      <color rgb="FFBE606D"/>
      <color rgb="FF5A5A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2/10/relationships/richValueRel" Target="richData/richValueRel.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a:ln>
              <a:noFill/>
            </a:ln>
          </c:spPr>
          <c:explosion val="6"/>
          <c:dPt>
            <c:idx val="0"/>
            <c:bubble3D val="0"/>
            <c:spPr>
              <a:solidFill>
                <a:schemeClr val="accent1"/>
              </a:solidFill>
              <a:ln w="19050">
                <a:noFill/>
              </a:ln>
              <a:effectLst/>
            </c:spPr>
            <c:extLst>
              <c:ext xmlns:c16="http://schemas.microsoft.com/office/drawing/2014/chart" uri="{C3380CC4-5D6E-409C-BE32-E72D297353CC}">
                <c16:uniqueId val="{00000001-9308-49AE-A481-1F06B1D5BB5E}"/>
              </c:ext>
            </c:extLst>
          </c:dPt>
          <c:dPt>
            <c:idx val="1"/>
            <c:bubble3D val="0"/>
            <c:spPr>
              <a:solidFill>
                <a:schemeClr val="accent1">
                  <a:lumMod val="20000"/>
                  <a:lumOff val="80000"/>
                </a:schemeClr>
              </a:solidFill>
              <a:ln w="19050">
                <a:noFill/>
              </a:ln>
              <a:effectLst/>
            </c:spPr>
            <c:extLst>
              <c:ext xmlns:c16="http://schemas.microsoft.com/office/drawing/2014/chart" uri="{C3380CC4-5D6E-409C-BE32-E72D297353CC}">
                <c16:uniqueId val="{00000003-9308-49AE-A481-1F06B1D5BB5E}"/>
              </c:ext>
            </c:extLst>
          </c:dPt>
          <c:val>
            <c:numRef>
              <c:f>FCFF!$R$164:$R$165</c:f>
            </c:numRef>
          </c:val>
          <c:extLst>
            <c:ext xmlns:c16="http://schemas.microsoft.com/office/drawing/2014/chart" uri="{C3380CC4-5D6E-409C-BE32-E72D297353CC}">
              <c16:uniqueId val="{00000004-9308-49AE-A481-1F06B1D5BB5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014486436699692E-2"/>
          <c:y val="4.35897347890703E-2"/>
          <c:w val="0.83471072979021788"/>
          <c:h val="0.82395872603386833"/>
        </c:manualLayout>
      </c:layout>
      <c:barChart>
        <c:barDir val="col"/>
        <c:grouping val="clustered"/>
        <c:varyColors val="0"/>
        <c:ser>
          <c:idx val="0"/>
          <c:order val="0"/>
          <c:tx>
            <c:strRef>
              <c:f>FCFF!$AR$16</c:f>
              <c:strCache>
                <c:ptCount val="1"/>
              </c:strCache>
            </c:strRef>
          </c:tx>
          <c:spPr>
            <a:solidFill>
              <a:schemeClr val="accent1">
                <a:lumMod val="60000"/>
                <a:lumOff val="40000"/>
              </a:schemeClr>
            </a:solidFill>
            <a:ln>
              <a:noFill/>
            </a:ln>
            <a:effectLst>
              <a:glow rad="101600">
                <a:schemeClr val="accent1">
                  <a:satMod val="175000"/>
                  <a:alpha val="20000"/>
                </a:schemeClr>
              </a:glow>
              <a:softEdge rad="0"/>
            </a:effectLst>
          </c:spPr>
          <c:invertIfNegative val="0"/>
          <c:cat>
            <c:numRef>
              <c:f>FCFF!$AS$15:$AZ$15</c:f>
              <c:numCache>
                <c:formatCode>0"A"</c:formatCode>
                <c:ptCount val="8"/>
              </c:numCache>
            </c:numRef>
          </c:cat>
          <c:val>
            <c:numRef>
              <c:f>FCFF!$AS$16:$AZ$16</c:f>
              <c:numCache>
                <c:formatCode>#,##0_);\(#,##0\)</c:formatCode>
                <c:ptCount val="8"/>
              </c:numCache>
            </c:numRef>
          </c:val>
          <c:extLst>
            <c:ext xmlns:c16="http://schemas.microsoft.com/office/drawing/2014/chart" uri="{C3380CC4-5D6E-409C-BE32-E72D297353CC}">
              <c16:uniqueId val="{00000000-EDEC-4D47-9C20-D8D9D241E889}"/>
            </c:ext>
          </c:extLst>
        </c:ser>
        <c:ser>
          <c:idx val="1"/>
          <c:order val="1"/>
          <c:tx>
            <c:strRef>
              <c:f>FCFF!$AR$17</c:f>
              <c:strCache>
                <c:ptCount val="1"/>
              </c:strCache>
            </c:strRef>
          </c:tx>
          <c:spPr>
            <a:solidFill>
              <a:schemeClr val="accent1"/>
            </a:solidFill>
            <a:ln>
              <a:noFill/>
            </a:ln>
            <a:effectLst>
              <a:glow rad="101600">
                <a:schemeClr val="accent1">
                  <a:satMod val="175000"/>
                  <a:alpha val="20000"/>
                </a:schemeClr>
              </a:glow>
            </a:effectLst>
          </c:spPr>
          <c:invertIfNegative val="0"/>
          <c:cat>
            <c:numRef>
              <c:f>FCFF!$AS$15:$AZ$15</c:f>
              <c:numCache>
                <c:formatCode>0"A"</c:formatCode>
                <c:ptCount val="8"/>
              </c:numCache>
            </c:numRef>
          </c:cat>
          <c:val>
            <c:numRef>
              <c:f>FCFF!$AS$17:$AZ$17</c:f>
              <c:numCache>
                <c:formatCode>#,##0_);\(#,##0\)</c:formatCode>
                <c:ptCount val="8"/>
              </c:numCache>
            </c:numRef>
          </c:val>
          <c:extLst>
            <c:ext xmlns:c16="http://schemas.microsoft.com/office/drawing/2014/chart" uri="{C3380CC4-5D6E-409C-BE32-E72D297353CC}">
              <c16:uniqueId val="{00000001-EDEC-4D47-9C20-D8D9D241E889}"/>
            </c:ext>
          </c:extLst>
        </c:ser>
        <c:dLbls>
          <c:showLegendKey val="0"/>
          <c:showVal val="0"/>
          <c:showCatName val="0"/>
          <c:showSerName val="0"/>
          <c:showPercent val="0"/>
          <c:showBubbleSize val="0"/>
        </c:dLbls>
        <c:gapWidth val="100"/>
        <c:overlap val="-27"/>
        <c:axId val="461881935"/>
        <c:axId val="461884815"/>
      </c:barChart>
      <c:lineChart>
        <c:grouping val="standard"/>
        <c:varyColors val="0"/>
        <c:ser>
          <c:idx val="2"/>
          <c:order val="2"/>
          <c:tx>
            <c:strRef>
              <c:f>FCFF!$AR$18</c:f>
              <c:strCache>
                <c:ptCount val="1"/>
              </c:strCache>
            </c:strRef>
          </c:tx>
          <c:spPr>
            <a:ln w="19050" cap="rnd">
              <a:solidFill>
                <a:schemeClr val="bg1">
                  <a:lumMod val="75000"/>
                </a:schemeClr>
              </a:solidFill>
              <a:round/>
            </a:ln>
            <a:effectLst>
              <a:glow rad="101600">
                <a:schemeClr val="accent3">
                  <a:satMod val="175000"/>
                  <a:alpha val="15000"/>
                </a:schemeClr>
              </a:glow>
            </a:effectLst>
          </c:spPr>
          <c:marker>
            <c:symbol val="none"/>
          </c:marker>
          <c:cat>
            <c:numRef>
              <c:f>FCFF!$AS$15:$AZ$15</c:f>
              <c:numCache>
                <c:formatCode>0"A"</c:formatCode>
                <c:ptCount val="8"/>
              </c:numCache>
            </c:numRef>
          </c:cat>
          <c:val>
            <c:numRef>
              <c:f>FCFF!$AS$18:$AZ$18</c:f>
              <c:numCache>
                <c:formatCode>0.0%</c:formatCode>
                <c:ptCount val="8"/>
              </c:numCache>
            </c:numRef>
          </c:val>
          <c:smooth val="0"/>
          <c:extLst>
            <c:ext xmlns:c16="http://schemas.microsoft.com/office/drawing/2014/chart" uri="{C3380CC4-5D6E-409C-BE32-E72D297353CC}">
              <c16:uniqueId val="{00000002-EDEC-4D47-9C20-D8D9D241E889}"/>
            </c:ext>
          </c:extLst>
        </c:ser>
        <c:dLbls>
          <c:showLegendKey val="0"/>
          <c:showVal val="0"/>
          <c:showCatName val="0"/>
          <c:showSerName val="0"/>
          <c:showPercent val="0"/>
          <c:showBubbleSize val="0"/>
        </c:dLbls>
        <c:marker val="1"/>
        <c:smooth val="0"/>
        <c:axId val="683919615"/>
        <c:axId val="465601487"/>
      </c:lineChart>
      <c:catAx>
        <c:axId val="461881935"/>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461884815"/>
        <c:crosses val="autoZero"/>
        <c:auto val="1"/>
        <c:lblAlgn val="ctr"/>
        <c:lblOffset val="100"/>
        <c:noMultiLvlLbl val="0"/>
      </c:catAx>
      <c:valAx>
        <c:axId val="461884815"/>
        <c:scaling>
          <c:orientation val="minMax"/>
        </c:scaling>
        <c:delete val="0"/>
        <c:axPos val="l"/>
        <c:majorGridlines>
          <c:spPr>
            <a:ln w="9525" cap="flat" cmpd="sng" algn="ctr">
              <a:solidFill>
                <a:schemeClr val="accent1">
                  <a:lumMod val="20000"/>
                  <a:lumOff val="80000"/>
                  <a:alpha val="20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461881935"/>
        <c:crosses val="autoZero"/>
        <c:crossBetween val="between"/>
      </c:valAx>
      <c:valAx>
        <c:axId val="46560148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683919615"/>
        <c:crosses val="max"/>
        <c:crossBetween val="between"/>
      </c:valAx>
      <c:catAx>
        <c:axId val="683919615"/>
        <c:scaling>
          <c:orientation val="minMax"/>
        </c:scaling>
        <c:delete val="1"/>
        <c:axPos val="b"/>
        <c:numFmt formatCode="0&quot;A&quot;" sourceLinked="1"/>
        <c:majorTickMark val="out"/>
        <c:minorTickMark val="none"/>
        <c:tickLblPos val="nextTo"/>
        <c:crossAx val="465601487"/>
        <c:crosses val="autoZero"/>
        <c:auto val="1"/>
        <c:lblAlgn val="ctr"/>
        <c:lblOffset val="100"/>
        <c:noMultiLvlLbl val="0"/>
      </c:catAx>
      <c:spPr>
        <a:noFill/>
        <a:ln>
          <a:noFill/>
        </a:ln>
        <a:effectLst/>
      </c:spPr>
    </c:plotArea>
    <c:legend>
      <c:legendPos val="b"/>
      <c:layout>
        <c:manualLayout>
          <c:xMode val="edge"/>
          <c:yMode val="edge"/>
          <c:x val="0.16973859526076801"/>
          <c:y val="0.92322219770401337"/>
          <c:w val="0.6991448702669929"/>
          <c:h val="7.67778546485851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b="0">
          <a:solidFill>
            <a:schemeClr val="accent1">
              <a:lumMod val="50000"/>
            </a:schemeClr>
          </a:solidFill>
          <a:latin typeface="Arial Nova" panose="020B05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3137268222099186E-2"/>
          <c:w val="0.91831818771167184"/>
          <c:h val="0.75471599651566978"/>
        </c:manualLayout>
      </c:layout>
      <c:lineChart>
        <c:grouping val="standard"/>
        <c:varyColors val="0"/>
        <c:ser>
          <c:idx val="1"/>
          <c:order val="1"/>
          <c:spPr>
            <a:ln w="28575" cap="rnd">
              <a:solidFill>
                <a:schemeClr val="accent1">
                  <a:lumMod val="60000"/>
                  <a:lumOff val="40000"/>
                </a:schemeClr>
              </a:solidFill>
              <a:round/>
              <a:headEnd type="none" w="med" len="med"/>
              <a:tailEnd type="triangle" w="med" len="med"/>
            </a:ln>
            <a:effectLst>
              <a:glow rad="101600">
                <a:schemeClr val="accent1">
                  <a:satMod val="175000"/>
                  <a:alpha val="10000"/>
                </a:schemeClr>
              </a:glow>
            </a:effectLst>
          </c:spPr>
          <c:marker>
            <c:symbol val="none"/>
          </c:marker>
          <c:dLbls>
            <c:dLbl>
              <c:idx val="395"/>
              <c:layout>
                <c:manualLayout>
                  <c:x val="1.1440251733625133E-2"/>
                  <c:y val="3.9215698383726532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Arial Nova"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C38-4B24-B583-977BC9AF67E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Dashboard!$C$154:$C$558</c:f>
              <c:numCache>
                <c:formatCode>yyyy\-mm\-dd;@</c:formatCode>
                <c:ptCount val="405"/>
                <c:pt idx="0">
                  <c:v>45958</c:v>
                </c:pt>
                <c:pt idx="1">
                  <c:v>45957</c:v>
                </c:pt>
                <c:pt idx="2">
                  <c:v>45956</c:v>
                </c:pt>
                <c:pt idx="3">
                  <c:v>45955</c:v>
                </c:pt>
                <c:pt idx="4">
                  <c:v>45954</c:v>
                </c:pt>
                <c:pt idx="5">
                  <c:v>45953</c:v>
                </c:pt>
                <c:pt idx="6">
                  <c:v>45952</c:v>
                </c:pt>
                <c:pt idx="7">
                  <c:v>45951</c:v>
                </c:pt>
                <c:pt idx="8">
                  <c:v>45950</c:v>
                </c:pt>
                <c:pt idx="9">
                  <c:v>45949</c:v>
                </c:pt>
                <c:pt idx="10">
                  <c:v>45948</c:v>
                </c:pt>
                <c:pt idx="11">
                  <c:v>45947</c:v>
                </c:pt>
                <c:pt idx="12">
                  <c:v>45946</c:v>
                </c:pt>
                <c:pt idx="13">
                  <c:v>45945</c:v>
                </c:pt>
                <c:pt idx="14">
                  <c:v>45944</c:v>
                </c:pt>
                <c:pt idx="15">
                  <c:v>45943</c:v>
                </c:pt>
                <c:pt idx="16">
                  <c:v>45942</c:v>
                </c:pt>
                <c:pt idx="17">
                  <c:v>45941</c:v>
                </c:pt>
                <c:pt idx="18">
                  <c:v>45940</c:v>
                </c:pt>
                <c:pt idx="19">
                  <c:v>45939</c:v>
                </c:pt>
                <c:pt idx="20">
                  <c:v>45938</c:v>
                </c:pt>
                <c:pt idx="21">
                  <c:v>45937</c:v>
                </c:pt>
                <c:pt idx="22">
                  <c:v>45936</c:v>
                </c:pt>
                <c:pt idx="23">
                  <c:v>45935</c:v>
                </c:pt>
                <c:pt idx="24">
                  <c:v>45934</c:v>
                </c:pt>
                <c:pt idx="25">
                  <c:v>45933</c:v>
                </c:pt>
                <c:pt idx="26">
                  <c:v>45932</c:v>
                </c:pt>
                <c:pt idx="27">
                  <c:v>45931</c:v>
                </c:pt>
                <c:pt idx="28">
                  <c:v>45930</c:v>
                </c:pt>
                <c:pt idx="29">
                  <c:v>45929</c:v>
                </c:pt>
                <c:pt idx="30">
                  <c:v>45928</c:v>
                </c:pt>
                <c:pt idx="31">
                  <c:v>45927</c:v>
                </c:pt>
                <c:pt idx="32">
                  <c:v>45926</c:v>
                </c:pt>
                <c:pt idx="33">
                  <c:v>45925</c:v>
                </c:pt>
                <c:pt idx="34">
                  <c:v>45924</c:v>
                </c:pt>
                <c:pt idx="35">
                  <c:v>45923</c:v>
                </c:pt>
                <c:pt idx="36">
                  <c:v>45922</c:v>
                </c:pt>
                <c:pt idx="37">
                  <c:v>45921</c:v>
                </c:pt>
                <c:pt idx="38">
                  <c:v>45920</c:v>
                </c:pt>
                <c:pt idx="39">
                  <c:v>45919</c:v>
                </c:pt>
                <c:pt idx="40">
                  <c:v>45918</c:v>
                </c:pt>
                <c:pt idx="41">
                  <c:v>45917</c:v>
                </c:pt>
                <c:pt idx="42">
                  <c:v>45916</c:v>
                </c:pt>
                <c:pt idx="43">
                  <c:v>45915</c:v>
                </c:pt>
                <c:pt idx="44">
                  <c:v>45914</c:v>
                </c:pt>
                <c:pt idx="45">
                  <c:v>45913</c:v>
                </c:pt>
                <c:pt idx="46">
                  <c:v>45912</c:v>
                </c:pt>
                <c:pt idx="47">
                  <c:v>45911</c:v>
                </c:pt>
                <c:pt idx="48">
                  <c:v>45910</c:v>
                </c:pt>
                <c:pt idx="49">
                  <c:v>45909</c:v>
                </c:pt>
                <c:pt idx="50">
                  <c:v>45908</c:v>
                </c:pt>
                <c:pt idx="51">
                  <c:v>45907</c:v>
                </c:pt>
                <c:pt idx="52">
                  <c:v>45906</c:v>
                </c:pt>
                <c:pt idx="53">
                  <c:v>45905</c:v>
                </c:pt>
                <c:pt idx="54">
                  <c:v>45904</c:v>
                </c:pt>
                <c:pt idx="55">
                  <c:v>45903</c:v>
                </c:pt>
                <c:pt idx="56">
                  <c:v>45902</c:v>
                </c:pt>
                <c:pt idx="57">
                  <c:v>45901</c:v>
                </c:pt>
                <c:pt idx="58">
                  <c:v>45900</c:v>
                </c:pt>
                <c:pt idx="59">
                  <c:v>45899</c:v>
                </c:pt>
                <c:pt idx="60">
                  <c:v>45898</c:v>
                </c:pt>
                <c:pt idx="61">
                  <c:v>45897</c:v>
                </c:pt>
                <c:pt idx="62">
                  <c:v>45896</c:v>
                </c:pt>
                <c:pt idx="63">
                  <c:v>45895</c:v>
                </c:pt>
                <c:pt idx="64">
                  <c:v>45894</c:v>
                </c:pt>
                <c:pt idx="65">
                  <c:v>45893</c:v>
                </c:pt>
                <c:pt idx="66">
                  <c:v>45892</c:v>
                </c:pt>
                <c:pt idx="67">
                  <c:v>45891</c:v>
                </c:pt>
                <c:pt idx="68">
                  <c:v>45890</c:v>
                </c:pt>
                <c:pt idx="69">
                  <c:v>45889</c:v>
                </c:pt>
                <c:pt idx="70">
                  <c:v>45888</c:v>
                </c:pt>
                <c:pt idx="71">
                  <c:v>45887</c:v>
                </c:pt>
                <c:pt idx="72">
                  <c:v>45886</c:v>
                </c:pt>
                <c:pt idx="73">
                  <c:v>45885</c:v>
                </c:pt>
                <c:pt idx="74">
                  <c:v>45884</c:v>
                </c:pt>
                <c:pt idx="75">
                  <c:v>45883</c:v>
                </c:pt>
                <c:pt idx="76">
                  <c:v>45882</c:v>
                </c:pt>
                <c:pt idx="77">
                  <c:v>45881</c:v>
                </c:pt>
                <c:pt idx="78">
                  <c:v>45880</c:v>
                </c:pt>
                <c:pt idx="79">
                  <c:v>45879</c:v>
                </c:pt>
                <c:pt idx="80">
                  <c:v>45878</c:v>
                </c:pt>
                <c:pt idx="81">
                  <c:v>45877</c:v>
                </c:pt>
                <c:pt idx="82">
                  <c:v>45876</c:v>
                </c:pt>
                <c:pt idx="83">
                  <c:v>45875</c:v>
                </c:pt>
                <c:pt idx="84">
                  <c:v>45874</c:v>
                </c:pt>
                <c:pt idx="85">
                  <c:v>45873</c:v>
                </c:pt>
                <c:pt idx="86">
                  <c:v>45872</c:v>
                </c:pt>
                <c:pt idx="87">
                  <c:v>45871</c:v>
                </c:pt>
                <c:pt idx="88">
                  <c:v>45870</c:v>
                </c:pt>
                <c:pt idx="89">
                  <c:v>45869</c:v>
                </c:pt>
                <c:pt idx="90">
                  <c:v>45868</c:v>
                </c:pt>
                <c:pt idx="91">
                  <c:v>45867</c:v>
                </c:pt>
                <c:pt idx="92">
                  <c:v>45866</c:v>
                </c:pt>
                <c:pt idx="93">
                  <c:v>45865</c:v>
                </c:pt>
                <c:pt idx="94">
                  <c:v>45864</c:v>
                </c:pt>
                <c:pt idx="95">
                  <c:v>45863</c:v>
                </c:pt>
                <c:pt idx="96">
                  <c:v>45862</c:v>
                </c:pt>
                <c:pt idx="97">
                  <c:v>45861</c:v>
                </c:pt>
                <c:pt idx="98">
                  <c:v>45860</c:v>
                </c:pt>
                <c:pt idx="99">
                  <c:v>45859</c:v>
                </c:pt>
                <c:pt idx="100">
                  <c:v>45858</c:v>
                </c:pt>
                <c:pt idx="101">
                  <c:v>45857</c:v>
                </c:pt>
                <c:pt idx="102">
                  <c:v>45856</c:v>
                </c:pt>
                <c:pt idx="103">
                  <c:v>45855</c:v>
                </c:pt>
                <c:pt idx="104">
                  <c:v>45854</c:v>
                </c:pt>
                <c:pt idx="105">
                  <c:v>45853</c:v>
                </c:pt>
                <c:pt idx="106">
                  <c:v>45852</c:v>
                </c:pt>
                <c:pt idx="107">
                  <c:v>45851</c:v>
                </c:pt>
                <c:pt idx="108">
                  <c:v>45850</c:v>
                </c:pt>
                <c:pt idx="109">
                  <c:v>45849</c:v>
                </c:pt>
                <c:pt idx="110">
                  <c:v>45848</c:v>
                </c:pt>
                <c:pt idx="111">
                  <c:v>45847</c:v>
                </c:pt>
                <c:pt idx="112">
                  <c:v>45846</c:v>
                </c:pt>
                <c:pt idx="113">
                  <c:v>45845</c:v>
                </c:pt>
                <c:pt idx="114">
                  <c:v>45844</c:v>
                </c:pt>
                <c:pt idx="115">
                  <c:v>45843</c:v>
                </c:pt>
                <c:pt idx="116">
                  <c:v>45842</c:v>
                </c:pt>
                <c:pt idx="117">
                  <c:v>45841</c:v>
                </c:pt>
                <c:pt idx="118">
                  <c:v>45840</c:v>
                </c:pt>
                <c:pt idx="119">
                  <c:v>45839</c:v>
                </c:pt>
                <c:pt idx="120">
                  <c:v>45838</c:v>
                </c:pt>
                <c:pt idx="121">
                  <c:v>45837</c:v>
                </c:pt>
                <c:pt idx="122">
                  <c:v>45836</c:v>
                </c:pt>
                <c:pt idx="123">
                  <c:v>45835</c:v>
                </c:pt>
                <c:pt idx="124">
                  <c:v>45834</c:v>
                </c:pt>
                <c:pt idx="125">
                  <c:v>45833</c:v>
                </c:pt>
                <c:pt idx="126">
                  <c:v>45832</c:v>
                </c:pt>
                <c:pt idx="127">
                  <c:v>45831</c:v>
                </c:pt>
                <c:pt idx="128">
                  <c:v>45830</c:v>
                </c:pt>
                <c:pt idx="129">
                  <c:v>45829</c:v>
                </c:pt>
                <c:pt idx="130">
                  <c:v>45828</c:v>
                </c:pt>
                <c:pt idx="131">
                  <c:v>45827</c:v>
                </c:pt>
                <c:pt idx="132">
                  <c:v>45826</c:v>
                </c:pt>
                <c:pt idx="133">
                  <c:v>45825</c:v>
                </c:pt>
                <c:pt idx="134">
                  <c:v>45824</c:v>
                </c:pt>
                <c:pt idx="135">
                  <c:v>45823</c:v>
                </c:pt>
                <c:pt idx="136">
                  <c:v>45822</c:v>
                </c:pt>
                <c:pt idx="137">
                  <c:v>45821</c:v>
                </c:pt>
                <c:pt idx="138">
                  <c:v>45820</c:v>
                </c:pt>
                <c:pt idx="139">
                  <c:v>45819</c:v>
                </c:pt>
                <c:pt idx="140">
                  <c:v>45818</c:v>
                </c:pt>
                <c:pt idx="141">
                  <c:v>45817</c:v>
                </c:pt>
                <c:pt idx="142">
                  <c:v>45816</c:v>
                </c:pt>
                <c:pt idx="143">
                  <c:v>45815</c:v>
                </c:pt>
                <c:pt idx="144">
                  <c:v>45814</c:v>
                </c:pt>
                <c:pt idx="145">
                  <c:v>45813</c:v>
                </c:pt>
                <c:pt idx="146">
                  <c:v>45812</c:v>
                </c:pt>
                <c:pt idx="147">
                  <c:v>45811</c:v>
                </c:pt>
                <c:pt idx="148">
                  <c:v>45810</c:v>
                </c:pt>
                <c:pt idx="149">
                  <c:v>45809</c:v>
                </c:pt>
                <c:pt idx="150">
                  <c:v>45808</c:v>
                </c:pt>
                <c:pt idx="151">
                  <c:v>45807</c:v>
                </c:pt>
                <c:pt idx="152">
                  <c:v>45806</c:v>
                </c:pt>
                <c:pt idx="153">
                  <c:v>45805</c:v>
                </c:pt>
                <c:pt idx="154">
                  <c:v>45804</c:v>
                </c:pt>
                <c:pt idx="155">
                  <c:v>45803</c:v>
                </c:pt>
                <c:pt idx="156">
                  <c:v>45802</c:v>
                </c:pt>
                <c:pt idx="157">
                  <c:v>45801</c:v>
                </c:pt>
                <c:pt idx="158">
                  <c:v>45800</c:v>
                </c:pt>
                <c:pt idx="159">
                  <c:v>45799</c:v>
                </c:pt>
                <c:pt idx="160">
                  <c:v>45798</c:v>
                </c:pt>
                <c:pt idx="161">
                  <c:v>45797</c:v>
                </c:pt>
                <c:pt idx="162">
                  <c:v>45796</c:v>
                </c:pt>
                <c:pt idx="163">
                  <c:v>45795</c:v>
                </c:pt>
                <c:pt idx="164">
                  <c:v>45794</c:v>
                </c:pt>
                <c:pt idx="165">
                  <c:v>45793</c:v>
                </c:pt>
                <c:pt idx="166">
                  <c:v>45792</c:v>
                </c:pt>
                <c:pt idx="167">
                  <c:v>45791</c:v>
                </c:pt>
                <c:pt idx="168">
                  <c:v>45790</c:v>
                </c:pt>
                <c:pt idx="169">
                  <c:v>45789</c:v>
                </c:pt>
                <c:pt idx="170">
                  <c:v>45788</c:v>
                </c:pt>
                <c:pt idx="171">
                  <c:v>45787</c:v>
                </c:pt>
                <c:pt idx="172">
                  <c:v>45786</c:v>
                </c:pt>
                <c:pt idx="173">
                  <c:v>45785</c:v>
                </c:pt>
                <c:pt idx="174">
                  <c:v>45784</c:v>
                </c:pt>
                <c:pt idx="175">
                  <c:v>45783</c:v>
                </c:pt>
                <c:pt idx="176">
                  <c:v>45782</c:v>
                </c:pt>
                <c:pt idx="177">
                  <c:v>45781</c:v>
                </c:pt>
                <c:pt idx="178">
                  <c:v>45780</c:v>
                </c:pt>
                <c:pt idx="179">
                  <c:v>45779</c:v>
                </c:pt>
                <c:pt idx="180">
                  <c:v>45778</c:v>
                </c:pt>
                <c:pt idx="181">
                  <c:v>45777</c:v>
                </c:pt>
                <c:pt idx="182">
                  <c:v>45776</c:v>
                </c:pt>
                <c:pt idx="183">
                  <c:v>45775</c:v>
                </c:pt>
                <c:pt idx="184">
                  <c:v>45774</c:v>
                </c:pt>
                <c:pt idx="185">
                  <c:v>45773</c:v>
                </c:pt>
                <c:pt idx="186">
                  <c:v>45772</c:v>
                </c:pt>
                <c:pt idx="187">
                  <c:v>45771</c:v>
                </c:pt>
                <c:pt idx="188">
                  <c:v>45770</c:v>
                </c:pt>
                <c:pt idx="189">
                  <c:v>45769</c:v>
                </c:pt>
                <c:pt idx="190">
                  <c:v>45768</c:v>
                </c:pt>
                <c:pt idx="191">
                  <c:v>45767</c:v>
                </c:pt>
                <c:pt idx="192">
                  <c:v>45766</c:v>
                </c:pt>
                <c:pt idx="193">
                  <c:v>45765</c:v>
                </c:pt>
                <c:pt idx="194">
                  <c:v>45764</c:v>
                </c:pt>
                <c:pt idx="195">
                  <c:v>45763</c:v>
                </c:pt>
                <c:pt idx="196">
                  <c:v>45762</c:v>
                </c:pt>
                <c:pt idx="197">
                  <c:v>45761</c:v>
                </c:pt>
                <c:pt idx="198">
                  <c:v>45760</c:v>
                </c:pt>
                <c:pt idx="199">
                  <c:v>45759</c:v>
                </c:pt>
                <c:pt idx="200">
                  <c:v>45758</c:v>
                </c:pt>
                <c:pt idx="201">
                  <c:v>45757</c:v>
                </c:pt>
                <c:pt idx="202">
                  <c:v>45756</c:v>
                </c:pt>
                <c:pt idx="203">
                  <c:v>45755</c:v>
                </c:pt>
                <c:pt idx="204">
                  <c:v>45754</c:v>
                </c:pt>
                <c:pt idx="205">
                  <c:v>45753</c:v>
                </c:pt>
                <c:pt idx="206">
                  <c:v>45752</c:v>
                </c:pt>
                <c:pt idx="207">
                  <c:v>45751</c:v>
                </c:pt>
                <c:pt idx="208">
                  <c:v>45750</c:v>
                </c:pt>
                <c:pt idx="209">
                  <c:v>45749</c:v>
                </c:pt>
                <c:pt idx="210">
                  <c:v>45748</c:v>
                </c:pt>
                <c:pt idx="211">
                  <c:v>45747</c:v>
                </c:pt>
                <c:pt idx="212">
                  <c:v>45746</c:v>
                </c:pt>
                <c:pt idx="213">
                  <c:v>45745</c:v>
                </c:pt>
                <c:pt idx="214">
                  <c:v>45744</c:v>
                </c:pt>
                <c:pt idx="215">
                  <c:v>45743</c:v>
                </c:pt>
                <c:pt idx="216">
                  <c:v>45742</c:v>
                </c:pt>
                <c:pt idx="217">
                  <c:v>45741</c:v>
                </c:pt>
                <c:pt idx="218">
                  <c:v>45740</c:v>
                </c:pt>
                <c:pt idx="219">
                  <c:v>45739</c:v>
                </c:pt>
                <c:pt idx="220">
                  <c:v>45738</c:v>
                </c:pt>
                <c:pt idx="221">
                  <c:v>45737</c:v>
                </c:pt>
                <c:pt idx="222">
                  <c:v>45736</c:v>
                </c:pt>
                <c:pt idx="223">
                  <c:v>45735</c:v>
                </c:pt>
                <c:pt idx="224">
                  <c:v>45734</c:v>
                </c:pt>
                <c:pt idx="225">
                  <c:v>45733</c:v>
                </c:pt>
                <c:pt idx="226">
                  <c:v>45732</c:v>
                </c:pt>
                <c:pt idx="227">
                  <c:v>45731</c:v>
                </c:pt>
                <c:pt idx="228">
                  <c:v>45730</c:v>
                </c:pt>
                <c:pt idx="229">
                  <c:v>45729</c:v>
                </c:pt>
                <c:pt idx="230">
                  <c:v>45728</c:v>
                </c:pt>
                <c:pt idx="231">
                  <c:v>45727</c:v>
                </c:pt>
                <c:pt idx="232">
                  <c:v>45726</c:v>
                </c:pt>
                <c:pt idx="233">
                  <c:v>45725</c:v>
                </c:pt>
                <c:pt idx="234">
                  <c:v>45724</c:v>
                </c:pt>
                <c:pt idx="235">
                  <c:v>45723</c:v>
                </c:pt>
                <c:pt idx="236">
                  <c:v>45722</c:v>
                </c:pt>
                <c:pt idx="237">
                  <c:v>45721</c:v>
                </c:pt>
                <c:pt idx="238">
                  <c:v>45720</c:v>
                </c:pt>
                <c:pt idx="239">
                  <c:v>45719</c:v>
                </c:pt>
                <c:pt idx="240">
                  <c:v>45718</c:v>
                </c:pt>
                <c:pt idx="241">
                  <c:v>45717</c:v>
                </c:pt>
                <c:pt idx="242">
                  <c:v>45716</c:v>
                </c:pt>
                <c:pt idx="243">
                  <c:v>45715</c:v>
                </c:pt>
                <c:pt idx="244">
                  <c:v>45714</c:v>
                </c:pt>
                <c:pt idx="245">
                  <c:v>45713</c:v>
                </c:pt>
                <c:pt idx="246">
                  <c:v>45712</c:v>
                </c:pt>
                <c:pt idx="247">
                  <c:v>45711</c:v>
                </c:pt>
                <c:pt idx="248">
                  <c:v>45710</c:v>
                </c:pt>
                <c:pt idx="249">
                  <c:v>45709</c:v>
                </c:pt>
                <c:pt idx="250">
                  <c:v>45708</c:v>
                </c:pt>
                <c:pt idx="251">
                  <c:v>45707</c:v>
                </c:pt>
                <c:pt idx="252">
                  <c:v>45706</c:v>
                </c:pt>
                <c:pt idx="253">
                  <c:v>45705</c:v>
                </c:pt>
                <c:pt idx="254">
                  <c:v>45704</c:v>
                </c:pt>
                <c:pt idx="255">
                  <c:v>45703</c:v>
                </c:pt>
                <c:pt idx="256">
                  <c:v>45702</c:v>
                </c:pt>
                <c:pt idx="257">
                  <c:v>45701</c:v>
                </c:pt>
                <c:pt idx="258">
                  <c:v>45700</c:v>
                </c:pt>
                <c:pt idx="259">
                  <c:v>45699</c:v>
                </c:pt>
                <c:pt idx="260">
                  <c:v>45698</c:v>
                </c:pt>
                <c:pt idx="261">
                  <c:v>45697</c:v>
                </c:pt>
                <c:pt idx="262">
                  <c:v>45696</c:v>
                </c:pt>
                <c:pt idx="263">
                  <c:v>45695</c:v>
                </c:pt>
                <c:pt idx="264">
                  <c:v>45694</c:v>
                </c:pt>
                <c:pt idx="265">
                  <c:v>45693</c:v>
                </c:pt>
                <c:pt idx="266">
                  <c:v>45692</c:v>
                </c:pt>
                <c:pt idx="267">
                  <c:v>45691</c:v>
                </c:pt>
                <c:pt idx="268">
                  <c:v>45690</c:v>
                </c:pt>
                <c:pt idx="269">
                  <c:v>45689</c:v>
                </c:pt>
                <c:pt idx="270">
                  <c:v>45688</c:v>
                </c:pt>
                <c:pt idx="271">
                  <c:v>45687</c:v>
                </c:pt>
                <c:pt idx="272">
                  <c:v>45686</c:v>
                </c:pt>
                <c:pt idx="273">
                  <c:v>45685</c:v>
                </c:pt>
                <c:pt idx="274">
                  <c:v>45684</c:v>
                </c:pt>
                <c:pt idx="275">
                  <c:v>45683</c:v>
                </c:pt>
                <c:pt idx="276">
                  <c:v>45682</c:v>
                </c:pt>
                <c:pt idx="277">
                  <c:v>45681</c:v>
                </c:pt>
                <c:pt idx="278">
                  <c:v>45680</c:v>
                </c:pt>
                <c:pt idx="279">
                  <c:v>45679</c:v>
                </c:pt>
                <c:pt idx="280">
                  <c:v>45678</c:v>
                </c:pt>
                <c:pt idx="281">
                  <c:v>45677</c:v>
                </c:pt>
                <c:pt idx="282">
                  <c:v>45676</c:v>
                </c:pt>
                <c:pt idx="283">
                  <c:v>45675</c:v>
                </c:pt>
                <c:pt idx="284">
                  <c:v>45674</c:v>
                </c:pt>
                <c:pt idx="285">
                  <c:v>45673</c:v>
                </c:pt>
                <c:pt idx="286">
                  <c:v>45672</c:v>
                </c:pt>
                <c:pt idx="287">
                  <c:v>45671</c:v>
                </c:pt>
                <c:pt idx="288">
                  <c:v>45670</c:v>
                </c:pt>
                <c:pt idx="289">
                  <c:v>45669</c:v>
                </c:pt>
                <c:pt idx="290">
                  <c:v>45668</c:v>
                </c:pt>
                <c:pt idx="291">
                  <c:v>45667</c:v>
                </c:pt>
                <c:pt idx="292">
                  <c:v>45666</c:v>
                </c:pt>
                <c:pt idx="293">
                  <c:v>45665</c:v>
                </c:pt>
                <c:pt idx="294">
                  <c:v>45664</c:v>
                </c:pt>
                <c:pt idx="295">
                  <c:v>45663</c:v>
                </c:pt>
                <c:pt idx="296">
                  <c:v>45662</c:v>
                </c:pt>
                <c:pt idx="297">
                  <c:v>45661</c:v>
                </c:pt>
                <c:pt idx="298">
                  <c:v>45660</c:v>
                </c:pt>
                <c:pt idx="299">
                  <c:v>45659</c:v>
                </c:pt>
                <c:pt idx="300">
                  <c:v>45658</c:v>
                </c:pt>
                <c:pt idx="301">
                  <c:v>45657</c:v>
                </c:pt>
                <c:pt idx="302">
                  <c:v>45656</c:v>
                </c:pt>
                <c:pt idx="303">
                  <c:v>45655</c:v>
                </c:pt>
                <c:pt idx="304">
                  <c:v>45654</c:v>
                </c:pt>
                <c:pt idx="305">
                  <c:v>45653</c:v>
                </c:pt>
                <c:pt idx="306">
                  <c:v>45652</c:v>
                </c:pt>
                <c:pt idx="307">
                  <c:v>45651</c:v>
                </c:pt>
                <c:pt idx="308">
                  <c:v>45650</c:v>
                </c:pt>
                <c:pt idx="309">
                  <c:v>45649</c:v>
                </c:pt>
                <c:pt idx="310">
                  <c:v>45648</c:v>
                </c:pt>
                <c:pt idx="311">
                  <c:v>45647</c:v>
                </c:pt>
                <c:pt idx="312">
                  <c:v>45646</c:v>
                </c:pt>
                <c:pt idx="313">
                  <c:v>45645</c:v>
                </c:pt>
                <c:pt idx="314">
                  <c:v>45644</c:v>
                </c:pt>
                <c:pt idx="315">
                  <c:v>45643</c:v>
                </c:pt>
                <c:pt idx="316">
                  <c:v>45642</c:v>
                </c:pt>
                <c:pt idx="317">
                  <c:v>45641</c:v>
                </c:pt>
                <c:pt idx="318">
                  <c:v>45640</c:v>
                </c:pt>
                <c:pt idx="319">
                  <c:v>45639</c:v>
                </c:pt>
                <c:pt idx="320">
                  <c:v>45638</c:v>
                </c:pt>
                <c:pt idx="321">
                  <c:v>45637</c:v>
                </c:pt>
                <c:pt idx="322">
                  <c:v>45636</c:v>
                </c:pt>
                <c:pt idx="323">
                  <c:v>45635</c:v>
                </c:pt>
                <c:pt idx="324">
                  <c:v>45634</c:v>
                </c:pt>
                <c:pt idx="325">
                  <c:v>45633</c:v>
                </c:pt>
                <c:pt idx="326">
                  <c:v>45632</c:v>
                </c:pt>
                <c:pt idx="327">
                  <c:v>45631</c:v>
                </c:pt>
                <c:pt idx="328">
                  <c:v>45630</c:v>
                </c:pt>
                <c:pt idx="329">
                  <c:v>45629</c:v>
                </c:pt>
                <c:pt idx="330">
                  <c:v>45628</c:v>
                </c:pt>
                <c:pt idx="331">
                  <c:v>45627</c:v>
                </c:pt>
                <c:pt idx="332">
                  <c:v>45626</c:v>
                </c:pt>
                <c:pt idx="333">
                  <c:v>45625</c:v>
                </c:pt>
                <c:pt idx="334">
                  <c:v>45624</c:v>
                </c:pt>
                <c:pt idx="335">
                  <c:v>45623</c:v>
                </c:pt>
                <c:pt idx="336">
                  <c:v>45622</c:v>
                </c:pt>
                <c:pt idx="337">
                  <c:v>45621</c:v>
                </c:pt>
                <c:pt idx="338">
                  <c:v>45620</c:v>
                </c:pt>
                <c:pt idx="339">
                  <c:v>45619</c:v>
                </c:pt>
                <c:pt idx="340">
                  <c:v>45618</c:v>
                </c:pt>
                <c:pt idx="341">
                  <c:v>45617</c:v>
                </c:pt>
                <c:pt idx="342">
                  <c:v>45616</c:v>
                </c:pt>
                <c:pt idx="343">
                  <c:v>45615</c:v>
                </c:pt>
                <c:pt idx="344">
                  <c:v>45614</c:v>
                </c:pt>
                <c:pt idx="345">
                  <c:v>45613</c:v>
                </c:pt>
                <c:pt idx="346">
                  <c:v>45612</c:v>
                </c:pt>
                <c:pt idx="347">
                  <c:v>45611</c:v>
                </c:pt>
                <c:pt idx="348">
                  <c:v>45610</c:v>
                </c:pt>
                <c:pt idx="349">
                  <c:v>45609</c:v>
                </c:pt>
                <c:pt idx="350">
                  <c:v>45608</c:v>
                </c:pt>
                <c:pt idx="351">
                  <c:v>45607</c:v>
                </c:pt>
                <c:pt idx="352">
                  <c:v>45606</c:v>
                </c:pt>
                <c:pt idx="353">
                  <c:v>45605</c:v>
                </c:pt>
                <c:pt idx="354">
                  <c:v>45604</c:v>
                </c:pt>
                <c:pt idx="355">
                  <c:v>45603</c:v>
                </c:pt>
                <c:pt idx="356">
                  <c:v>45602</c:v>
                </c:pt>
                <c:pt idx="357">
                  <c:v>45601</c:v>
                </c:pt>
                <c:pt idx="358">
                  <c:v>45600</c:v>
                </c:pt>
                <c:pt idx="359">
                  <c:v>45599</c:v>
                </c:pt>
                <c:pt idx="360">
                  <c:v>45598</c:v>
                </c:pt>
                <c:pt idx="361">
                  <c:v>45597</c:v>
                </c:pt>
                <c:pt idx="362">
                  <c:v>45596</c:v>
                </c:pt>
                <c:pt idx="363">
                  <c:v>45595</c:v>
                </c:pt>
                <c:pt idx="364">
                  <c:v>45594</c:v>
                </c:pt>
                <c:pt idx="365">
                  <c:v>45593</c:v>
                </c:pt>
                <c:pt idx="366">
                  <c:v>45592</c:v>
                </c:pt>
                <c:pt idx="367">
                  <c:v>45591</c:v>
                </c:pt>
                <c:pt idx="368">
                  <c:v>45590</c:v>
                </c:pt>
                <c:pt idx="369">
                  <c:v>45589</c:v>
                </c:pt>
                <c:pt idx="370">
                  <c:v>45588</c:v>
                </c:pt>
                <c:pt idx="371">
                  <c:v>45587</c:v>
                </c:pt>
                <c:pt idx="372">
                  <c:v>45586</c:v>
                </c:pt>
                <c:pt idx="373">
                  <c:v>45585</c:v>
                </c:pt>
                <c:pt idx="374">
                  <c:v>45584</c:v>
                </c:pt>
                <c:pt idx="375">
                  <c:v>45583</c:v>
                </c:pt>
                <c:pt idx="376">
                  <c:v>45582</c:v>
                </c:pt>
                <c:pt idx="377">
                  <c:v>45581</c:v>
                </c:pt>
                <c:pt idx="378">
                  <c:v>45580</c:v>
                </c:pt>
                <c:pt idx="379">
                  <c:v>45579</c:v>
                </c:pt>
                <c:pt idx="380">
                  <c:v>45578</c:v>
                </c:pt>
                <c:pt idx="381">
                  <c:v>45577</c:v>
                </c:pt>
                <c:pt idx="382">
                  <c:v>45576</c:v>
                </c:pt>
                <c:pt idx="383">
                  <c:v>45575</c:v>
                </c:pt>
                <c:pt idx="384">
                  <c:v>45574</c:v>
                </c:pt>
                <c:pt idx="385">
                  <c:v>45573</c:v>
                </c:pt>
                <c:pt idx="386">
                  <c:v>45572</c:v>
                </c:pt>
                <c:pt idx="387">
                  <c:v>45571</c:v>
                </c:pt>
                <c:pt idx="388">
                  <c:v>45570</c:v>
                </c:pt>
                <c:pt idx="389">
                  <c:v>45569</c:v>
                </c:pt>
                <c:pt idx="390">
                  <c:v>45568</c:v>
                </c:pt>
                <c:pt idx="391">
                  <c:v>45567</c:v>
                </c:pt>
                <c:pt idx="392">
                  <c:v>45566</c:v>
                </c:pt>
                <c:pt idx="393">
                  <c:v>45565</c:v>
                </c:pt>
                <c:pt idx="394">
                  <c:v>45564</c:v>
                </c:pt>
                <c:pt idx="395">
                  <c:v>45563</c:v>
                </c:pt>
                <c:pt idx="396">
                  <c:v>45562</c:v>
                </c:pt>
                <c:pt idx="397">
                  <c:v>45561</c:v>
                </c:pt>
                <c:pt idx="398">
                  <c:v>45560</c:v>
                </c:pt>
                <c:pt idx="399">
                  <c:v>45559</c:v>
                </c:pt>
                <c:pt idx="400">
                  <c:v>45558</c:v>
                </c:pt>
                <c:pt idx="401">
                  <c:v>45557</c:v>
                </c:pt>
                <c:pt idx="402">
                  <c:v>45556</c:v>
                </c:pt>
                <c:pt idx="403">
                  <c:v>45555</c:v>
                </c:pt>
                <c:pt idx="404">
                  <c:v>45554</c:v>
                </c:pt>
              </c:numCache>
            </c:numRef>
          </c:cat>
          <c:val>
            <c:numRef>
              <c:f>Dashboard!$E$154:$E$558</c:f>
              <c:numCache>
                <c:formatCode>General</c:formatCode>
                <c:ptCount val="405"/>
                <c:pt idx="8">
                  <c:v>301.61273136928071</c:v>
                </c:pt>
                <c:pt idx="9">
                  <c:v>306.69328842188406</c:v>
                </c:pt>
                <c:pt idx="10">
                  <c:v>311.77384547448793</c:v>
                </c:pt>
                <c:pt idx="11">
                  <c:v>316.85440252709179</c:v>
                </c:pt>
                <c:pt idx="12">
                  <c:v>321.93495957969566</c:v>
                </c:pt>
                <c:pt idx="13">
                  <c:v>327.01551663229952</c:v>
                </c:pt>
                <c:pt idx="14">
                  <c:v>332.09607368490339</c:v>
                </c:pt>
                <c:pt idx="15">
                  <c:v>337.17663073750725</c:v>
                </c:pt>
                <c:pt idx="16">
                  <c:v>342.25718779011112</c:v>
                </c:pt>
                <c:pt idx="17">
                  <c:v>347.33774484271498</c:v>
                </c:pt>
                <c:pt idx="18">
                  <c:v>352.41830189531885</c:v>
                </c:pt>
                <c:pt idx="19">
                  <c:v>357.49885894792271</c:v>
                </c:pt>
                <c:pt idx="20">
                  <c:v>362.57941600052658</c:v>
                </c:pt>
                <c:pt idx="21">
                  <c:v>367.65997305313044</c:v>
                </c:pt>
                <c:pt idx="22">
                  <c:v>372.74053010573431</c:v>
                </c:pt>
                <c:pt idx="23">
                  <c:v>377.82108715833817</c:v>
                </c:pt>
                <c:pt idx="24">
                  <c:v>382.90164421094204</c:v>
                </c:pt>
                <c:pt idx="25">
                  <c:v>387.9822012635459</c:v>
                </c:pt>
                <c:pt idx="26">
                  <c:v>393.06275831614977</c:v>
                </c:pt>
                <c:pt idx="27">
                  <c:v>398.14331536875363</c:v>
                </c:pt>
                <c:pt idx="28">
                  <c:v>403.2238724213575</c:v>
                </c:pt>
                <c:pt idx="29">
                  <c:v>408.30442947396136</c:v>
                </c:pt>
                <c:pt idx="30">
                  <c:v>413.38498652656523</c:v>
                </c:pt>
                <c:pt idx="31">
                  <c:v>418.46554357916909</c:v>
                </c:pt>
                <c:pt idx="32">
                  <c:v>423.54610063177296</c:v>
                </c:pt>
                <c:pt idx="33">
                  <c:v>428.62665768437682</c:v>
                </c:pt>
                <c:pt idx="34">
                  <c:v>433.70721473698069</c:v>
                </c:pt>
                <c:pt idx="35">
                  <c:v>438.78777178958455</c:v>
                </c:pt>
                <c:pt idx="36">
                  <c:v>443.86832884218842</c:v>
                </c:pt>
                <c:pt idx="37">
                  <c:v>448.94888589479228</c:v>
                </c:pt>
                <c:pt idx="38">
                  <c:v>454.02944294739615</c:v>
                </c:pt>
                <c:pt idx="39">
                  <c:v>459.11</c:v>
                </c:pt>
              </c:numCache>
            </c:numRef>
          </c:val>
          <c:smooth val="0"/>
          <c:extLst>
            <c:ext xmlns:c16="http://schemas.microsoft.com/office/drawing/2014/chart" uri="{C3380CC4-5D6E-409C-BE32-E72D297353CC}">
              <c16:uniqueId val="{00000001-7945-4CFF-8C44-39088B05CB15}"/>
            </c:ext>
          </c:extLst>
        </c:ser>
        <c:dLbls>
          <c:showLegendKey val="0"/>
          <c:showVal val="0"/>
          <c:showCatName val="0"/>
          <c:showSerName val="0"/>
          <c:showPercent val="0"/>
          <c:showBubbleSize val="0"/>
        </c:dLbls>
        <c:marker val="1"/>
        <c:smooth val="0"/>
        <c:axId val="777888655"/>
        <c:axId val="777885295"/>
      </c:lineChart>
      <c:lineChart>
        <c:grouping val="standard"/>
        <c:varyColors val="0"/>
        <c:ser>
          <c:idx val="0"/>
          <c:order val="0"/>
          <c:spPr>
            <a:ln w="19050" cap="rnd">
              <a:solidFill>
                <a:srgbClr val="7B1314"/>
              </a:solidFill>
              <a:round/>
            </a:ln>
            <a:effectLst>
              <a:glow rad="101600">
                <a:schemeClr val="accent1">
                  <a:satMod val="175000"/>
                  <a:alpha val="10000"/>
                </a:schemeClr>
              </a:glow>
            </a:effectLst>
          </c:spPr>
          <c:marker>
            <c:symbol val="none"/>
          </c:marker>
          <c:cat>
            <c:numRef>
              <c:f>Dashboard!$C$154:$C$558</c:f>
              <c:numCache>
                <c:formatCode>yyyy\-mm\-dd;@</c:formatCode>
                <c:ptCount val="405"/>
                <c:pt idx="0">
                  <c:v>45958</c:v>
                </c:pt>
                <c:pt idx="1">
                  <c:v>45957</c:v>
                </c:pt>
                <c:pt idx="2">
                  <c:v>45956</c:v>
                </c:pt>
                <c:pt idx="3">
                  <c:v>45955</c:v>
                </c:pt>
                <c:pt idx="4">
                  <c:v>45954</c:v>
                </c:pt>
                <c:pt idx="5">
                  <c:v>45953</c:v>
                </c:pt>
                <c:pt idx="6">
                  <c:v>45952</c:v>
                </c:pt>
                <c:pt idx="7">
                  <c:v>45951</c:v>
                </c:pt>
                <c:pt idx="8">
                  <c:v>45950</c:v>
                </c:pt>
                <c:pt idx="9">
                  <c:v>45949</c:v>
                </c:pt>
                <c:pt idx="10">
                  <c:v>45948</c:v>
                </c:pt>
                <c:pt idx="11">
                  <c:v>45947</c:v>
                </c:pt>
                <c:pt idx="12">
                  <c:v>45946</c:v>
                </c:pt>
                <c:pt idx="13">
                  <c:v>45945</c:v>
                </c:pt>
                <c:pt idx="14">
                  <c:v>45944</c:v>
                </c:pt>
                <c:pt idx="15">
                  <c:v>45943</c:v>
                </c:pt>
                <c:pt idx="16">
                  <c:v>45942</c:v>
                </c:pt>
                <c:pt idx="17">
                  <c:v>45941</c:v>
                </c:pt>
                <c:pt idx="18">
                  <c:v>45940</c:v>
                </c:pt>
                <c:pt idx="19">
                  <c:v>45939</c:v>
                </c:pt>
                <c:pt idx="20">
                  <c:v>45938</c:v>
                </c:pt>
                <c:pt idx="21">
                  <c:v>45937</c:v>
                </c:pt>
                <c:pt idx="22">
                  <c:v>45936</c:v>
                </c:pt>
                <c:pt idx="23">
                  <c:v>45935</c:v>
                </c:pt>
                <c:pt idx="24">
                  <c:v>45934</c:v>
                </c:pt>
                <c:pt idx="25">
                  <c:v>45933</c:v>
                </c:pt>
                <c:pt idx="26">
                  <c:v>45932</c:v>
                </c:pt>
                <c:pt idx="27">
                  <c:v>45931</c:v>
                </c:pt>
                <c:pt idx="28">
                  <c:v>45930</c:v>
                </c:pt>
                <c:pt idx="29">
                  <c:v>45929</c:v>
                </c:pt>
                <c:pt idx="30">
                  <c:v>45928</c:v>
                </c:pt>
                <c:pt idx="31">
                  <c:v>45927</c:v>
                </c:pt>
                <c:pt idx="32">
                  <c:v>45926</c:v>
                </c:pt>
                <c:pt idx="33">
                  <c:v>45925</c:v>
                </c:pt>
                <c:pt idx="34">
                  <c:v>45924</c:v>
                </c:pt>
                <c:pt idx="35">
                  <c:v>45923</c:v>
                </c:pt>
                <c:pt idx="36">
                  <c:v>45922</c:v>
                </c:pt>
                <c:pt idx="37">
                  <c:v>45921</c:v>
                </c:pt>
                <c:pt idx="38">
                  <c:v>45920</c:v>
                </c:pt>
                <c:pt idx="39">
                  <c:v>45919</c:v>
                </c:pt>
                <c:pt idx="40">
                  <c:v>45918</c:v>
                </c:pt>
                <c:pt idx="41">
                  <c:v>45917</c:v>
                </c:pt>
                <c:pt idx="42">
                  <c:v>45916</c:v>
                </c:pt>
                <c:pt idx="43">
                  <c:v>45915</c:v>
                </c:pt>
                <c:pt idx="44">
                  <c:v>45914</c:v>
                </c:pt>
                <c:pt idx="45">
                  <c:v>45913</c:v>
                </c:pt>
                <c:pt idx="46">
                  <c:v>45912</c:v>
                </c:pt>
                <c:pt idx="47">
                  <c:v>45911</c:v>
                </c:pt>
                <c:pt idx="48">
                  <c:v>45910</c:v>
                </c:pt>
                <c:pt idx="49">
                  <c:v>45909</c:v>
                </c:pt>
                <c:pt idx="50">
                  <c:v>45908</c:v>
                </c:pt>
                <c:pt idx="51">
                  <c:v>45907</c:v>
                </c:pt>
                <c:pt idx="52">
                  <c:v>45906</c:v>
                </c:pt>
                <c:pt idx="53">
                  <c:v>45905</c:v>
                </c:pt>
                <c:pt idx="54">
                  <c:v>45904</c:v>
                </c:pt>
                <c:pt idx="55">
                  <c:v>45903</c:v>
                </c:pt>
                <c:pt idx="56">
                  <c:v>45902</c:v>
                </c:pt>
                <c:pt idx="57">
                  <c:v>45901</c:v>
                </c:pt>
                <c:pt idx="58">
                  <c:v>45900</c:v>
                </c:pt>
                <c:pt idx="59">
                  <c:v>45899</c:v>
                </c:pt>
                <c:pt idx="60">
                  <c:v>45898</c:v>
                </c:pt>
                <c:pt idx="61">
                  <c:v>45897</c:v>
                </c:pt>
                <c:pt idx="62">
                  <c:v>45896</c:v>
                </c:pt>
                <c:pt idx="63">
                  <c:v>45895</c:v>
                </c:pt>
                <c:pt idx="64">
                  <c:v>45894</c:v>
                </c:pt>
                <c:pt idx="65">
                  <c:v>45893</c:v>
                </c:pt>
                <c:pt idx="66">
                  <c:v>45892</c:v>
                </c:pt>
                <c:pt idx="67">
                  <c:v>45891</c:v>
                </c:pt>
                <c:pt idx="68">
                  <c:v>45890</c:v>
                </c:pt>
                <c:pt idx="69">
                  <c:v>45889</c:v>
                </c:pt>
                <c:pt idx="70">
                  <c:v>45888</c:v>
                </c:pt>
                <c:pt idx="71">
                  <c:v>45887</c:v>
                </c:pt>
                <c:pt idx="72">
                  <c:v>45886</c:v>
                </c:pt>
                <c:pt idx="73">
                  <c:v>45885</c:v>
                </c:pt>
                <c:pt idx="74">
                  <c:v>45884</c:v>
                </c:pt>
                <c:pt idx="75">
                  <c:v>45883</c:v>
                </c:pt>
                <c:pt idx="76">
                  <c:v>45882</c:v>
                </c:pt>
                <c:pt idx="77">
                  <c:v>45881</c:v>
                </c:pt>
                <c:pt idx="78">
                  <c:v>45880</c:v>
                </c:pt>
                <c:pt idx="79">
                  <c:v>45879</c:v>
                </c:pt>
                <c:pt idx="80">
                  <c:v>45878</c:v>
                </c:pt>
                <c:pt idx="81">
                  <c:v>45877</c:v>
                </c:pt>
                <c:pt idx="82">
                  <c:v>45876</c:v>
                </c:pt>
                <c:pt idx="83">
                  <c:v>45875</c:v>
                </c:pt>
                <c:pt idx="84">
                  <c:v>45874</c:v>
                </c:pt>
                <c:pt idx="85">
                  <c:v>45873</c:v>
                </c:pt>
                <c:pt idx="86">
                  <c:v>45872</c:v>
                </c:pt>
                <c:pt idx="87">
                  <c:v>45871</c:v>
                </c:pt>
                <c:pt idx="88">
                  <c:v>45870</c:v>
                </c:pt>
                <c:pt idx="89">
                  <c:v>45869</c:v>
                </c:pt>
                <c:pt idx="90">
                  <c:v>45868</c:v>
                </c:pt>
                <c:pt idx="91">
                  <c:v>45867</c:v>
                </c:pt>
                <c:pt idx="92">
                  <c:v>45866</c:v>
                </c:pt>
                <c:pt idx="93">
                  <c:v>45865</c:v>
                </c:pt>
                <c:pt idx="94">
                  <c:v>45864</c:v>
                </c:pt>
                <c:pt idx="95">
                  <c:v>45863</c:v>
                </c:pt>
                <c:pt idx="96">
                  <c:v>45862</c:v>
                </c:pt>
                <c:pt idx="97">
                  <c:v>45861</c:v>
                </c:pt>
                <c:pt idx="98">
                  <c:v>45860</c:v>
                </c:pt>
                <c:pt idx="99">
                  <c:v>45859</c:v>
                </c:pt>
                <c:pt idx="100">
                  <c:v>45858</c:v>
                </c:pt>
                <c:pt idx="101">
                  <c:v>45857</c:v>
                </c:pt>
                <c:pt idx="102">
                  <c:v>45856</c:v>
                </c:pt>
                <c:pt idx="103">
                  <c:v>45855</c:v>
                </c:pt>
                <c:pt idx="104">
                  <c:v>45854</c:v>
                </c:pt>
                <c:pt idx="105">
                  <c:v>45853</c:v>
                </c:pt>
                <c:pt idx="106">
                  <c:v>45852</c:v>
                </c:pt>
                <c:pt idx="107">
                  <c:v>45851</c:v>
                </c:pt>
                <c:pt idx="108">
                  <c:v>45850</c:v>
                </c:pt>
                <c:pt idx="109">
                  <c:v>45849</c:v>
                </c:pt>
                <c:pt idx="110">
                  <c:v>45848</c:v>
                </c:pt>
                <c:pt idx="111">
                  <c:v>45847</c:v>
                </c:pt>
                <c:pt idx="112">
                  <c:v>45846</c:v>
                </c:pt>
                <c:pt idx="113">
                  <c:v>45845</c:v>
                </c:pt>
                <c:pt idx="114">
                  <c:v>45844</c:v>
                </c:pt>
                <c:pt idx="115">
                  <c:v>45843</c:v>
                </c:pt>
                <c:pt idx="116">
                  <c:v>45842</c:v>
                </c:pt>
                <c:pt idx="117">
                  <c:v>45841</c:v>
                </c:pt>
                <c:pt idx="118">
                  <c:v>45840</c:v>
                </c:pt>
                <c:pt idx="119">
                  <c:v>45839</c:v>
                </c:pt>
                <c:pt idx="120">
                  <c:v>45838</c:v>
                </c:pt>
                <c:pt idx="121">
                  <c:v>45837</c:v>
                </c:pt>
                <c:pt idx="122">
                  <c:v>45836</c:v>
                </c:pt>
                <c:pt idx="123">
                  <c:v>45835</c:v>
                </c:pt>
                <c:pt idx="124">
                  <c:v>45834</c:v>
                </c:pt>
                <c:pt idx="125">
                  <c:v>45833</c:v>
                </c:pt>
                <c:pt idx="126">
                  <c:v>45832</c:v>
                </c:pt>
                <c:pt idx="127">
                  <c:v>45831</c:v>
                </c:pt>
                <c:pt idx="128">
                  <c:v>45830</c:v>
                </c:pt>
                <c:pt idx="129">
                  <c:v>45829</c:v>
                </c:pt>
                <c:pt idx="130">
                  <c:v>45828</c:v>
                </c:pt>
                <c:pt idx="131">
                  <c:v>45827</c:v>
                </c:pt>
                <c:pt idx="132">
                  <c:v>45826</c:v>
                </c:pt>
                <c:pt idx="133">
                  <c:v>45825</c:v>
                </c:pt>
                <c:pt idx="134">
                  <c:v>45824</c:v>
                </c:pt>
                <c:pt idx="135">
                  <c:v>45823</c:v>
                </c:pt>
                <c:pt idx="136">
                  <c:v>45822</c:v>
                </c:pt>
                <c:pt idx="137">
                  <c:v>45821</c:v>
                </c:pt>
                <c:pt idx="138">
                  <c:v>45820</c:v>
                </c:pt>
                <c:pt idx="139">
                  <c:v>45819</c:v>
                </c:pt>
                <c:pt idx="140">
                  <c:v>45818</c:v>
                </c:pt>
                <c:pt idx="141">
                  <c:v>45817</c:v>
                </c:pt>
                <c:pt idx="142">
                  <c:v>45816</c:v>
                </c:pt>
                <c:pt idx="143">
                  <c:v>45815</c:v>
                </c:pt>
                <c:pt idx="144">
                  <c:v>45814</c:v>
                </c:pt>
                <c:pt idx="145">
                  <c:v>45813</c:v>
                </c:pt>
                <c:pt idx="146">
                  <c:v>45812</c:v>
                </c:pt>
                <c:pt idx="147">
                  <c:v>45811</c:v>
                </c:pt>
                <c:pt idx="148">
                  <c:v>45810</c:v>
                </c:pt>
                <c:pt idx="149">
                  <c:v>45809</c:v>
                </c:pt>
                <c:pt idx="150">
                  <c:v>45808</c:v>
                </c:pt>
                <c:pt idx="151">
                  <c:v>45807</c:v>
                </c:pt>
                <c:pt idx="152">
                  <c:v>45806</c:v>
                </c:pt>
                <c:pt idx="153">
                  <c:v>45805</c:v>
                </c:pt>
                <c:pt idx="154">
                  <c:v>45804</c:v>
                </c:pt>
                <c:pt idx="155">
                  <c:v>45803</c:v>
                </c:pt>
                <c:pt idx="156">
                  <c:v>45802</c:v>
                </c:pt>
                <c:pt idx="157">
                  <c:v>45801</c:v>
                </c:pt>
                <c:pt idx="158">
                  <c:v>45800</c:v>
                </c:pt>
                <c:pt idx="159">
                  <c:v>45799</c:v>
                </c:pt>
                <c:pt idx="160">
                  <c:v>45798</c:v>
                </c:pt>
                <c:pt idx="161">
                  <c:v>45797</c:v>
                </c:pt>
                <c:pt idx="162">
                  <c:v>45796</c:v>
                </c:pt>
                <c:pt idx="163">
                  <c:v>45795</c:v>
                </c:pt>
                <c:pt idx="164">
                  <c:v>45794</c:v>
                </c:pt>
                <c:pt idx="165">
                  <c:v>45793</c:v>
                </c:pt>
                <c:pt idx="166">
                  <c:v>45792</c:v>
                </c:pt>
                <c:pt idx="167">
                  <c:v>45791</c:v>
                </c:pt>
                <c:pt idx="168">
                  <c:v>45790</c:v>
                </c:pt>
                <c:pt idx="169">
                  <c:v>45789</c:v>
                </c:pt>
                <c:pt idx="170">
                  <c:v>45788</c:v>
                </c:pt>
                <c:pt idx="171">
                  <c:v>45787</c:v>
                </c:pt>
                <c:pt idx="172">
                  <c:v>45786</c:v>
                </c:pt>
                <c:pt idx="173">
                  <c:v>45785</c:v>
                </c:pt>
                <c:pt idx="174">
                  <c:v>45784</c:v>
                </c:pt>
                <c:pt idx="175">
                  <c:v>45783</c:v>
                </c:pt>
                <c:pt idx="176">
                  <c:v>45782</c:v>
                </c:pt>
                <c:pt idx="177">
                  <c:v>45781</c:v>
                </c:pt>
                <c:pt idx="178">
                  <c:v>45780</c:v>
                </c:pt>
                <c:pt idx="179">
                  <c:v>45779</c:v>
                </c:pt>
                <c:pt idx="180">
                  <c:v>45778</c:v>
                </c:pt>
                <c:pt idx="181">
                  <c:v>45777</c:v>
                </c:pt>
                <c:pt idx="182">
                  <c:v>45776</c:v>
                </c:pt>
                <c:pt idx="183">
                  <c:v>45775</c:v>
                </c:pt>
                <c:pt idx="184">
                  <c:v>45774</c:v>
                </c:pt>
                <c:pt idx="185">
                  <c:v>45773</c:v>
                </c:pt>
                <c:pt idx="186">
                  <c:v>45772</c:v>
                </c:pt>
                <c:pt idx="187">
                  <c:v>45771</c:v>
                </c:pt>
                <c:pt idx="188">
                  <c:v>45770</c:v>
                </c:pt>
                <c:pt idx="189">
                  <c:v>45769</c:v>
                </c:pt>
                <c:pt idx="190">
                  <c:v>45768</c:v>
                </c:pt>
                <c:pt idx="191">
                  <c:v>45767</c:v>
                </c:pt>
                <c:pt idx="192">
                  <c:v>45766</c:v>
                </c:pt>
                <c:pt idx="193">
                  <c:v>45765</c:v>
                </c:pt>
                <c:pt idx="194">
                  <c:v>45764</c:v>
                </c:pt>
                <c:pt idx="195">
                  <c:v>45763</c:v>
                </c:pt>
                <c:pt idx="196">
                  <c:v>45762</c:v>
                </c:pt>
                <c:pt idx="197">
                  <c:v>45761</c:v>
                </c:pt>
                <c:pt idx="198">
                  <c:v>45760</c:v>
                </c:pt>
                <c:pt idx="199">
                  <c:v>45759</c:v>
                </c:pt>
                <c:pt idx="200">
                  <c:v>45758</c:v>
                </c:pt>
                <c:pt idx="201">
                  <c:v>45757</c:v>
                </c:pt>
                <c:pt idx="202">
                  <c:v>45756</c:v>
                </c:pt>
                <c:pt idx="203">
                  <c:v>45755</c:v>
                </c:pt>
                <c:pt idx="204">
                  <c:v>45754</c:v>
                </c:pt>
                <c:pt idx="205">
                  <c:v>45753</c:v>
                </c:pt>
                <c:pt idx="206">
                  <c:v>45752</c:v>
                </c:pt>
                <c:pt idx="207">
                  <c:v>45751</c:v>
                </c:pt>
                <c:pt idx="208">
                  <c:v>45750</c:v>
                </c:pt>
                <c:pt idx="209">
                  <c:v>45749</c:v>
                </c:pt>
                <c:pt idx="210">
                  <c:v>45748</c:v>
                </c:pt>
                <c:pt idx="211">
                  <c:v>45747</c:v>
                </c:pt>
                <c:pt idx="212">
                  <c:v>45746</c:v>
                </c:pt>
                <c:pt idx="213">
                  <c:v>45745</c:v>
                </c:pt>
                <c:pt idx="214">
                  <c:v>45744</c:v>
                </c:pt>
                <c:pt idx="215">
                  <c:v>45743</c:v>
                </c:pt>
                <c:pt idx="216">
                  <c:v>45742</c:v>
                </c:pt>
                <c:pt idx="217">
                  <c:v>45741</c:v>
                </c:pt>
                <c:pt idx="218">
                  <c:v>45740</c:v>
                </c:pt>
                <c:pt idx="219">
                  <c:v>45739</c:v>
                </c:pt>
                <c:pt idx="220">
                  <c:v>45738</c:v>
                </c:pt>
                <c:pt idx="221">
                  <c:v>45737</c:v>
                </c:pt>
                <c:pt idx="222">
                  <c:v>45736</c:v>
                </c:pt>
                <c:pt idx="223">
                  <c:v>45735</c:v>
                </c:pt>
                <c:pt idx="224">
                  <c:v>45734</c:v>
                </c:pt>
                <c:pt idx="225">
                  <c:v>45733</c:v>
                </c:pt>
                <c:pt idx="226">
                  <c:v>45732</c:v>
                </c:pt>
                <c:pt idx="227">
                  <c:v>45731</c:v>
                </c:pt>
                <c:pt idx="228">
                  <c:v>45730</c:v>
                </c:pt>
                <c:pt idx="229">
                  <c:v>45729</c:v>
                </c:pt>
                <c:pt idx="230">
                  <c:v>45728</c:v>
                </c:pt>
                <c:pt idx="231">
                  <c:v>45727</c:v>
                </c:pt>
                <c:pt idx="232">
                  <c:v>45726</c:v>
                </c:pt>
                <c:pt idx="233">
                  <c:v>45725</c:v>
                </c:pt>
                <c:pt idx="234">
                  <c:v>45724</c:v>
                </c:pt>
                <c:pt idx="235">
                  <c:v>45723</c:v>
                </c:pt>
                <c:pt idx="236">
                  <c:v>45722</c:v>
                </c:pt>
                <c:pt idx="237">
                  <c:v>45721</c:v>
                </c:pt>
                <c:pt idx="238">
                  <c:v>45720</c:v>
                </c:pt>
                <c:pt idx="239">
                  <c:v>45719</c:v>
                </c:pt>
                <c:pt idx="240">
                  <c:v>45718</c:v>
                </c:pt>
                <c:pt idx="241">
                  <c:v>45717</c:v>
                </c:pt>
                <c:pt idx="242">
                  <c:v>45716</c:v>
                </c:pt>
                <c:pt idx="243">
                  <c:v>45715</c:v>
                </c:pt>
                <c:pt idx="244">
                  <c:v>45714</c:v>
                </c:pt>
                <c:pt idx="245">
                  <c:v>45713</c:v>
                </c:pt>
                <c:pt idx="246">
                  <c:v>45712</c:v>
                </c:pt>
                <c:pt idx="247">
                  <c:v>45711</c:v>
                </c:pt>
                <c:pt idx="248">
                  <c:v>45710</c:v>
                </c:pt>
                <c:pt idx="249">
                  <c:v>45709</c:v>
                </c:pt>
                <c:pt idx="250">
                  <c:v>45708</c:v>
                </c:pt>
                <c:pt idx="251">
                  <c:v>45707</c:v>
                </c:pt>
                <c:pt idx="252">
                  <c:v>45706</c:v>
                </c:pt>
                <c:pt idx="253">
                  <c:v>45705</c:v>
                </c:pt>
                <c:pt idx="254">
                  <c:v>45704</c:v>
                </c:pt>
                <c:pt idx="255">
                  <c:v>45703</c:v>
                </c:pt>
                <c:pt idx="256">
                  <c:v>45702</c:v>
                </c:pt>
                <c:pt idx="257">
                  <c:v>45701</c:v>
                </c:pt>
                <c:pt idx="258">
                  <c:v>45700</c:v>
                </c:pt>
                <c:pt idx="259">
                  <c:v>45699</c:v>
                </c:pt>
                <c:pt idx="260">
                  <c:v>45698</c:v>
                </c:pt>
                <c:pt idx="261">
                  <c:v>45697</c:v>
                </c:pt>
                <c:pt idx="262">
                  <c:v>45696</c:v>
                </c:pt>
                <c:pt idx="263">
                  <c:v>45695</c:v>
                </c:pt>
                <c:pt idx="264">
                  <c:v>45694</c:v>
                </c:pt>
                <c:pt idx="265">
                  <c:v>45693</c:v>
                </c:pt>
                <c:pt idx="266">
                  <c:v>45692</c:v>
                </c:pt>
                <c:pt idx="267">
                  <c:v>45691</c:v>
                </c:pt>
                <c:pt idx="268">
                  <c:v>45690</c:v>
                </c:pt>
                <c:pt idx="269">
                  <c:v>45689</c:v>
                </c:pt>
                <c:pt idx="270">
                  <c:v>45688</c:v>
                </c:pt>
                <c:pt idx="271">
                  <c:v>45687</c:v>
                </c:pt>
                <c:pt idx="272">
                  <c:v>45686</c:v>
                </c:pt>
                <c:pt idx="273">
                  <c:v>45685</c:v>
                </c:pt>
                <c:pt idx="274">
                  <c:v>45684</c:v>
                </c:pt>
                <c:pt idx="275">
                  <c:v>45683</c:v>
                </c:pt>
                <c:pt idx="276">
                  <c:v>45682</c:v>
                </c:pt>
                <c:pt idx="277">
                  <c:v>45681</c:v>
                </c:pt>
                <c:pt idx="278">
                  <c:v>45680</c:v>
                </c:pt>
                <c:pt idx="279">
                  <c:v>45679</c:v>
                </c:pt>
                <c:pt idx="280">
                  <c:v>45678</c:v>
                </c:pt>
                <c:pt idx="281">
                  <c:v>45677</c:v>
                </c:pt>
                <c:pt idx="282">
                  <c:v>45676</c:v>
                </c:pt>
                <c:pt idx="283">
                  <c:v>45675</c:v>
                </c:pt>
                <c:pt idx="284">
                  <c:v>45674</c:v>
                </c:pt>
                <c:pt idx="285">
                  <c:v>45673</c:v>
                </c:pt>
                <c:pt idx="286">
                  <c:v>45672</c:v>
                </c:pt>
                <c:pt idx="287">
                  <c:v>45671</c:v>
                </c:pt>
                <c:pt idx="288">
                  <c:v>45670</c:v>
                </c:pt>
                <c:pt idx="289">
                  <c:v>45669</c:v>
                </c:pt>
                <c:pt idx="290">
                  <c:v>45668</c:v>
                </c:pt>
                <c:pt idx="291">
                  <c:v>45667</c:v>
                </c:pt>
                <c:pt idx="292">
                  <c:v>45666</c:v>
                </c:pt>
                <c:pt idx="293">
                  <c:v>45665</c:v>
                </c:pt>
                <c:pt idx="294">
                  <c:v>45664</c:v>
                </c:pt>
                <c:pt idx="295">
                  <c:v>45663</c:v>
                </c:pt>
                <c:pt idx="296">
                  <c:v>45662</c:v>
                </c:pt>
                <c:pt idx="297">
                  <c:v>45661</c:v>
                </c:pt>
                <c:pt idx="298">
                  <c:v>45660</c:v>
                </c:pt>
                <c:pt idx="299">
                  <c:v>45659</c:v>
                </c:pt>
                <c:pt idx="300">
                  <c:v>45658</c:v>
                </c:pt>
                <c:pt idx="301">
                  <c:v>45657</c:v>
                </c:pt>
                <c:pt idx="302">
                  <c:v>45656</c:v>
                </c:pt>
                <c:pt idx="303">
                  <c:v>45655</c:v>
                </c:pt>
                <c:pt idx="304">
                  <c:v>45654</c:v>
                </c:pt>
                <c:pt idx="305">
                  <c:v>45653</c:v>
                </c:pt>
                <c:pt idx="306">
                  <c:v>45652</c:v>
                </c:pt>
                <c:pt idx="307">
                  <c:v>45651</c:v>
                </c:pt>
                <c:pt idx="308">
                  <c:v>45650</c:v>
                </c:pt>
                <c:pt idx="309">
                  <c:v>45649</c:v>
                </c:pt>
                <c:pt idx="310">
                  <c:v>45648</c:v>
                </c:pt>
                <c:pt idx="311">
                  <c:v>45647</c:v>
                </c:pt>
                <c:pt idx="312">
                  <c:v>45646</c:v>
                </c:pt>
                <c:pt idx="313">
                  <c:v>45645</c:v>
                </c:pt>
                <c:pt idx="314">
                  <c:v>45644</c:v>
                </c:pt>
                <c:pt idx="315">
                  <c:v>45643</c:v>
                </c:pt>
                <c:pt idx="316">
                  <c:v>45642</c:v>
                </c:pt>
                <c:pt idx="317">
                  <c:v>45641</c:v>
                </c:pt>
                <c:pt idx="318">
                  <c:v>45640</c:v>
                </c:pt>
                <c:pt idx="319">
                  <c:v>45639</c:v>
                </c:pt>
                <c:pt idx="320">
                  <c:v>45638</c:v>
                </c:pt>
                <c:pt idx="321">
                  <c:v>45637</c:v>
                </c:pt>
                <c:pt idx="322">
                  <c:v>45636</c:v>
                </c:pt>
                <c:pt idx="323">
                  <c:v>45635</c:v>
                </c:pt>
                <c:pt idx="324">
                  <c:v>45634</c:v>
                </c:pt>
                <c:pt idx="325">
                  <c:v>45633</c:v>
                </c:pt>
                <c:pt idx="326">
                  <c:v>45632</c:v>
                </c:pt>
                <c:pt idx="327">
                  <c:v>45631</c:v>
                </c:pt>
                <c:pt idx="328">
                  <c:v>45630</c:v>
                </c:pt>
                <c:pt idx="329">
                  <c:v>45629</c:v>
                </c:pt>
                <c:pt idx="330">
                  <c:v>45628</c:v>
                </c:pt>
                <c:pt idx="331">
                  <c:v>45627</c:v>
                </c:pt>
                <c:pt idx="332">
                  <c:v>45626</c:v>
                </c:pt>
                <c:pt idx="333">
                  <c:v>45625</c:v>
                </c:pt>
                <c:pt idx="334">
                  <c:v>45624</c:v>
                </c:pt>
                <c:pt idx="335">
                  <c:v>45623</c:v>
                </c:pt>
                <c:pt idx="336">
                  <c:v>45622</c:v>
                </c:pt>
                <c:pt idx="337">
                  <c:v>45621</c:v>
                </c:pt>
                <c:pt idx="338">
                  <c:v>45620</c:v>
                </c:pt>
                <c:pt idx="339">
                  <c:v>45619</c:v>
                </c:pt>
                <c:pt idx="340">
                  <c:v>45618</c:v>
                </c:pt>
                <c:pt idx="341">
                  <c:v>45617</c:v>
                </c:pt>
                <c:pt idx="342">
                  <c:v>45616</c:v>
                </c:pt>
                <c:pt idx="343">
                  <c:v>45615</c:v>
                </c:pt>
                <c:pt idx="344">
                  <c:v>45614</c:v>
                </c:pt>
                <c:pt idx="345">
                  <c:v>45613</c:v>
                </c:pt>
                <c:pt idx="346">
                  <c:v>45612</c:v>
                </c:pt>
                <c:pt idx="347">
                  <c:v>45611</c:v>
                </c:pt>
                <c:pt idx="348">
                  <c:v>45610</c:v>
                </c:pt>
                <c:pt idx="349">
                  <c:v>45609</c:v>
                </c:pt>
                <c:pt idx="350">
                  <c:v>45608</c:v>
                </c:pt>
                <c:pt idx="351">
                  <c:v>45607</c:v>
                </c:pt>
                <c:pt idx="352">
                  <c:v>45606</c:v>
                </c:pt>
                <c:pt idx="353">
                  <c:v>45605</c:v>
                </c:pt>
                <c:pt idx="354">
                  <c:v>45604</c:v>
                </c:pt>
                <c:pt idx="355">
                  <c:v>45603</c:v>
                </c:pt>
                <c:pt idx="356">
                  <c:v>45602</c:v>
                </c:pt>
                <c:pt idx="357">
                  <c:v>45601</c:v>
                </c:pt>
                <c:pt idx="358">
                  <c:v>45600</c:v>
                </c:pt>
                <c:pt idx="359">
                  <c:v>45599</c:v>
                </c:pt>
                <c:pt idx="360">
                  <c:v>45598</c:v>
                </c:pt>
                <c:pt idx="361">
                  <c:v>45597</c:v>
                </c:pt>
                <c:pt idx="362">
                  <c:v>45596</c:v>
                </c:pt>
                <c:pt idx="363">
                  <c:v>45595</c:v>
                </c:pt>
                <c:pt idx="364">
                  <c:v>45594</c:v>
                </c:pt>
                <c:pt idx="365">
                  <c:v>45593</c:v>
                </c:pt>
                <c:pt idx="366">
                  <c:v>45592</c:v>
                </c:pt>
                <c:pt idx="367">
                  <c:v>45591</c:v>
                </c:pt>
                <c:pt idx="368">
                  <c:v>45590</c:v>
                </c:pt>
                <c:pt idx="369">
                  <c:v>45589</c:v>
                </c:pt>
                <c:pt idx="370">
                  <c:v>45588</c:v>
                </c:pt>
                <c:pt idx="371">
                  <c:v>45587</c:v>
                </c:pt>
                <c:pt idx="372">
                  <c:v>45586</c:v>
                </c:pt>
                <c:pt idx="373">
                  <c:v>45585</c:v>
                </c:pt>
                <c:pt idx="374">
                  <c:v>45584</c:v>
                </c:pt>
                <c:pt idx="375">
                  <c:v>45583</c:v>
                </c:pt>
                <c:pt idx="376">
                  <c:v>45582</c:v>
                </c:pt>
                <c:pt idx="377">
                  <c:v>45581</c:v>
                </c:pt>
                <c:pt idx="378">
                  <c:v>45580</c:v>
                </c:pt>
                <c:pt idx="379">
                  <c:v>45579</c:v>
                </c:pt>
                <c:pt idx="380">
                  <c:v>45578</c:v>
                </c:pt>
                <c:pt idx="381">
                  <c:v>45577</c:v>
                </c:pt>
                <c:pt idx="382">
                  <c:v>45576</c:v>
                </c:pt>
                <c:pt idx="383">
                  <c:v>45575</c:v>
                </c:pt>
                <c:pt idx="384">
                  <c:v>45574</c:v>
                </c:pt>
                <c:pt idx="385">
                  <c:v>45573</c:v>
                </c:pt>
                <c:pt idx="386">
                  <c:v>45572</c:v>
                </c:pt>
                <c:pt idx="387">
                  <c:v>45571</c:v>
                </c:pt>
                <c:pt idx="388">
                  <c:v>45570</c:v>
                </c:pt>
                <c:pt idx="389">
                  <c:v>45569</c:v>
                </c:pt>
                <c:pt idx="390">
                  <c:v>45568</c:v>
                </c:pt>
                <c:pt idx="391">
                  <c:v>45567</c:v>
                </c:pt>
                <c:pt idx="392">
                  <c:v>45566</c:v>
                </c:pt>
                <c:pt idx="393">
                  <c:v>45565</c:v>
                </c:pt>
                <c:pt idx="394">
                  <c:v>45564</c:v>
                </c:pt>
                <c:pt idx="395">
                  <c:v>45563</c:v>
                </c:pt>
                <c:pt idx="396">
                  <c:v>45562</c:v>
                </c:pt>
                <c:pt idx="397">
                  <c:v>45561</c:v>
                </c:pt>
                <c:pt idx="398">
                  <c:v>45560</c:v>
                </c:pt>
                <c:pt idx="399">
                  <c:v>45559</c:v>
                </c:pt>
                <c:pt idx="400">
                  <c:v>45558</c:v>
                </c:pt>
                <c:pt idx="401">
                  <c:v>45557</c:v>
                </c:pt>
                <c:pt idx="402">
                  <c:v>45556</c:v>
                </c:pt>
                <c:pt idx="403">
                  <c:v>45555</c:v>
                </c:pt>
                <c:pt idx="404">
                  <c:v>45554</c:v>
                </c:pt>
              </c:numCache>
            </c:numRef>
          </c:cat>
          <c:val>
            <c:numRef>
              <c:f>Dashboard!$D$154:$D$558</c:f>
              <c:numCache>
                <c:formatCode>General</c:formatCode>
                <c:ptCount val="405"/>
                <c:pt idx="39">
                  <c:v>459.11</c:v>
                </c:pt>
                <c:pt idx="40">
                  <c:v>459.11</c:v>
                </c:pt>
                <c:pt idx="41">
                  <c:v>463.9</c:v>
                </c:pt>
                <c:pt idx="42">
                  <c:v>463.9</c:v>
                </c:pt>
                <c:pt idx="43">
                  <c:v>463.9</c:v>
                </c:pt>
                <c:pt idx="44">
                  <c:v>456.85</c:v>
                </c:pt>
                <c:pt idx="45">
                  <c:v>449.06</c:v>
                </c:pt>
                <c:pt idx="46">
                  <c:v>452.5</c:v>
                </c:pt>
                <c:pt idx="47">
                  <c:v>455.63</c:v>
                </c:pt>
                <c:pt idx="48">
                  <c:v>455.63</c:v>
                </c:pt>
                <c:pt idx="49">
                  <c:v>455.63</c:v>
                </c:pt>
                <c:pt idx="50">
                  <c:v>455.63</c:v>
                </c:pt>
                <c:pt idx="51">
                  <c:v>456.18</c:v>
                </c:pt>
                <c:pt idx="52">
                  <c:v>454.47</c:v>
                </c:pt>
                <c:pt idx="53">
                  <c:v>455.46</c:v>
                </c:pt>
                <c:pt idx="54">
                  <c:v>447.72</c:v>
                </c:pt>
                <c:pt idx="55">
                  <c:v>446.2</c:v>
                </c:pt>
                <c:pt idx="56">
                  <c:v>446.2</c:v>
                </c:pt>
                <c:pt idx="57">
                  <c:v>446.2</c:v>
                </c:pt>
                <c:pt idx="58">
                  <c:v>447.2</c:v>
                </c:pt>
                <c:pt idx="59">
                  <c:v>446</c:v>
                </c:pt>
                <c:pt idx="60">
                  <c:v>441.1</c:v>
                </c:pt>
                <c:pt idx="61">
                  <c:v>440.64</c:v>
                </c:pt>
                <c:pt idx="62">
                  <c:v>437.56</c:v>
                </c:pt>
                <c:pt idx="63">
                  <c:v>437.56</c:v>
                </c:pt>
                <c:pt idx="64">
                  <c:v>437.56</c:v>
                </c:pt>
                <c:pt idx="65">
                  <c:v>437.32</c:v>
                </c:pt>
                <c:pt idx="66">
                  <c:v>442.57</c:v>
                </c:pt>
                <c:pt idx="67">
                  <c:v>431.56</c:v>
                </c:pt>
                <c:pt idx="68">
                  <c:v>426.26</c:v>
                </c:pt>
                <c:pt idx="69">
                  <c:v>425.63</c:v>
                </c:pt>
                <c:pt idx="70">
                  <c:v>425.63</c:v>
                </c:pt>
                <c:pt idx="71">
                  <c:v>425.63</c:v>
                </c:pt>
                <c:pt idx="72">
                  <c:v>430.75</c:v>
                </c:pt>
                <c:pt idx="73">
                  <c:v>434.85</c:v>
                </c:pt>
                <c:pt idx="74">
                  <c:v>428.24</c:v>
                </c:pt>
                <c:pt idx="75">
                  <c:v>423.7</c:v>
                </c:pt>
                <c:pt idx="76">
                  <c:v>421.01</c:v>
                </c:pt>
                <c:pt idx="77">
                  <c:v>421.01</c:v>
                </c:pt>
                <c:pt idx="78">
                  <c:v>421.01</c:v>
                </c:pt>
                <c:pt idx="79">
                  <c:v>420.98</c:v>
                </c:pt>
                <c:pt idx="80">
                  <c:v>418.68</c:v>
                </c:pt>
                <c:pt idx="81">
                  <c:v>420.13</c:v>
                </c:pt>
                <c:pt idx="82">
                  <c:v>421.34</c:v>
                </c:pt>
                <c:pt idx="83">
                  <c:v>421.17</c:v>
                </c:pt>
                <c:pt idx="84">
                  <c:v>421.17</c:v>
                </c:pt>
                <c:pt idx="85">
                  <c:v>421.17</c:v>
                </c:pt>
                <c:pt idx="86">
                  <c:v>420.55</c:v>
                </c:pt>
                <c:pt idx="87">
                  <c:v>419.39</c:v>
                </c:pt>
                <c:pt idx="88">
                  <c:v>410.74</c:v>
                </c:pt>
                <c:pt idx="89">
                  <c:v>460.53</c:v>
                </c:pt>
                <c:pt idx="90">
                  <c:v>463.96</c:v>
                </c:pt>
                <c:pt idx="91">
                  <c:v>463.96</c:v>
                </c:pt>
                <c:pt idx="92">
                  <c:v>463.96</c:v>
                </c:pt>
                <c:pt idx="93">
                  <c:v>469.2</c:v>
                </c:pt>
                <c:pt idx="94">
                  <c:v>471.47</c:v>
                </c:pt>
                <c:pt idx="95">
                  <c:v>470.12</c:v>
                </c:pt>
                <c:pt idx="96">
                  <c:v>473.57</c:v>
                </c:pt>
                <c:pt idx="97">
                  <c:v>467.51</c:v>
                </c:pt>
                <c:pt idx="98">
                  <c:v>467.51</c:v>
                </c:pt>
                <c:pt idx="99">
                  <c:v>467.51</c:v>
                </c:pt>
                <c:pt idx="100">
                  <c:v>464.31</c:v>
                </c:pt>
                <c:pt idx="101">
                  <c:v>463.06</c:v>
                </c:pt>
                <c:pt idx="102">
                  <c:v>463.01</c:v>
                </c:pt>
                <c:pt idx="103">
                  <c:v>469.06</c:v>
                </c:pt>
                <c:pt idx="104">
                  <c:v>462.52</c:v>
                </c:pt>
                <c:pt idx="105">
                  <c:v>462.52</c:v>
                </c:pt>
                <c:pt idx="106">
                  <c:v>462.52</c:v>
                </c:pt>
                <c:pt idx="107">
                  <c:v>462.52</c:v>
                </c:pt>
                <c:pt idx="108">
                  <c:v>462.55</c:v>
                </c:pt>
                <c:pt idx="109">
                  <c:v>465.94</c:v>
                </c:pt>
                <c:pt idx="110">
                  <c:v>463.14</c:v>
                </c:pt>
                <c:pt idx="111">
                  <c:v>458.59</c:v>
                </c:pt>
                <c:pt idx="112">
                  <c:v>458.59</c:v>
                </c:pt>
                <c:pt idx="113">
                  <c:v>458.59</c:v>
                </c:pt>
                <c:pt idx="114">
                  <c:v>457.9</c:v>
                </c:pt>
                <c:pt idx="115">
                  <c:v>458.39</c:v>
                </c:pt>
                <c:pt idx="116">
                  <c:v>460.2</c:v>
                </c:pt>
                <c:pt idx="117">
                  <c:v>472.46</c:v>
                </c:pt>
                <c:pt idx="118">
                  <c:v>470.56</c:v>
                </c:pt>
                <c:pt idx="119">
                  <c:v>470.56</c:v>
                </c:pt>
                <c:pt idx="120">
                  <c:v>470.56</c:v>
                </c:pt>
                <c:pt idx="121">
                  <c:v>468.6</c:v>
                </c:pt>
                <c:pt idx="122">
                  <c:v>468.6</c:v>
                </c:pt>
                <c:pt idx="123">
                  <c:v>479.34</c:v>
                </c:pt>
                <c:pt idx="124">
                  <c:v>467.06</c:v>
                </c:pt>
                <c:pt idx="125">
                  <c:v>486.45</c:v>
                </c:pt>
                <c:pt idx="126">
                  <c:v>486.45</c:v>
                </c:pt>
                <c:pt idx="127">
                  <c:v>486.45</c:v>
                </c:pt>
                <c:pt idx="128">
                  <c:v>469.27</c:v>
                </c:pt>
                <c:pt idx="129">
                  <c:v>456.6</c:v>
                </c:pt>
                <c:pt idx="130">
                  <c:v>476.9</c:v>
                </c:pt>
                <c:pt idx="131">
                  <c:v>480.83</c:v>
                </c:pt>
                <c:pt idx="132">
                  <c:v>481.69</c:v>
                </c:pt>
                <c:pt idx="133">
                  <c:v>481.69</c:v>
                </c:pt>
                <c:pt idx="134">
                  <c:v>481.69</c:v>
                </c:pt>
                <c:pt idx="135">
                  <c:v>478.03</c:v>
                </c:pt>
                <c:pt idx="136">
                  <c:v>482.21</c:v>
                </c:pt>
                <c:pt idx="137">
                  <c:v>480.17</c:v>
                </c:pt>
                <c:pt idx="138">
                  <c:v>478.82</c:v>
                </c:pt>
                <c:pt idx="139">
                  <c:v>482.38</c:v>
                </c:pt>
                <c:pt idx="140">
                  <c:v>482.38</c:v>
                </c:pt>
                <c:pt idx="141">
                  <c:v>482.38</c:v>
                </c:pt>
                <c:pt idx="142">
                  <c:v>473.69</c:v>
                </c:pt>
                <c:pt idx="143">
                  <c:v>469.98</c:v>
                </c:pt>
                <c:pt idx="144">
                  <c:v>476.85</c:v>
                </c:pt>
                <c:pt idx="145">
                  <c:v>468.88</c:v>
                </c:pt>
                <c:pt idx="146">
                  <c:v>468.88</c:v>
                </c:pt>
                <c:pt idx="147">
                  <c:v>468.88</c:v>
                </c:pt>
                <c:pt idx="148">
                  <c:v>468.88</c:v>
                </c:pt>
                <c:pt idx="149">
                  <c:v>470.45</c:v>
                </c:pt>
                <c:pt idx="150">
                  <c:v>470.28</c:v>
                </c:pt>
                <c:pt idx="151">
                  <c:v>475.82</c:v>
                </c:pt>
                <c:pt idx="152">
                  <c:v>473.06</c:v>
                </c:pt>
                <c:pt idx="153">
                  <c:v>468.32</c:v>
                </c:pt>
                <c:pt idx="154">
                  <c:v>468.32</c:v>
                </c:pt>
                <c:pt idx="155">
                  <c:v>468.32</c:v>
                </c:pt>
                <c:pt idx="156">
                  <c:v>465.14</c:v>
                </c:pt>
                <c:pt idx="157">
                  <c:v>449.18</c:v>
                </c:pt>
                <c:pt idx="158">
                  <c:v>459.83</c:v>
                </c:pt>
                <c:pt idx="159">
                  <c:v>473.16</c:v>
                </c:pt>
                <c:pt idx="160">
                  <c:v>473.52</c:v>
                </c:pt>
                <c:pt idx="161">
                  <c:v>473.52</c:v>
                </c:pt>
                <c:pt idx="162">
                  <c:v>473.52</c:v>
                </c:pt>
                <c:pt idx="163">
                  <c:v>474.53</c:v>
                </c:pt>
                <c:pt idx="164">
                  <c:v>471.32</c:v>
                </c:pt>
                <c:pt idx="165">
                  <c:v>468.21</c:v>
                </c:pt>
                <c:pt idx="166">
                  <c:v>471.56</c:v>
                </c:pt>
                <c:pt idx="167">
                  <c:v>472.8</c:v>
                </c:pt>
                <c:pt idx="168">
                  <c:v>472.8</c:v>
                </c:pt>
                <c:pt idx="169">
                  <c:v>472.8</c:v>
                </c:pt>
                <c:pt idx="170">
                  <c:v>477.72</c:v>
                </c:pt>
                <c:pt idx="171">
                  <c:v>477.75</c:v>
                </c:pt>
                <c:pt idx="172">
                  <c:v>475.88</c:v>
                </c:pt>
                <c:pt idx="173">
                  <c:v>476.29</c:v>
                </c:pt>
                <c:pt idx="174">
                  <c:v>477.64</c:v>
                </c:pt>
                <c:pt idx="175">
                  <c:v>477.64</c:v>
                </c:pt>
                <c:pt idx="176">
                  <c:v>477.64</c:v>
                </c:pt>
                <c:pt idx="177">
                  <c:v>466.81</c:v>
                </c:pt>
                <c:pt idx="178">
                  <c:v>463.55</c:v>
                </c:pt>
                <c:pt idx="179">
                  <c:v>462.08</c:v>
                </c:pt>
                <c:pt idx="180">
                  <c:v>458.33</c:v>
                </c:pt>
                <c:pt idx="181">
                  <c:v>464.08</c:v>
                </c:pt>
                <c:pt idx="182">
                  <c:v>464.08</c:v>
                </c:pt>
                <c:pt idx="183">
                  <c:v>464.08</c:v>
                </c:pt>
                <c:pt idx="184">
                  <c:v>464.08</c:v>
                </c:pt>
                <c:pt idx="185">
                  <c:v>477.08</c:v>
                </c:pt>
                <c:pt idx="186">
                  <c:v>469.58</c:v>
                </c:pt>
                <c:pt idx="187">
                  <c:v>475.34</c:v>
                </c:pt>
                <c:pt idx="188">
                  <c:v>474.9</c:v>
                </c:pt>
                <c:pt idx="189">
                  <c:v>474.9</c:v>
                </c:pt>
                <c:pt idx="190">
                  <c:v>474.9</c:v>
                </c:pt>
                <c:pt idx="191">
                  <c:v>463.7</c:v>
                </c:pt>
                <c:pt idx="192">
                  <c:v>462.24</c:v>
                </c:pt>
                <c:pt idx="193">
                  <c:v>443.36</c:v>
                </c:pt>
                <c:pt idx="194">
                  <c:v>430.82</c:v>
                </c:pt>
                <c:pt idx="195">
                  <c:v>432.15</c:v>
                </c:pt>
                <c:pt idx="196">
                  <c:v>432.15</c:v>
                </c:pt>
                <c:pt idx="197">
                  <c:v>432.15</c:v>
                </c:pt>
                <c:pt idx="198">
                  <c:v>454.78</c:v>
                </c:pt>
                <c:pt idx="199">
                  <c:v>452.87</c:v>
                </c:pt>
                <c:pt idx="200">
                  <c:v>448.64</c:v>
                </c:pt>
                <c:pt idx="201">
                  <c:v>446.71</c:v>
                </c:pt>
                <c:pt idx="202">
                  <c:v>441.49</c:v>
                </c:pt>
                <c:pt idx="203">
                  <c:v>441.49</c:v>
                </c:pt>
                <c:pt idx="204">
                  <c:v>441.49</c:v>
                </c:pt>
                <c:pt idx="205">
                  <c:v>442.28</c:v>
                </c:pt>
                <c:pt idx="206">
                  <c:v>445.17</c:v>
                </c:pt>
                <c:pt idx="207">
                  <c:v>442.07</c:v>
                </c:pt>
                <c:pt idx="208">
                  <c:v>434.98</c:v>
                </c:pt>
                <c:pt idx="209">
                  <c:v>439.7</c:v>
                </c:pt>
                <c:pt idx="210">
                  <c:v>439.7</c:v>
                </c:pt>
                <c:pt idx="211">
                  <c:v>439.7</c:v>
                </c:pt>
                <c:pt idx="212">
                  <c:v>466.74</c:v>
                </c:pt>
                <c:pt idx="213">
                  <c:v>470.55</c:v>
                </c:pt>
                <c:pt idx="214">
                  <c:v>469.28</c:v>
                </c:pt>
                <c:pt idx="215">
                  <c:v>467.61</c:v>
                </c:pt>
                <c:pt idx="216">
                  <c:v>466.17</c:v>
                </c:pt>
                <c:pt idx="217">
                  <c:v>466.17</c:v>
                </c:pt>
                <c:pt idx="218">
                  <c:v>466.17</c:v>
                </c:pt>
                <c:pt idx="219">
                  <c:v>467.93</c:v>
                </c:pt>
                <c:pt idx="220">
                  <c:v>461.5</c:v>
                </c:pt>
                <c:pt idx="221">
                  <c:v>468.88</c:v>
                </c:pt>
                <c:pt idx="222">
                  <c:v>479.17</c:v>
                </c:pt>
                <c:pt idx="223">
                  <c:v>473.65</c:v>
                </c:pt>
                <c:pt idx="224">
                  <c:v>473.65</c:v>
                </c:pt>
                <c:pt idx="225">
                  <c:v>473.65</c:v>
                </c:pt>
                <c:pt idx="226">
                  <c:v>461.5</c:v>
                </c:pt>
                <c:pt idx="227">
                  <c:v>460.42</c:v>
                </c:pt>
                <c:pt idx="228">
                  <c:v>448.82</c:v>
                </c:pt>
                <c:pt idx="229">
                  <c:v>451.94</c:v>
                </c:pt>
                <c:pt idx="230">
                  <c:v>450.37</c:v>
                </c:pt>
                <c:pt idx="231">
                  <c:v>450.37</c:v>
                </c:pt>
                <c:pt idx="232">
                  <c:v>450.37</c:v>
                </c:pt>
                <c:pt idx="233">
                  <c:v>446.46</c:v>
                </c:pt>
                <c:pt idx="234">
                  <c:v>441.5</c:v>
                </c:pt>
                <c:pt idx="235">
                  <c:v>448.46</c:v>
                </c:pt>
                <c:pt idx="236">
                  <c:v>440.27</c:v>
                </c:pt>
                <c:pt idx="237">
                  <c:v>440.72</c:v>
                </c:pt>
                <c:pt idx="238">
                  <c:v>440.72</c:v>
                </c:pt>
                <c:pt idx="239">
                  <c:v>440.72</c:v>
                </c:pt>
                <c:pt idx="240">
                  <c:v>436.29</c:v>
                </c:pt>
                <c:pt idx="241">
                  <c:v>432.95</c:v>
                </c:pt>
                <c:pt idx="242">
                  <c:v>428.54</c:v>
                </c:pt>
                <c:pt idx="243">
                  <c:v>423.19</c:v>
                </c:pt>
                <c:pt idx="244">
                  <c:v>423.19</c:v>
                </c:pt>
                <c:pt idx="245">
                  <c:v>423.19</c:v>
                </c:pt>
                <c:pt idx="246">
                  <c:v>423.19</c:v>
                </c:pt>
                <c:pt idx="247">
                  <c:v>434.72</c:v>
                </c:pt>
                <c:pt idx="248">
                  <c:v>441.97</c:v>
                </c:pt>
                <c:pt idx="249">
                  <c:v>449.36</c:v>
                </c:pt>
                <c:pt idx="250">
                  <c:v>448.22</c:v>
                </c:pt>
                <c:pt idx="251">
                  <c:v>444.39</c:v>
                </c:pt>
                <c:pt idx="252">
                  <c:v>444.39</c:v>
                </c:pt>
                <c:pt idx="253">
                  <c:v>444.39</c:v>
                </c:pt>
                <c:pt idx="254">
                  <c:v>448.52</c:v>
                </c:pt>
                <c:pt idx="255">
                  <c:v>449.87</c:v>
                </c:pt>
                <c:pt idx="256">
                  <c:v>453.68</c:v>
                </c:pt>
                <c:pt idx="257">
                  <c:v>455.42</c:v>
                </c:pt>
                <c:pt idx="258">
                  <c:v>462.95</c:v>
                </c:pt>
                <c:pt idx="259">
                  <c:v>462.95</c:v>
                </c:pt>
                <c:pt idx="260">
                  <c:v>462.95</c:v>
                </c:pt>
                <c:pt idx="261">
                  <c:v>459.65</c:v>
                </c:pt>
                <c:pt idx="262">
                  <c:v>454.36</c:v>
                </c:pt>
                <c:pt idx="263">
                  <c:v>457.45</c:v>
                </c:pt>
                <c:pt idx="264">
                  <c:v>503.69</c:v>
                </c:pt>
                <c:pt idx="265">
                  <c:v>496.96</c:v>
                </c:pt>
                <c:pt idx="266">
                  <c:v>496.96</c:v>
                </c:pt>
                <c:pt idx="267">
                  <c:v>496.96</c:v>
                </c:pt>
                <c:pt idx="268">
                  <c:v>497.28</c:v>
                </c:pt>
                <c:pt idx="269">
                  <c:v>499.34</c:v>
                </c:pt>
                <c:pt idx="270">
                  <c:v>506.29</c:v>
                </c:pt>
                <c:pt idx="271">
                  <c:v>490.32</c:v>
                </c:pt>
                <c:pt idx="272">
                  <c:v>490.32</c:v>
                </c:pt>
                <c:pt idx="273">
                  <c:v>490.32</c:v>
                </c:pt>
                <c:pt idx="274">
                  <c:v>490.32</c:v>
                </c:pt>
                <c:pt idx="275">
                  <c:v>486.86</c:v>
                </c:pt>
                <c:pt idx="276">
                  <c:v>483.97</c:v>
                </c:pt>
                <c:pt idx="277">
                  <c:v>484.46</c:v>
                </c:pt>
                <c:pt idx="278">
                  <c:v>483.16</c:v>
                </c:pt>
                <c:pt idx="279">
                  <c:v>468.05</c:v>
                </c:pt>
                <c:pt idx="280">
                  <c:v>468.05</c:v>
                </c:pt>
                <c:pt idx="281">
                  <c:v>468.05</c:v>
                </c:pt>
                <c:pt idx="282">
                  <c:v>468.85</c:v>
                </c:pt>
                <c:pt idx="283">
                  <c:v>468.85</c:v>
                </c:pt>
                <c:pt idx="284">
                  <c:v>463.96</c:v>
                </c:pt>
                <c:pt idx="285">
                  <c:v>466</c:v>
                </c:pt>
                <c:pt idx="286">
                  <c:v>481.82</c:v>
                </c:pt>
                <c:pt idx="287">
                  <c:v>481.82</c:v>
                </c:pt>
                <c:pt idx="288">
                  <c:v>481.82</c:v>
                </c:pt>
                <c:pt idx="289">
                  <c:v>482.25</c:v>
                </c:pt>
                <c:pt idx="290">
                  <c:v>485.94</c:v>
                </c:pt>
                <c:pt idx="291">
                  <c:v>485.94</c:v>
                </c:pt>
                <c:pt idx="292">
                  <c:v>483.37</c:v>
                </c:pt>
                <c:pt idx="293">
                  <c:v>488.97</c:v>
                </c:pt>
                <c:pt idx="294">
                  <c:v>488.97</c:v>
                </c:pt>
                <c:pt idx="295">
                  <c:v>488.97</c:v>
                </c:pt>
                <c:pt idx="296">
                  <c:v>489.98</c:v>
                </c:pt>
                <c:pt idx="297">
                  <c:v>488.13</c:v>
                </c:pt>
                <c:pt idx="298">
                  <c:v>488.13</c:v>
                </c:pt>
                <c:pt idx="299">
                  <c:v>486.49</c:v>
                </c:pt>
                <c:pt idx="300">
                  <c:v>489.02</c:v>
                </c:pt>
                <c:pt idx="301">
                  <c:v>489.02</c:v>
                </c:pt>
                <c:pt idx="302">
                  <c:v>489.02</c:v>
                </c:pt>
                <c:pt idx="303">
                  <c:v>479.66</c:v>
                </c:pt>
                <c:pt idx="304">
                  <c:v>482.94</c:v>
                </c:pt>
                <c:pt idx="305">
                  <c:v>490.61</c:v>
                </c:pt>
                <c:pt idx="306">
                  <c:v>491.65</c:v>
                </c:pt>
                <c:pt idx="307">
                  <c:v>494.65</c:v>
                </c:pt>
                <c:pt idx="308">
                  <c:v>494.65</c:v>
                </c:pt>
                <c:pt idx="309">
                  <c:v>494.65</c:v>
                </c:pt>
                <c:pt idx="310">
                  <c:v>496.58</c:v>
                </c:pt>
                <c:pt idx="311">
                  <c:v>504.24</c:v>
                </c:pt>
                <c:pt idx="312">
                  <c:v>512.94000000000005</c:v>
                </c:pt>
                <c:pt idx="313">
                  <c:v>510.01</c:v>
                </c:pt>
                <c:pt idx="314">
                  <c:v>513.03</c:v>
                </c:pt>
                <c:pt idx="315">
                  <c:v>513.03</c:v>
                </c:pt>
                <c:pt idx="316">
                  <c:v>513.03</c:v>
                </c:pt>
                <c:pt idx="317">
                  <c:v>517.48</c:v>
                </c:pt>
                <c:pt idx="318">
                  <c:v>517.5</c:v>
                </c:pt>
                <c:pt idx="319">
                  <c:v>517</c:v>
                </c:pt>
                <c:pt idx="320">
                  <c:v>520.34</c:v>
                </c:pt>
                <c:pt idx="321">
                  <c:v>529.41</c:v>
                </c:pt>
                <c:pt idx="322">
                  <c:v>529.41</c:v>
                </c:pt>
                <c:pt idx="323">
                  <c:v>529.41</c:v>
                </c:pt>
                <c:pt idx="324">
                  <c:v>525.75</c:v>
                </c:pt>
                <c:pt idx="325">
                  <c:v>525.75</c:v>
                </c:pt>
                <c:pt idx="326">
                  <c:v>521.45000000000005</c:v>
                </c:pt>
                <c:pt idx="327">
                  <c:v>521.89</c:v>
                </c:pt>
                <c:pt idx="328">
                  <c:v>542.22</c:v>
                </c:pt>
                <c:pt idx="329">
                  <c:v>542.22</c:v>
                </c:pt>
                <c:pt idx="330">
                  <c:v>542.22</c:v>
                </c:pt>
                <c:pt idx="331">
                  <c:v>542.01</c:v>
                </c:pt>
                <c:pt idx="332">
                  <c:v>534.73</c:v>
                </c:pt>
                <c:pt idx="333">
                  <c:v>533.26</c:v>
                </c:pt>
                <c:pt idx="334">
                  <c:v>530.96</c:v>
                </c:pt>
                <c:pt idx="335">
                  <c:v>534.83000000000004</c:v>
                </c:pt>
                <c:pt idx="336">
                  <c:v>534.83000000000004</c:v>
                </c:pt>
                <c:pt idx="337">
                  <c:v>534.83000000000004</c:v>
                </c:pt>
                <c:pt idx="338">
                  <c:v>538.99</c:v>
                </c:pt>
                <c:pt idx="339">
                  <c:v>557.73</c:v>
                </c:pt>
                <c:pt idx="340">
                  <c:v>565.96</c:v>
                </c:pt>
                <c:pt idx="341">
                  <c:v>570.58000000000004</c:v>
                </c:pt>
                <c:pt idx="342">
                  <c:v>564.55999999999995</c:v>
                </c:pt>
                <c:pt idx="343">
                  <c:v>564.55999999999995</c:v>
                </c:pt>
                <c:pt idx="344">
                  <c:v>564.55999999999995</c:v>
                </c:pt>
                <c:pt idx="345">
                  <c:v>551.84</c:v>
                </c:pt>
                <c:pt idx="346">
                  <c:v>551.82000000000005</c:v>
                </c:pt>
                <c:pt idx="347">
                  <c:v>546.75</c:v>
                </c:pt>
                <c:pt idx="348">
                  <c:v>543.1</c:v>
                </c:pt>
                <c:pt idx="349">
                  <c:v>545.35</c:v>
                </c:pt>
                <c:pt idx="350">
                  <c:v>545.35</c:v>
                </c:pt>
                <c:pt idx="351">
                  <c:v>545.35</c:v>
                </c:pt>
                <c:pt idx="352">
                  <c:v>546.04999999999995</c:v>
                </c:pt>
                <c:pt idx="353">
                  <c:v>545.94000000000005</c:v>
                </c:pt>
                <c:pt idx="354">
                  <c:v>546.79999999999995</c:v>
                </c:pt>
                <c:pt idx="355">
                  <c:v>555.16999999999996</c:v>
                </c:pt>
                <c:pt idx="356">
                  <c:v>562.29</c:v>
                </c:pt>
                <c:pt idx="357">
                  <c:v>562.29</c:v>
                </c:pt>
                <c:pt idx="358">
                  <c:v>562.29</c:v>
                </c:pt>
                <c:pt idx="359">
                  <c:v>564.21</c:v>
                </c:pt>
                <c:pt idx="360">
                  <c:v>571.1</c:v>
                </c:pt>
                <c:pt idx="361">
                  <c:v>576.98</c:v>
                </c:pt>
                <c:pt idx="362">
                  <c:v>614.61</c:v>
                </c:pt>
                <c:pt idx="363">
                  <c:v>611.80999999999995</c:v>
                </c:pt>
                <c:pt idx="364">
                  <c:v>611.80999999999995</c:v>
                </c:pt>
                <c:pt idx="365">
                  <c:v>611.80999999999995</c:v>
                </c:pt>
                <c:pt idx="366">
                  <c:v>609.62</c:v>
                </c:pt>
                <c:pt idx="367">
                  <c:v>612.83000000000004</c:v>
                </c:pt>
                <c:pt idx="368">
                  <c:v>605</c:v>
                </c:pt>
                <c:pt idx="369">
                  <c:v>610.87</c:v>
                </c:pt>
                <c:pt idx="370">
                  <c:v>604.16999999999996</c:v>
                </c:pt>
                <c:pt idx="371">
                  <c:v>604.16999999999996</c:v>
                </c:pt>
                <c:pt idx="372">
                  <c:v>604.16999999999996</c:v>
                </c:pt>
                <c:pt idx="373">
                  <c:v>597.49</c:v>
                </c:pt>
                <c:pt idx="374">
                  <c:v>605.11</c:v>
                </c:pt>
                <c:pt idx="375">
                  <c:v>608.04999999999995</c:v>
                </c:pt>
                <c:pt idx="376">
                  <c:v>605.54</c:v>
                </c:pt>
                <c:pt idx="377">
                  <c:v>605.13</c:v>
                </c:pt>
                <c:pt idx="378">
                  <c:v>605.13</c:v>
                </c:pt>
                <c:pt idx="379">
                  <c:v>605.13</c:v>
                </c:pt>
                <c:pt idx="380">
                  <c:v>605.82000000000005</c:v>
                </c:pt>
                <c:pt idx="381">
                  <c:v>603.20000000000005</c:v>
                </c:pt>
                <c:pt idx="382">
                  <c:v>605.86</c:v>
                </c:pt>
                <c:pt idx="383">
                  <c:v>584.55999999999995</c:v>
                </c:pt>
                <c:pt idx="384">
                  <c:v>582.36</c:v>
                </c:pt>
                <c:pt idx="385">
                  <c:v>582.36</c:v>
                </c:pt>
                <c:pt idx="386">
                  <c:v>582.36</c:v>
                </c:pt>
                <c:pt idx="387">
                  <c:v>577.4</c:v>
                </c:pt>
                <c:pt idx="388">
                  <c:v>577.94000000000005</c:v>
                </c:pt>
                <c:pt idx="389">
                  <c:v>578.63</c:v>
                </c:pt>
                <c:pt idx="390">
                  <c:v>580.51</c:v>
                </c:pt>
                <c:pt idx="391">
                  <c:v>571.91999999999996</c:v>
                </c:pt>
                <c:pt idx="392">
                  <c:v>571.91999999999996</c:v>
                </c:pt>
                <c:pt idx="393">
                  <c:v>571.91999999999996</c:v>
                </c:pt>
                <c:pt idx="394">
                  <c:v>565.17999999999995</c:v>
                </c:pt>
                <c:pt idx="395">
                  <c:v>565.49</c:v>
                </c:pt>
                <c:pt idx="396">
                  <c:v>567.01</c:v>
                </c:pt>
                <c:pt idx="397">
                  <c:v>572.91999999999996</c:v>
                </c:pt>
                <c:pt idx="398">
                  <c:v>569.91</c:v>
                </c:pt>
                <c:pt idx="399">
                  <c:v>569.91</c:v>
                </c:pt>
                <c:pt idx="400">
                  <c:v>569.91</c:v>
                </c:pt>
                <c:pt idx="401">
                  <c:v>568.27</c:v>
                </c:pt>
                <c:pt idx="402">
                  <c:v>566.96</c:v>
                </c:pt>
                <c:pt idx="403">
                  <c:v>572.19000000000005</c:v>
                </c:pt>
                <c:pt idx="404">
                  <c:v>576.57000000000005</c:v>
                </c:pt>
              </c:numCache>
            </c:numRef>
          </c:val>
          <c:smooth val="0"/>
          <c:extLst>
            <c:ext xmlns:c16="http://schemas.microsoft.com/office/drawing/2014/chart" uri="{C3380CC4-5D6E-409C-BE32-E72D297353CC}">
              <c16:uniqueId val="{00000000-7945-4CFF-8C44-39088B05CB15}"/>
            </c:ext>
          </c:extLst>
        </c:ser>
        <c:dLbls>
          <c:showLegendKey val="0"/>
          <c:showVal val="0"/>
          <c:showCatName val="0"/>
          <c:showSerName val="0"/>
          <c:showPercent val="0"/>
          <c:showBubbleSize val="0"/>
        </c:dLbls>
        <c:marker val="1"/>
        <c:smooth val="0"/>
        <c:axId val="464131055"/>
        <c:axId val="464129135"/>
      </c:lineChart>
      <c:dateAx>
        <c:axId val="777888655"/>
        <c:scaling>
          <c:orientation val="minMax"/>
        </c:scaling>
        <c:delete val="0"/>
        <c:axPos val="b"/>
        <c:numFmt formatCode="[$-816]mmm/yy;@"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777885295"/>
        <c:crosses val="autoZero"/>
        <c:auto val="1"/>
        <c:lblOffset val="100"/>
        <c:baseTimeUnit val="days"/>
      </c:dateAx>
      <c:valAx>
        <c:axId val="777885295"/>
        <c:scaling>
          <c:orientation val="minMax"/>
        </c:scaling>
        <c:delete val="1"/>
        <c:axPos val="l"/>
        <c:majorGridlines>
          <c:spPr>
            <a:ln w="9525" cap="flat" cmpd="sng" algn="ctr">
              <a:solidFill>
                <a:schemeClr val="accent1">
                  <a:lumMod val="20000"/>
                  <a:lumOff val="80000"/>
                  <a:alpha val="20000"/>
                </a:schemeClr>
              </a:solidFill>
              <a:round/>
            </a:ln>
            <a:effectLst/>
          </c:spPr>
        </c:majorGridlines>
        <c:numFmt formatCode="General" sourceLinked="1"/>
        <c:majorTickMark val="none"/>
        <c:minorTickMark val="none"/>
        <c:tickLblPos val="nextTo"/>
        <c:crossAx val="777888655"/>
        <c:crosses val="autoZero"/>
        <c:crossBetween val="between"/>
      </c:valAx>
      <c:valAx>
        <c:axId val="4641291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464131055"/>
        <c:crosses val="max"/>
        <c:crossBetween val="between"/>
      </c:valAx>
      <c:dateAx>
        <c:axId val="464131055"/>
        <c:scaling>
          <c:orientation val="minMax"/>
        </c:scaling>
        <c:delete val="1"/>
        <c:axPos val="b"/>
        <c:numFmt formatCode="yyyy\-mm\-dd;@" sourceLinked="1"/>
        <c:majorTickMark val="out"/>
        <c:minorTickMark val="none"/>
        <c:tickLblPos val="nextTo"/>
        <c:crossAx val="464129135"/>
        <c:crosses val="autoZero"/>
        <c:auto val="1"/>
        <c:lblOffset val="100"/>
        <c:baseTimeUnit val="days"/>
      </c:dateAx>
      <c:spPr>
        <a:noFill/>
        <a:ln>
          <a:noFill/>
        </a:ln>
        <a:effectLst>
          <a:glow rad="63500">
            <a:schemeClr val="accent1">
              <a:satMod val="175000"/>
              <a:alpha val="40000"/>
            </a:schemeClr>
          </a:glow>
        </a:effectLst>
      </c:spPr>
    </c:plotArea>
    <c:plotVisOnly val="1"/>
    <c:dispBlanksAs val="gap"/>
    <c:showDLblsOverMax val="0"/>
  </c:chart>
  <c:spPr>
    <a:noFill/>
    <a:ln w="9525" cap="flat" cmpd="sng" algn="ctr">
      <a:noFill/>
      <a:round/>
    </a:ln>
    <a:effectLst/>
  </c:spPr>
  <c:txPr>
    <a:bodyPr/>
    <a:lstStyle/>
    <a:p>
      <a:pPr>
        <a:defRPr sz="1100">
          <a:solidFill>
            <a:schemeClr val="accent1">
              <a:lumMod val="50000"/>
            </a:schemeClr>
          </a:solidFill>
          <a:latin typeface="Arial Nova" panose="020B05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BE606D"/>
            </a:solidFill>
            <a:ln>
              <a:noFill/>
            </a:ln>
            <a:effectLst/>
          </c:spPr>
          <c:invertIfNegative val="0"/>
          <c:cat>
            <c:strRef>
              <c:f>Sensitivity!$AD$28:$AD$34</c:f>
              <c:strCache>
                <c:ptCount val="7"/>
                <c:pt idx="0">
                  <c:v>COGS Margin</c:v>
                </c:pt>
                <c:pt idx="1">
                  <c:v>SG&amp;A Margin</c:v>
                </c:pt>
                <c:pt idx="2">
                  <c:v>Terminal g</c:v>
                </c:pt>
                <c:pt idx="3">
                  <c:v>Revenue Exit</c:v>
                </c:pt>
                <c:pt idx="4">
                  <c:v>Capex Intensity</c:v>
                </c:pt>
                <c:pt idx="5">
                  <c:v>EBITDA Exit</c:v>
                </c:pt>
                <c:pt idx="6">
                  <c:v>WACC</c:v>
                </c:pt>
              </c:strCache>
            </c:strRef>
          </c:cat>
          <c:val>
            <c:numRef>
              <c:f>Sensitivity!$AJ$28:$AJ$34</c:f>
              <c:numCache>
                <c:formatCode>General</c:formatCode>
                <c:ptCount val="7"/>
                <c:pt idx="0">
                  <c:v>0</c:v>
                </c:pt>
                <c:pt idx="1">
                  <c:v>0</c:v>
                </c:pt>
                <c:pt idx="2">
                  <c:v>0</c:v>
                </c:pt>
                <c:pt idx="3">
                  <c:v>0</c:v>
                </c:pt>
                <c:pt idx="4">
                  <c:v>-9.3088859029988953</c:v>
                </c:pt>
                <c:pt idx="5">
                  <c:v>23.3211140970011</c:v>
                </c:pt>
                <c:pt idx="6">
                  <c:v>-14.598885902998859</c:v>
                </c:pt>
              </c:numCache>
            </c:numRef>
          </c:val>
          <c:extLst>
            <c:ext xmlns:c16="http://schemas.microsoft.com/office/drawing/2014/chart" uri="{C3380CC4-5D6E-409C-BE32-E72D297353CC}">
              <c16:uniqueId val="{00000000-A159-48F8-BF02-8287E1A6D51E}"/>
            </c:ext>
          </c:extLst>
        </c:ser>
        <c:ser>
          <c:idx val="1"/>
          <c:order val="1"/>
          <c:spPr>
            <a:solidFill>
              <a:srgbClr val="7B1314"/>
            </a:solidFill>
            <a:ln>
              <a:noFill/>
            </a:ln>
            <a:effectLst/>
          </c:spPr>
          <c:invertIfNegative val="0"/>
          <c:cat>
            <c:strRef>
              <c:f>Sensitivity!$AD$28:$AD$34</c:f>
              <c:strCache>
                <c:ptCount val="7"/>
                <c:pt idx="0">
                  <c:v>COGS Margin</c:v>
                </c:pt>
                <c:pt idx="1">
                  <c:v>SG&amp;A Margin</c:v>
                </c:pt>
                <c:pt idx="2">
                  <c:v>Terminal g</c:v>
                </c:pt>
                <c:pt idx="3">
                  <c:v>Revenue Exit</c:v>
                </c:pt>
                <c:pt idx="4">
                  <c:v>Capex Intensity</c:v>
                </c:pt>
                <c:pt idx="5">
                  <c:v>EBITDA Exit</c:v>
                </c:pt>
                <c:pt idx="6">
                  <c:v>WACC</c:v>
                </c:pt>
              </c:strCache>
            </c:strRef>
          </c:cat>
          <c:val>
            <c:numRef>
              <c:f>Sensitivity!$AK$28:$AK$34</c:f>
              <c:numCache>
                <c:formatCode>General</c:formatCode>
                <c:ptCount val="7"/>
                <c:pt idx="0">
                  <c:v>0</c:v>
                </c:pt>
                <c:pt idx="1">
                  <c:v>0</c:v>
                </c:pt>
                <c:pt idx="2">
                  <c:v>0</c:v>
                </c:pt>
                <c:pt idx="3">
                  <c:v>0</c:v>
                </c:pt>
                <c:pt idx="4">
                  <c:v>-31.668885902998852</c:v>
                </c:pt>
                <c:pt idx="5">
                  <c:v>44.781114097001137</c:v>
                </c:pt>
                <c:pt idx="6">
                  <c:v>-111.08888590299887</c:v>
                </c:pt>
              </c:numCache>
            </c:numRef>
          </c:val>
          <c:extLst>
            <c:ext xmlns:c16="http://schemas.microsoft.com/office/drawing/2014/chart" uri="{C3380CC4-5D6E-409C-BE32-E72D297353CC}">
              <c16:uniqueId val="{00000001-A159-48F8-BF02-8287E1A6D51E}"/>
            </c:ext>
          </c:extLst>
        </c:ser>
        <c:dLbls>
          <c:showLegendKey val="0"/>
          <c:showVal val="0"/>
          <c:showCatName val="0"/>
          <c:showSerName val="0"/>
          <c:showPercent val="0"/>
          <c:showBubbleSize val="0"/>
        </c:dLbls>
        <c:gapWidth val="50"/>
        <c:overlap val="100"/>
        <c:axId val="1326461311"/>
        <c:axId val="1326463231"/>
      </c:barChart>
      <c:catAx>
        <c:axId val="132646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1326463231"/>
        <c:crosses val="autoZero"/>
        <c:auto val="1"/>
        <c:lblAlgn val="ctr"/>
        <c:lblOffset val="100"/>
        <c:noMultiLvlLbl val="0"/>
      </c:catAx>
      <c:valAx>
        <c:axId val="132646323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1326461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1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93387591256972E-2"/>
          <c:y val="7.8866461489268153E-2"/>
          <c:w val="0.89126506245542836"/>
          <c:h val="0.642440278721505"/>
        </c:manualLayout>
      </c:layout>
      <c:lineChart>
        <c:grouping val="standard"/>
        <c:varyColors val="0"/>
        <c:ser>
          <c:idx val="0"/>
          <c:order val="0"/>
          <c:tx>
            <c:v>WACC</c:v>
          </c:tx>
          <c:spPr>
            <a:ln w="28575" cap="rnd">
              <a:solidFill>
                <a:schemeClr val="accent1"/>
              </a:solidFill>
              <a:round/>
            </a:ln>
            <a:effectLst/>
          </c:spPr>
          <c:marker>
            <c:symbol val="none"/>
          </c:marker>
          <c:cat>
            <c:numRef>
              <c:f>WACC!$D$9:$H$9</c:f>
              <c:numCache>
                <c:formatCode>General</c:formatCode>
                <c:ptCount val="5"/>
                <c:pt idx="0">
                  <c:v>2025</c:v>
                </c:pt>
                <c:pt idx="1">
                  <c:v>2026</c:v>
                </c:pt>
                <c:pt idx="2">
                  <c:v>2027</c:v>
                </c:pt>
                <c:pt idx="3">
                  <c:v>2028</c:v>
                </c:pt>
                <c:pt idx="4">
                  <c:v>2029</c:v>
                </c:pt>
              </c:numCache>
            </c:numRef>
          </c:cat>
          <c:val>
            <c:numRef>
              <c:f>WACC!$D$39:$H$39</c:f>
              <c:numCache>
                <c:formatCode>0.00%</c:formatCode>
                <c:ptCount val="5"/>
                <c:pt idx="0">
                  <c:v>0.10190002287814828</c:v>
                </c:pt>
                <c:pt idx="1">
                  <c:v>9.9603683593850259E-2</c:v>
                </c:pt>
                <c:pt idx="2">
                  <c:v>9.4137165276134124E-2</c:v>
                </c:pt>
                <c:pt idx="3">
                  <c:v>9.4792083309254302E-2</c:v>
                </c:pt>
                <c:pt idx="4">
                  <c:v>9.7024424246718227E-2</c:v>
                </c:pt>
              </c:numCache>
            </c:numRef>
          </c:val>
          <c:smooth val="0"/>
          <c:extLst>
            <c:ext xmlns:c16="http://schemas.microsoft.com/office/drawing/2014/chart" uri="{C3380CC4-5D6E-409C-BE32-E72D297353CC}">
              <c16:uniqueId val="{00000000-A5B1-4B7A-ABE2-D56A1EFBD778}"/>
            </c:ext>
          </c:extLst>
        </c:ser>
        <c:ser>
          <c:idx val="1"/>
          <c:order val="1"/>
          <c:tx>
            <c:v>ROIC</c:v>
          </c:tx>
          <c:spPr>
            <a:ln w="28575" cap="rnd">
              <a:solidFill>
                <a:schemeClr val="accent1">
                  <a:lumMod val="60000"/>
                  <a:lumOff val="40000"/>
                </a:schemeClr>
              </a:solidFill>
              <a:round/>
            </a:ln>
            <a:effectLst/>
          </c:spPr>
          <c:marker>
            <c:symbol val="none"/>
          </c:marker>
          <c:cat>
            <c:numRef>
              <c:f>WACC!$D$9:$H$9</c:f>
              <c:numCache>
                <c:formatCode>General</c:formatCode>
                <c:ptCount val="5"/>
                <c:pt idx="0">
                  <c:v>2025</c:v>
                </c:pt>
                <c:pt idx="1">
                  <c:v>2026</c:v>
                </c:pt>
                <c:pt idx="2">
                  <c:v>2027</c:v>
                </c:pt>
                <c:pt idx="3">
                  <c:v>2028</c:v>
                </c:pt>
                <c:pt idx="4">
                  <c:v>2029</c:v>
                </c:pt>
              </c:numCache>
            </c:numRef>
          </c:cat>
          <c:val>
            <c:numRef>
              <c:f>WACC!$D$45:$H$45</c:f>
              <c:numCache>
                <c:formatCode>0.00%</c:formatCode>
                <c:ptCount val="5"/>
                <c:pt idx="0">
                  <c:v>0.2446285978361695</c:v>
                </c:pt>
                <c:pt idx="1">
                  <c:v>0.26304325678142809</c:v>
                </c:pt>
                <c:pt idx="2">
                  <c:v>0.26942351552417515</c:v>
                </c:pt>
                <c:pt idx="3">
                  <c:v>0.2528249720467961</c:v>
                </c:pt>
                <c:pt idx="4">
                  <c:v>0.23553025381851261</c:v>
                </c:pt>
              </c:numCache>
            </c:numRef>
          </c:val>
          <c:smooth val="0"/>
          <c:extLst>
            <c:ext xmlns:c16="http://schemas.microsoft.com/office/drawing/2014/chart" uri="{C3380CC4-5D6E-409C-BE32-E72D297353CC}">
              <c16:uniqueId val="{00000001-A5B1-4B7A-ABE2-D56A1EFBD778}"/>
            </c:ext>
          </c:extLst>
        </c:ser>
        <c:dLbls>
          <c:showLegendKey val="0"/>
          <c:showVal val="0"/>
          <c:showCatName val="0"/>
          <c:showSerName val="0"/>
          <c:showPercent val="0"/>
          <c:showBubbleSize val="0"/>
        </c:dLbls>
        <c:smooth val="0"/>
        <c:axId val="1098581088"/>
        <c:axId val="1098581568"/>
      </c:lineChart>
      <c:catAx>
        <c:axId val="109858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1098581568"/>
        <c:crosses val="autoZero"/>
        <c:auto val="1"/>
        <c:lblAlgn val="ctr"/>
        <c:lblOffset val="100"/>
        <c:noMultiLvlLbl val="0"/>
      </c:catAx>
      <c:valAx>
        <c:axId val="10985815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crossAx val="1098581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accent1">
                  <a:lumMod val="50000"/>
                </a:schemeClr>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v>Volume</c:v>
          </c:tx>
          <c:spPr>
            <a:solidFill>
              <a:schemeClr val="accent1">
                <a:lumMod val="20000"/>
                <a:lumOff val="80000"/>
              </a:schemeClr>
            </a:solidFill>
            <a:ln>
              <a:noFill/>
            </a:ln>
            <a:effectLst/>
          </c:spPr>
          <c:invertIfNegative val="0"/>
          <c:cat>
            <c:numRef>
              <c:f>'Stock Data'!$AM$4:$AM$1048</c:f>
              <c:numCache>
                <c:formatCode>m/d/yy;@</c:formatCode>
                <c:ptCount val="1045"/>
                <c:pt idx="0">
                  <c:v>45919</c:v>
                </c:pt>
                <c:pt idx="1">
                  <c:v>45918</c:v>
                </c:pt>
                <c:pt idx="2">
                  <c:v>45917</c:v>
                </c:pt>
                <c:pt idx="3">
                  <c:v>45916</c:v>
                </c:pt>
                <c:pt idx="4">
                  <c:v>45915</c:v>
                </c:pt>
                <c:pt idx="5">
                  <c:v>45914</c:v>
                </c:pt>
                <c:pt idx="6">
                  <c:v>45913</c:v>
                </c:pt>
                <c:pt idx="7">
                  <c:v>45912</c:v>
                </c:pt>
                <c:pt idx="8">
                  <c:v>45911</c:v>
                </c:pt>
                <c:pt idx="9">
                  <c:v>45910</c:v>
                </c:pt>
                <c:pt idx="10">
                  <c:v>45909</c:v>
                </c:pt>
                <c:pt idx="11">
                  <c:v>45908</c:v>
                </c:pt>
                <c:pt idx="12">
                  <c:v>45907</c:v>
                </c:pt>
                <c:pt idx="13">
                  <c:v>45906</c:v>
                </c:pt>
                <c:pt idx="14">
                  <c:v>45905</c:v>
                </c:pt>
                <c:pt idx="15">
                  <c:v>45904</c:v>
                </c:pt>
                <c:pt idx="16">
                  <c:v>45903</c:v>
                </c:pt>
                <c:pt idx="17">
                  <c:v>45902</c:v>
                </c:pt>
                <c:pt idx="18">
                  <c:v>45901</c:v>
                </c:pt>
                <c:pt idx="19">
                  <c:v>45900</c:v>
                </c:pt>
                <c:pt idx="20">
                  <c:v>45899</c:v>
                </c:pt>
                <c:pt idx="21">
                  <c:v>45898</c:v>
                </c:pt>
                <c:pt idx="22">
                  <c:v>45897</c:v>
                </c:pt>
                <c:pt idx="23">
                  <c:v>45896</c:v>
                </c:pt>
                <c:pt idx="24">
                  <c:v>45895</c:v>
                </c:pt>
                <c:pt idx="25">
                  <c:v>45894</c:v>
                </c:pt>
                <c:pt idx="26">
                  <c:v>45893</c:v>
                </c:pt>
                <c:pt idx="27">
                  <c:v>45892</c:v>
                </c:pt>
                <c:pt idx="28">
                  <c:v>45891</c:v>
                </c:pt>
                <c:pt idx="29">
                  <c:v>45890</c:v>
                </c:pt>
                <c:pt idx="30">
                  <c:v>45889</c:v>
                </c:pt>
                <c:pt idx="31">
                  <c:v>45888</c:v>
                </c:pt>
                <c:pt idx="32">
                  <c:v>45887</c:v>
                </c:pt>
                <c:pt idx="33">
                  <c:v>45886</c:v>
                </c:pt>
                <c:pt idx="34">
                  <c:v>45885</c:v>
                </c:pt>
                <c:pt idx="35">
                  <c:v>45884</c:v>
                </c:pt>
                <c:pt idx="36">
                  <c:v>45883</c:v>
                </c:pt>
                <c:pt idx="37">
                  <c:v>45882</c:v>
                </c:pt>
                <c:pt idx="38">
                  <c:v>45881</c:v>
                </c:pt>
                <c:pt idx="39">
                  <c:v>45880</c:v>
                </c:pt>
                <c:pt idx="40">
                  <c:v>45879</c:v>
                </c:pt>
                <c:pt idx="41">
                  <c:v>45878</c:v>
                </c:pt>
                <c:pt idx="42">
                  <c:v>45877</c:v>
                </c:pt>
                <c:pt idx="43">
                  <c:v>45876</c:v>
                </c:pt>
                <c:pt idx="44">
                  <c:v>45875</c:v>
                </c:pt>
                <c:pt idx="45">
                  <c:v>45874</c:v>
                </c:pt>
                <c:pt idx="46">
                  <c:v>45873</c:v>
                </c:pt>
                <c:pt idx="47">
                  <c:v>45872</c:v>
                </c:pt>
                <c:pt idx="48">
                  <c:v>45871</c:v>
                </c:pt>
                <c:pt idx="49">
                  <c:v>45870</c:v>
                </c:pt>
                <c:pt idx="50">
                  <c:v>45869</c:v>
                </c:pt>
                <c:pt idx="51">
                  <c:v>45868</c:v>
                </c:pt>
                <c:pt idx="52">
                  <c:v>45867</c:v>
                </c:pt>
                <c:pt idx="53">
                  <c:v>45866</c:v>
                </c:pt>
                <c:pt idx="54">
                  <c:v>45865</c:v>
                </c:pt>
                <c:pt idx="55">
                  <c:v>45864</c:v>
                </c:pt>
                <c:pt idx="56">
                  <c:v>45863</c:v>
                </c:pt>
                <c:pt idx="57">
                  <c:v>45862</c:v>
                </c:pt>
                <c:pt idx="58">
                  <c:v>45861</c:v>
                </c:pt>
                <c:pt idx="59">
                  <c:v>45860</c:v>
                </c:pt>
                <c:pt idx="60">
                  <c:v>45859</c:v>
                </c:pt>
                <c:pt idx="61">
                  <c:v>45858</c:v>
                </c:pt>
                <c:pt idx="62">
                  <c:v>45857</c:v>
                </c:pt>
                <c:pt idx="63">
                  <c:v>45856</c:v>
                </c:pt>
                <c:pt idx="64">
                  <c:v>45855</c:v>
                </c:pt>
                <c:pt idx="65">
                  <c:v>45854</c:v>
                </c:pt>
                <c:pt idx="66">
                  <c:v>45853</c:v>
                </c:pt>
                <c:pt idx="67">
                  <c:v>45852</c:v>
                </c:pt>
                <c:pt idx="68">
                  <c:v>45851</c:v>
                </c:pt>
                <c:pt idx="69">
                  <c:v>45850</c:v>
                </c:pt>
                <c:pt idx="70">
                  <c:v>45849</c:v>
                </c:pt>
                <c:pt idx="71">
                  <c:v>45848</c:v>
                </c:pt>
                <c:pt idx="72">
                  <c:v>45847</c:v>
                </c:pt>
                <c:pt idx="73">
                  <c:v>45846</c:v>
                </c:pt>
                <c:pt idx="74">
                  <c:v>45845</c:v>
                </c:pt>
                <c:pt idx="75">
                  <c:v>45844</c:v>
                </c:pt>
                <c:pt idx="76">
                  <c:v>45843</c:v>
                </c:pt>
                <c:pt idx="77">
                  <c:v>45842</c:v>
                </c:pt>
                <c:pt idx="78">
                  <c:v>45841</c:v>
                </c:pt>
                <c:pt idx="79">
                  <c:v>45840</c:v>
                </c:pt>
                <c:pt idx="80">
                  <c:v>45839</c:v>
                </c:pt>
                <c:pt idx="81">
                  <c:v>45838</c:v>
                </c:pt>
                <c:pt idx="82">
                  <c:v>45837</c:v>
                </c:pt>
                <c:pt idx="83">
                  <c:v>45836</c:v>
                </c:pt>
                <c:pt idx="84">
                  <c:v>45835</c:v>
                </c:pt>
                <c:pt idx="85">
                  <c:v>45834</c:v>
                </c:pt>
                <c:pt idx="86">
                  <c:v>45833</c:v>
                </c:pt>
                <c:pt idx="87">
                  <c:v>45832</c:v>
                </c:pt>
                <c:pt idx="88">
                  <c:v>45831</c:v>
                </c:pt>
                <c:pt idx="89">
                  <c:v>45830</c:v>
                </c:pt>
                <c:pt idx="90">
                  <c:v>45829</c:v>
                </c:pt>
                <c:pt idx="91">
                  <c:v>45828</c:v>
                </c:pt>
                <c:pt idx="92">
                  <c:v>45827</c:v>
                </c:pt>
                <c:pt idx="93">
                  <c:v>45826</c:v>
                </c:pt>
                <c:pt idx="94">
                  <c:v>45825</c:v>
                </c:pt>
                <c:pt idx="95">
                  <c:v>45824</c:v>
                </c:pt>
                <c:pt idx="96">
                  <c:v>45823</c:v>
                </c:pt>
                <c:pt idx="97">
                  <c:v>45822</c:v>
                </c:pt>
                <c:pt idx="98">
                  <c:v>45821</c:v>
                </c:pt>
                <c:pt idx="99">
                  <c:v>45820</c:v>
                </c:pt>
                <c:pt idx="100">
                  <c:v>45819</c:v>
                </c:pt>
                <c:pt idx="101">
                  <c:v>45818</c:v>
                </c:pt>
                <c:pt idx="102">
                  <c:v>45817</c:v>
                </c:pt>
                <c:pt idx="103">
                  <c:v>45816</c:v>
                </c:pt>
                <c:pt idx="104">
                  <c:v>45815</c:v>
                </c:pt>
                <c:pt idx="105">
                  <c:v>45814</c:v>
                </c:pt>
                <c:pt idx="106">
                  <c:v>45813</c:v>
                </c:pt>
                <c:pt idx="107">
                  <c:v>45812</c:v>
                </c:pt>
                <c:pt idx="108">
                  <c:v>45811</c:v>
                </c:pt>
                <c:pt idx="109">
                  <c:v>45810</c:v>
                </c:pt>
                <c:pt idx="110">
                  <c:v>45809</c:v>
                </c:pt>
                <c:pt idx="111">
                  <c:v>45808</c:v>
                </c:pt>
                <c:pt idx="112">
                  <c:v>45807</c:v>
                </c:pt>
                <c:pt idx="113">
                  <c:v>45806</c:v>
                </c:pt>
                <c:pt idx="114">
                  <c:v>45805</c:v>
                </c:pt>
                <c:pt idx="115">
                  <c:v>45804</c:v>
                </c:pt>
                <c:pt idx="116">
                  <c:v>45803</c:v>
                </c:pt>
                <c:pt idx="117">
                  <c:v>45802</c:v>
                </c:pt>
                <c:pt idx="118">
                  <c:v>45801</c:v>
                </c:pt>
                <c:pt idx="119">
                  <c:v>45800</c:v>
                </c:pt>
                <c:pt idx="120">
                  <c:v>45799</c:v>
                </c:pt>
                <c:pt idx="121">
                  <c:v>45798</c:v>
                </c:pt>
                <c:pt idx="122">
                  <c:v>45797</c:v>
                </c:pt>
                <c:pt idx="123">
                  <c:v>45796</c:v>
                </c:pt>
                <c:pt idx="124">
                  <c:v>45795</c:v>
                </c:pt>
                <c:pt idx="125">
                  <c:v>45794</c:v>
                </c:pt>
                <c:pt idx="126">
                  <c:v>45793</c:v>
                </c:pt>
                <c:pt idx="127">
                  <c:v>45792</c:v>
                </c:pt>
                <c:pt idx="128">
                  <c:v>45791</c:v>
                </c:pt>
                <c:pt idx="129">
                  <c:v>45790</c:v>
                </c:pt>
                <c:pt idx="130">
                  <c:v>45789</c:v>
                </c:pt>
                <c:pt idx="131">
                  <c:v>45788</c:v>
                </c:pt>
                <c:pt idx="132">
                  <c:v>45787</c:v>
                </c:pt>
                <c:pt idx="133">
                  <c:v>45786</c:v>
                </c:pt>
                <c:pt idx="134">
                  <c:v>45785</c:v>
                </c:pt>
                <c:pt idx="135">
                  <c:v>45784</c:v>
                </c:pt>
                <c:pt idx="136">
                  <c:v>45783</c:v>
                </c:pt>
                <c:pt idx="137">
                  <c:v>45782</c:v>
                </c:pt>
                <c:pt idx="138">
                  <c:v>45781</c:v>
                </c:pt>
                <c:pt idx="139">
                  <c:v>45780</c:v>
                </c:pt>
                <c:pt idx="140">
                  <c:v>45779</c:v>
                </c:pt>
                <c:pt idx="141">
                  <c:v>45778</c:v>
                </c:pt>
                <c:pt idx="142">
                  <c:v>45777</c:v>
                </c:pt>
                <c:pt idx="143">
                  <c:v>45776</c:v>
                </c:pt>
                <c:pt idx="144">
                  <c:v>45775</c:v>
                </c:pt>
                <c:pt idx="145">
                  <c:v>45774</c:v>
                </c:pt>
                <c:pt idx="146">
                  <c:v>45773</c:v>
                </c:pt>
                <c:pt idx="147">
                  <c:v>45772</c:v>
                </c:pt>
                <c:pt idx="148">
                  <c:v>45771</c:v>
                </c:pt>
                <c:pt idx="149">
                  <c:v>45770</c:v>
                </c:pt>
                <c:pt idx="150">
                  <c:v>45769</c:v>
                </c:pt>
                <c:pt idx="151">
                  <c:v>45768</c:v>
                </c:pt>
                <c:pt idx="152">
                  <c:v>45767</c:v>
                </c:pt>
                <c:pt idx="153">
                  <c:v>45766</c:v>
                </c:pt>
                <c:pt idx="154">
                  <c:v>45765</c:v>
                </c:pt>
                <c:pt idx="155">
                  <c:v>45764</c:v>
                </c:pt>
                <c:pt idx="156">
                  <c:v>45763</c:v>
                </c:pt>
                <c:pt idx="157">
                  <c:v>45762</c:v>
                </c:pt>
                <c:pt idx="158">
                  <c:v>45761</c:v>
                </c:pt>
                <c:pt idx="159">
                  <c:v>45760</c:v>
                </c:pt>
                <c:pt idx="160">
                  <c:v>45759</c:v>
                </c:pt>
                <c:pt idx="161">
                  <c:v>45758</c:v>
                </c:pt>
                <c:pt idx="162">
                  <c:v>45757</c:v>
                </c:pt>
                <c:pt idx="163">
                  <c:v>45756</c:v>
                </c:pt>
                <c:pt idx="164">
                  <c:v>45755</c:v>
                </c:pt>
                <c:pt idx="165">
                  <c:v>45754</c:v>
                </c:pt>
                <c:pt idx="166">
                  <c:v>45753</c:v>
                </c:pt>
                <c:pt idx="167">
                  <c:v>45752</c:v>
                </c:pt>
                <c:pt idx="168">
                  <c:v>45751</c:v>
                </c:pt>
                <c:pt idx="169">
                  <c:v>45750</c:v>
                </c:pt>
                <c:pt idx="170">
                  <c:v>45749</c:v>
                </c:pt>
                <c:pt idx="171">
                  <c:v>45748</c:v>
                </c:pt>
                <c:pt idx="172">
                  <c:v>45747</c:v>
                </c:pt>
                <c:pt idx="173">
                  <c:v>45746</c:v>
                </c:pt>
                <c:pt idx="174">
                  <c:v>45745</c:v>
                </c:pt>
                <c:pt idx="175">
                  <c:v>45744</c:v>
                </c:pt>
                <c:pt idx="176">
                  <c:v>45743</c:v>
                </c:pt>
                <c:pt idx="177">
                  <c:v>45742</c:v>
                </c:pt>
                <c:pt idx="178">
                  <c:v>45741</c:v>
                </c:pt>
                <c:pt idx="179">
                  <c:v>45740</c:v>
                </c:pt>
                <c:pt idx="180">
                  <c:v>45739</c:v>
                </c:pt>
                <c:pt idx="181">
                  <c:v>45738</c:v>
                </c:pt>
                <c:pt idx="182">
                  <c:v>45737</c:v>
                </c:pt>
                <c:pt idx="183">
                  <c:v>45736</c:v>
                </c:pt>
                <c:pt idx="184">
                  <c:v>45735</c:v>
                </c:pt>
                <c:pt idx="185">
                  <c:v>45734</c:v>
                </c:pt>
                <c:pt idx="186">
                  <c:v>45733</c:v>
                </c:pt>
                <c:pt idx="187">
                  <c:v>45732</c:v>
                </c:pt>
                <c:pt idx="188">
                  <c:v>45731</c:v>
                </c:pt>
                <c:pt idx="189">
                  <c:v>45730</c:v>
                </c:pt>
                <c:pt idx="190">
                  <c:v>45729</c:v>
                </c:pt>
                <c:pt idx="191">
                  <c:v>45728</c:v>
                </c:pt>
                <c:pt idx="192">
                  <c:v>45727</c:v>
                </c:pt>
                <c:pt idx="193">
                  <c:v>45726</c:v>
                </c:pt>
                <c:pt idx="194">
                  <c:v>45725</c:v>
                </c:pt>
                <c:pt idx="195">
                  <c:v>45724</c:v>
                </c:pt>
                <c:pt idx="196">
                  <c:v>45723</c:v>
                </c:pt>
                <c:pt idx="197">
                  <c:v>45722</c:v>
                </c:pt>
                <c:pt idx="198">
                  <c:v>45721</c:v>
                </c:pt>
                <c:pt idx="199">
                  <c:v>45720</c:v>
                </c:pt>
                <c:pt idx="200">
                  <c:v>45719</c:v>
                </c:pt>
                <c:pt idx="201">
                  <c:v>45718</c:v>
                </c:pt>
                <c:pt idx="202">
                  <c:v>45717</c:v>
                </c:pt>
                <c:pt idx="203">
                  <c:v>45716</c:v>
                </c:pt>
                <c:pt idx="204">
                  <c:v>45715</c:v>
                </c:pt>
                <c:pt idx="205">
                  <c:v>45714</c:v>
                </c:pt>
                <c:pt idx="206">
                  <c:v>45713</c:v>
                </c:pt>
                <c:pt idx="207">
                  <c:v>45712</c:v>
                </c:pt>
                <c:pt idx="208">
                  <c:v>45711</c:v>
                </c:pt>
                <c:pt idx="209">
                  <c:v>45710</c:v>
                </c:pt>
                <c:pt idx="210">
                  <c:v>45709</c:v>
                </c:pt>
                <c:pt idx="211">
                  <c:v>45708</c:v>
                </c:pt>
                <c:pt idx="212">
                  <c:v>45707</c:v>
                </c:pt>
                <c:pt idx="213">
                  <c:v>45706</c:v>
                </c:pt>
                <c:pt idx="214">
                  <c:v>45705</c:v>
                </c:pt>
                <c:pt idx="215">
                  <c:v>45704</c:v>
                </c:pt>
                <c:pt idx="216">
                  <c:v>45703</c:v>
                </c:pt>
                <c:pt idx="217">
                  <c:v>45702</c:v>
                </c:pt>
                <c:pt idx="218">
                  <c:v>45701</c:v>
                </c:pt>
                <c:pt idx="219">
                  <c:v>45700</c:v>
                </c:pt>
                <c:pt idx="220">
                  <c:v>45699</c:v>
                </c:pt>
                <c:pt idx="221">
                  <c:v>45698</c:v>
                </c:pt>
                <c:pt idx="222">
                  <c:v>45697</c:v>
                </c:pt>
                <c:pt idx="223">
                  <c:v>45696</c:v>
                </c:pt>
                <c:pt idx="224">
                  <c:v>45695</c:v>
                </c:pt>
                <c:pt idx="225">
                  <c:v>45694</c:v>
                </c:pt>
                <c:pt idx="226">
                  <c:v>45693</c:v>
                </c:pt>
                <c:pt idx="227">
                  <c:v>45692</c:v>
                </c:pt>
                <c:pt idx="228">
                  <c:v>45691</c:v>
                </c:pt>
                <c:pt idx="229">
                  <c:v>45690</c:v>
                </c:pt>
                <c:pt idx="230">
                  <c:v>45689</c:v>
                </c:pt>
                <c:pt idx="231">
                  <c:v>45688</c:v>
                </c:pt>
                <c:pt idx="232">
                  <c:v>45687</c:v>
                </c:pt>
                <c:pt idx="233">
                  <c:v>45686</c:v>
                </c:pt>
                <c:pt idx="234">
                  <c:v>45685</c:v>
                </c:pt>
                <c:pt idx="235">
                  <c:v>45684</c:v>
                </c:pt>
                <c:pt idx="236">
                  <c:v>45683</c:v>
                </c:pt>
                <c:pt idx="237">
                  <c:v>45682</c:v>
                </c:pt>
                <c:pt idx="238">
                  <c:v>45681</c:v>
                </c:pt>
                <c:pt idx="239">
                  <c:v>45680</c:v>
                </c:pt>
                <c:pt idx="240">
                  <c:v>45679</c:v>
                </c:pt>
                <c:pt idx="241">
                  <c:v>45678</c:v>
                </c:pt>
                <c:pt idx="242">
                  <c:v>45677</c:v>
                </c:pt>
                <c:pt idx="243">
                  <c:v>45676</c:v>
                </c:pt>
                <c:pt idx="244">
                  <c:v>45675</c:v>
                </c:pt>
                <c:pt idx="245">
                  <c:v>45674</c:v>
                </c:pt>
                <c:pt idx="246">
                  <c:v>45673</c:v>
                </c:pt>
                <c:pt idx="247">
                  <c:v>45672</c:v>
                </c:pt>
                <c:pt idx="248">
                  <c:v>45671</c:v>
                </c:pt>
                <c:pt idx="249">
                  <c:v>45670</c:v>
                </c:pt>
                <c:pt idx="250">
                  <c:v>45669</c:v>
                </c:pt>
                <c:pt idx="251">
                  <c:v>45668</c:v>
                </c:pt>
                <c:pt idx="252">
                  <c:v>45667</c:v>
                </c:pt>
                <c:pt idx="253">
                  <c:v>45666</c:v>
                </c:pt>
                <c:pt idx="254">
                  <c:v>45665</c:v>
                </c:pt>
                <c:pt idx="255">
                  <c:v>45664</c:v>
                </c:pt>
                <c:pt idx="256">
                  <c:v>45663</c:v>
                </c:pt>
                <c:pt idx="257">
                  <c:v>45662</c:v>
                </c:pt>
                <c:pt idx="258">
                  <c:v>45661</c:v>
                </c:pt>
                <c:pt idx="259">
                  <c:v>45660</c:v>
                </c:pt>
                <c:pt idx="260">
                  <c:v>45659</c:v>
                </c:pt>
                <c:pt idx="261">
                  <c:v>45658</c:v>
                </c:pt>
                <c:pt idx="262">
                  <c:v>45657</c:v>
                </c:pt>
                <c:pt idx="263">
                  <c:v>45656</c:v>
                </c:pt>
                <c:pt idx="264">
                  <c:v>45655</c:v>
                </c:pt>
                <c:pt idx="265">
                  <c:v>45654</c:v>
                </c:pt>
                <c:pt idx="266">
                  <c:v>45653</c:v>
                </c:pt>
                <c:pt idx="267">
                  <c:v>45652</c:v>
                </c:pt>
                <c:pt idx="268">
                  <c:v>45651</c:v>
                </c:pt>
                <c:pt idx="269">
                  <c:v>45650</c:v>
                </c:pt>
                <c:pt idx="270">
                  <c:v>45649</c:v>
                </c:pt>
                <c:pt idx="271">
                  <c:v>45648</c:v>
                </c:pt>
                <c:pt idx="272">
                  <c:v>45647</c:v>
                </c:pt>
                <c:pt idx="273">
                  <c:v>45646</c:v>
                </c:pt>
                <c:pt idx="274">
                  <c:v>45645</c:v>
                </c:pt>
                <c:pt idx="275">
                  <c:v>45644</c:v>
                </c:pt>
                <c:pt idx="276">
                  <c:v>45643</c:v>
                </c:pt>
                <c:pt idx="277">
                  <c:v>45642</c:v>
                </c:pt>
                <c:pt idx="278">
                  <c:v>45641</c:v>
                </c:pt>
                <c:pt idx="279">
                  <c:v>45640</c:v>
                </c:pt>
                <c:pt idx="280">
                  <c:v>45639</c:v>
                </c:pt>
                <c:pt idx="281">
                  <c:v>45638</c:v>
                </c:pt>
                <c:pt idx="282">
                  <c:v>45637</c:v>
                </c:pt>
                <c:pt idx="283">
                  <c:v>45636</c:v>
                </c:pt>
                <c:pt idx="284">
                  <c:v>45635</c:v>
                </c:pt>
                <c:pt idx="285">
                  <c:v>45634</c:v>
                </c:pt>
                <c:pt idx="286">
                  <c:v>45633</c:v>
                </c:pt>
                <c:pt idx="287">
                  <c:v>45632</c:v>
                </c:pt>
                <c:pt idx="288">
                  <c:v>45631</c:v>
                </c:pt>
                <c:pt idx="289">
                  <c:v>45630</c:v>
                </c:pt>
                <c:pt idx="290">
                  <c:v>45629</c:v>
                </c:pt>
                <c:pt idx="291">
                  <c:v>45628</c:v>
                </c:pt>
                <c:pt idx="292">
                  <c:v>45627</c:v>
                </c:pt>
                <c:pt idx="293">
                  <c:v>45626</c:v>
                </c:pt>
                <c:pt idx="294">
                  <c:v>45625</c:v>
                </c:pt>
                <c:pt idx="295">
                  <c:v>45624</c:v>
                </c:pt>
                <c:pt idx="296">
                  <c:v>45623</c:v>
                </c:pt>
                <c:pt idx="297">
                  <c:v>45622</c:v>
                </c:pt>
                <c:pt idx="298">
                  <c:v>45621</c:v>
                </c:pt>
                <c:pt idx="299">
                  <c:v>45620</c:v>
                </c:pt>
                <c:pt idx="300">
                  <c:v>45619</c:v>
                </c:pt>
                <c:pt idx="301">
                  <c:v>45618</c:v>
                </c:pt>
                <c:pt idx="302">
                  <c:v>45617</c:v>
                </c:pt>
                <c:pt idx="303">
                  <c:v>45616</c:v>
                </c:pt>
                <c:pt idx="304">
                  <c:v>45615</c:v>
                </c:pt>
                <c:pt idx="305">
                  <c:v>45614</c:v>
                </c:pt>
                <c:pt idx="306">
                  <c:v>45613</c:v>
                </c:pt>
                <c:pt idx="307">
                  <c:v>45612</c:v>
                </c:pt>
                <c:pt idx="308">
                  <c:v>45611</c:v>
                </c:pt>
                <c:pt idx="309">
                  <c:v>45610</c:v>
                </c:pt>
                <c:pt idx="310">
                  <c:v>45609</c:v>
                </c:pt>
                <c:pt idx="311">
                  <c:v>45608</c:v>
                </c:pt>
                <c:pt idx="312">
                  <c:v>45607</c:v>
                </c:pt>
                <c:pt idx="313">
                  <c:v>45606</c:v>
                </c:pt>
                <c:pt idx="314">
                  <c:v>45605</c:v>
                </c:pt>
                <c:pt idx="315">
                  <c:v>45604</c:v>
                </c:pt>
                <c:pt idx="316">
                  <c:v>45603</c:v>
                </c:pt>
                <c:pt idx="317">
                  <c:v>45602</c:v>
                </c:pt>
                <c:pt idx="318">
                  <c:v>45601</c:v>
                </c:pt>
                <c:pt idx="319">
                  <c:v>45600</c:v>
                </c:pt>
                <c:pt idx="320">
                  <c:v>45599</c:v>
                </c:pt>
                <c:pt idx="321">
                  <c:v>45598</c:v>
                </c:pt>
                <c:pt idx="322">
                  <c:v>45597</c:v>
                </c:pt>
                <c:pt idx="323">
                  <c:v>45596</c:v>
                </c:pt>
                <c:pt idx="324">
                  <c:v>45595</c:v>
                </c:pt>
                <c:pt idx="325">
                  <c:v>45594</c:v>
                </c:pt>
                <c:pt idx="326">
                  <c:v>45593</c:v>
                </c:pt>
                <c:pt idx="327">
                  <c:v>45592</c:v>
                </c:pt>
                <c:pt idx="328">
                  <c:v>45591</c:v>
                </c:pt>
                <c:pt idx="329">
                  <c:v>45590</c:v>
                </c:pt>
                <c:pt idx="330">
                  <c:v>45589</c:v>
                </c:pt>
                <c:pt idx="331">
                  <c:v>45588</c:v>
                </c:pt>
                <c:pt idx="332">
                  <c:v>45587</c:v>
                </c:pt>
                <c:pt idx="333">
                  <c:v>45586</c:v>
                </c:pt>
                <c:pt idx="334">
                  <c:v>45585</c:v>
                </c:pt>
                <c:pt idx="335">
                  <c:v>45584</c:v>
                </c:pt>
                <c:pt idx="336">
                  <c:v>45583</c:v>
                </c:pt>
                <c:pt idx="337">
                  <c:v>45582</c:v>
                </c:pt>
                <c:pt idx="338">
                  <c:v>45581</c:v>
                </c:pt>
                <c:pt idx="339">
                  <c:v>45580</c:v>
                </c:pt>
                <c:pt idx="340">
                  <c:v>45579</c:v>
                </c:pt>
                <c:pt idx="341">
                  <c:v>45578</c:v>
                </c:pt>
                <c:pt idx="342">
                  <c:v>45577</c:v>
                </c:pt>
                <c:pt idx="343">
                  <c:v>45576</c:v>
                </c:pt>
                <c:pt idx="344">
                  <c:v>45575</c:v>
                </c:pt>
                <c:pt idx="345">
                  <c:v>45574</c:v>
                </c:pt>
                <c:pt idx="346">
                  <c:v>45573</c:v>
                </c:pt>
                <c:pt idx="347">
                  <c:v>45572</c:v>
                </c:pt>
                <c:pt idx="348">
                  <c:v>45571</c:v>
                </c:pt>
                <c:pt idx="349">
                  <c:v>45570</c:v>
                </c:pt>
                <c:pt idx="350">
                  <c:v>45569</c:v>
                </c:pt>
                <c:pt idx="351">
                  <c:v>45568</c:v>
                </c:pt>
                <c:pt idx="352">
                  <c:v>45567</c:v>
                </c:pt>
                <c:pt idx="353">
                  <c:v>45566</c:v>
                </c:pt>
                <c:pt idx="354">
                  <c:v>45565</c:v>
                </c:pt>
                <c:pt idx="355">
                  <c:v>45564</c:v>
                </c:pt>
                <c:pt idx="356">
                  <c:v>45563</c:v>
                </c:pt>
                <c:pt idx="357">
                  <c:v>45562</c:v>
                </c:pt>
                <c:pt idx="358">
                  <c:v>45561</c:v>
                </c:pt>
                <c:pt idx="359">
                  <c:v>45560</c:v>
                </c:pt>
                <c:pt idx="360">
                  <c:v>45559</c:v>
                </c:pt>
                <c:pt idx="361">
                  <c:v>45558</c:v>
                </c:pt>
                <c:pt idx="362">
                  <c:v>45557</c:v>
                </c:pt>
                <c:pt idx="363">
                  <c:v>45556</c:v>
                </c:pt>
                <c:pt idx="364">
                  <c:v>45555</c:v>
                </c:pt>
                <c:pt idx="365">
                  <c:v>45554</c:v>
                </c:pt>
                <c:pt idx="366">
                  <c:v>45553</c:v>
                </c:pt>
                <c:pt idx="367">
                  <c:v>45552</c:v>
                </c:pt>
                <c:pt idx="368">
                  <c:v>45551</c:v>
                </c:pt>
                <c:pt idx="369">
                  <c:v>45550</c:v>
                </c:pt>
                <c:pt idx="370">
                  <c:v>45549</c:v>
                </c:pt>
                <c:pt idx="371">
                  <c:v>45548</c:v>
                </c:pt>
                <c:pt idx="372">
                  <c:v>45547</c:v>
                </c:pt>
                <c:pt idx="373">
                  <c:v>45546</c:v>
                </c:pt>
                <c:pt idx="374">
                  <c:v>45545</c:v>
                </c:pt>
                <c:pt idx="375">
                  <c:v>45544</c:v>
                </c:pt>
                <c:pt idx="376">
                  <c:v>45543</c:v>
                </c:pt>
                <c:pt idx="377">
                  <c:v>45542</c:v>
                </c:pt>
                <c:pt idx="378">
                  <c:v>45541</c:v>
                </c:pt>
                <c:pt idx="379">
                  <c:v>45540</c:v>
                </c:pt>
                <c:pt idx="380">
                  <c:v>45539</c:v>
                </c:pt>
                <c:pt idx="381">
                  <c:v>45538</c:v>
                </c:pt>
                <c:pt idx="382">
                  <c:v>45537</c:v>
                </c:pt>
                <c:pt idx="383">
                  <c:v>45536</c:v>
                </c:pt>
                <c:pt idx="384">
                  <c:v>45535</c:v>
                </c:pt>
                <c:pt idx="385">
                  <c:v>45534</c:v>
                </c:pt>
                <c:pt idx="386">
                  <c:v>45533</c:v>
                </c:pt>
                <c:pt idx="387">
                  <c:v>45532</c:v>
                </c:pt>
                <c:pt idx="388">
                  <c:v>45531</c:v>
                </c:pt>
                <c:pt idx="389">
                  <c:v>45530</c:v>
                </c:pt>
                <c:pt idx="390">
                  <c:v>45529</c:v>
                </c:pt>
                <c:pt idx="391">
                  <c:v>45528</c:v>
                </c:pt>
                <c:pt idx="392">
                  <c:v>45527</c:v>
                </c:pt>
                <c:pt idx="393">
                  <c:v>45526</c:v>
                </c:pt>
                <c:pt idx="394">
                  <c:v>45525</c:v>
                </c:pt>
                <c:pt idx="395">
                  <c:v>45524</c:v>
                </c:pt>
                <c:pt idx="396">
                  <c:v>45523</c:v>
                </c:pt>
                <c:pt idx="397">
                  <c:v>45522</c:v>
                </c:pt>
                <c:pt idx="398">
                  <c:v>45521</c:v>
                </c:pt>
                <c:pt idx="399">
                  <c:v>45520</c:v>
                </c:pt>
                <c:pt idx="400">
                  <c:v>45519</c:v>
                </c:pt>
                <c:pt idx="401">
                  <c:v>45518</c:v>
                </c:pt>
                <c:pt idx="402">
                  <c:v>45517</c:v>
                </c:pt>
                <c:pt idx="403">
                  <c:v>45516</c:v>
                </c:pt>
                <c:pt idx="404">
                  <c:v>45515</c:v>
                </c:pt>
                <c:pt idx="405">
                  <c:v>45514</c:v>
                </c:pt>
                <c:pt idx="406">
                  <c:v>45513</c:v>
                </c:pt>
                <c:pt idx="407">
                  <c:v>45512</c:v>
                </c:pt>
                <c:pt idx="408">
                  <c:v>45511</c:v>
                </c:pt>
                <c:pt idx="409">
                  <c:v>45510</c:v>
                </c:pt>
                <c:pt idx="410">
                  <c:v>45509</c:v>
                </c:pt>
                <c:pt idx="411">
                  <c:v>45508</c:v>
                </c:pt>
                <c:pt idx="412">
                  <c:v>45507</c:v>
                </c:pt>
                <c:pt idx="413">
                  <c:v>45506</c:v>
                </c:pt>
                <c:pt idx="414">
                  <c:v>45505</c:v>
                </c:pt>
                <c:pt idx="415">
                  <c:v>45504</c:v>
                </c:pt>
                <c:pt idx="416">
                  <c:v>45503</c:v>
                </c:pt>
                <c:pt idx="417">
                  <c:v>45502</c:v>
                </c:pt>
                <c:pt idx="418">
                  <c:v>45501</c:v>
                </c:pt>
                <c:pt idx="419">
                  <c:v>45500</c:v>
                </c:pt>
                <c:pt idx="420">
                  <c:v>45499</c:v>
                </c:pt>
                <c:pt idx="421">
                  <c:v>45498</c:v>
                </c:pt>
                <c:pt idx="422">
                  <c:v>45497</c:v>
                </c:pt>
                <c:pt idx="423">
                  <c:v>45496</c:v>
                </c:pt>
                <c:pt idx="424">
                  <c:v>45495</c:v>
                </c:pt>
                <c:pt idx="425">
                  <c:v>45494</c:v>
                </c:pt>
                <c:pt idx="426">
                  <c:v>45493</c:v>
                </c:pt>
                <c:pt idx="427">
                  <c:v>45492</c:v>
                </c:pt>
                <c:pt idx="428">
                  <c:v>45491</c:v>
                </c:pt>
                <c:pt idx="429">
                  <c:v>45490</c:v>
                </c:pt>
                <c:pt idx="430">
                  <c:v>45489</c:v>
                </c:pt>
                <c:pt idx="431">
                  <c:v>45488</c:v>
                </c:pt>
                <c:pt idx="432">
                  <c:v>45487</c:v>
                </c:pt>
                <c:pt idx="433">
                  <c:v>45486</c:v>
                </c:pt>
                <c:pt idx="434">
                  <c:v>45485</c:v>
                </c:pt>
                <c:pt idx="435">
                  <c:v>45484</c:v>
                </c:pt>
                <c:pt idx="436">
                  <c:v>45483</c:v>
                </c:pt>
                <c:pt idx="437">
                  <c:v>45482</c:v>
                </c:pt>
                <c:pt idx="438">
                  <c:v>45481</c:v>
                </c:pt>
                <c:pt idx="439">
                  <c:v>45480</c:v>
                </c:pt>
                <c:pt idx="440">
                  <c:v>45479</c:v>
                </c:pt>
                <c:pt idx="441">
                  <c:v>45478</c:v>
                </c:pt>
                <c:pt idx="442">
                  <c:v>45477</c:v>
                </c:pt>
                <c:pt idx="443">
                  <c:v>45476</c:v>
                </c:pt>
                <c:pt idx="444">
                  <c:v>45475</c:v>
                </c:pt>
                <c:pt idx="445">
                  <c:v>45474</c:v>
                </c:pt>
                <c:pt idx="446">
                  <c:v>45473</c:v>
                </c:pt>
                <c:pt idx="447">
                  <c:v>45472</c:v>
                </c:pt>
                <c:pt idx="448">
                  <c:v>45471</c:v>
                </c:pt>
                <c:pt idx="449">
                  <c:v>45470</c:v>
                </c:pt>
                <c:pt idx="450">
                  <c:v>45469</c:v>
                </c:pt>
                <c:pt idx="451">
                  <c:v>45468</c:v>
                </c:pt>
                <c:pt idx="452">
                  <c:v>45467</c:v>
                </c:pt>
                <c:pt idx="453">
                  <c:v>45466</c:v>
                </c:pt>
                <c:pt idx="454">
                  <c:v>45465</c:v>
                </c:pt>
                <c:pt idx="455">
                  <c:v>45464</c:v>
                </c:pt>
                <c:pt idx="456">
                  <c:v>45463</c:v>
                </c:pt>
                <c:pt idx="457">
                  <c:v>45462</c:v>
                </c:pt>
                <c:pt idx="458">
                  <c:v>45461</c:v>
                </c:pt>
                <c:pt idx="459">
                  <c:v>45460</c:v>
                </c:pt>
                <c:pt idx="460">
                  <c:v>45459</c:v>
                </c:pt>
                <c:pt idx="461">
                  <c:v>45458</c:v>
                </c:pt>
                <c:pt idx="462">
                  <c:v>45457</c:v>
                </c:pt>
                <c:pt idx="463">
                  <c:v>45456</c:v>
                </c:pt>
                <c:pt idx="464">
                  <c:v>45455</c:v>
                </c:pt>
                <c:pt idx="465">
                  <c:v>45454</c:v>
                </c:pt>
                <c:pt idx="466">
                  <c:v>45453</c:v>
                </c:pt>
                <c:pt idx="467">
                  <c:v>45452</c:v>
                </c:pt>
                <c:pt idx="468">
                  <c:v>45451</c:v>
                </c:pt>
                <c:pt idx="469">
                  <c:v>45450</c:v>
                </c:pt>
                <c:pt idx="470">
                  <c:v>45449</c:v>
                </c:pt>
                <c:pt idx="471">
                  <c:v>45448</c:v>
                </c:pt>
                <c:pt idx="472">
                  <c:v>45447</c:v>
                </c:pt>
                <c:pt idx="473">
                  <c:v>45446</c:v>
                </c:pt>
                <c:pt idx="474">
                  <c:v>45445</c:v>
                </c:pt>
                <c:pt idx="475">
                  <c:v>45444</c:v>
                </c:pt>
                <c:pt idx="476">
                  <c:v>45443</c:v>
                </c:pt>
                <c:pt idx="477">
                  <c:v>45442</c:v>
                </c:pt>
                <c:pt idx="478">
                  <c:v>45441</c:v>
                </c:pt>
                <c:pt idx="479">
                  <c:v>45440</c:v>
                </c:pt>
                <c:pt idx="480">
                  <c:v>45439</c:v>
                </c:pt>
                <c:pt idx="481">
                  <c:v>45438</c:v>
                </c:pt>
                <c:pt idx="482">
                  <c:v>45437</c:v>
                </c:pt>
                <c:pt idx="483">
                  <c:v>45436</c:v>
                </c:pt>
                <c:pt idx="484">
                  <c:v>45435</c:v>
                </c:pt>
                <c:pt idx="485">
                  <c:v>45434</c:v>
                </c:pt>
                <c:pt idx="486">
                  <c:v>45433</c:v>
                </c:pt>
                <c:pt idx="487">
                  <c:v>45432</c:v>
                </c:pt>
                <c:pt idx="488">
                  <c:v>45431</c:v>
                </c:pt>
                <c:pt idx="489">
                  <c:v>45430</c:v>
                </c:pt>
                <c:pt idx="490">
                  <c:v>45429</c:v>
                </c:pt>
                <c:pt idx="491">
                  <c:v>45428</c:v>
                </c:pt>
                <c:pt idx="492">
                  <c:v>45427</c:v>
                </c:pt>
                <c:pt idx="493">
                  <c:v>45426</c:v>
                </c:pt>
                <c:pt idx="494">
                  <c:v>45425</c:v>
                </c:pt>
                <c:pt idx="495">
                  <c:v>45424</c:v>
                </c:pt>
                <c:pt idx="496">
                  <c:v>45423</c:v>
                </c:pt>
                <c:pt idx="497">
                  <c:v>45422</c:v>
                </c:pt>
                <c:pt idx="498">
                  <c:v>45421</c:v>
                </c:pt>
                <c:pt idx="499">
                  <c:v>45420</c:v>
                </c:pt>
                <c:pt idx="500">
                  <c:v>45419</c:v>
                </c:pt>
                <c:pt idx="501">
                  <c:v>45418</c:v>
                </c:pt>
                <c:pt idx="502">
                  <c:v>45417</c:v>
                </c:pt>
                <c:pt idx="503">
                  <c:v>45416</c:v>
                </c:pt>
                <c:pt idx="504">
                  <c:v>45415</c:v>
                </c:pt>
                <c:pt idx="505">
                  <c:v>45414</c:v>
                </c:pt>
                <c:pt idx="506">
                  <c:v>45413</c:v>
                </c:pt>
                <c:pt idx="507">
                  <c:v>45412</c:v>
                </c:pt>
                <c:pt idx="508">
                  <c:v>45411</c:v>
                </c:pt>
                <c:pt idx="509">
                  <c:v>45410</c:v>
                </c:pt>
                <c:pt idx="510">
                  <c:v>45409</c:v>
                </c:pt>
                <c:pt idx="511">
                  <c:v>45408</c:v>
                </c:pt>
                <c:pt idx="512">
                  <c:v>45407</c:v>
                </c:pt>
                <c:pt idx="513">
                  <c:v>45406</c:v>
                </c:pt>
                <c:pt idx="514">
                  <c:v>45405</c:v>
                </c:pt>
                <c:pt idx="515">
                  <c:v>45404</c:v>
                </c:pt>
                <c:pt idx="516">
                  <c:v>45403</c:v>
                </c:pt>
                <c:pt idx="517">
                  <c:v>45402</c:v>
                </c:pt>
                <c:pt idx="518">
                  <c:v>45401</c:v>
                </c:pt>
                <c:pt idx="519">
                  <c:v>45400</c:v>
                </c:pt>
                <c:pt idx="520">
                  <c:v>45399</c:v>
                </c:pt>
                <c:pt idx="521">
                  <c:v>45398</c:v>
                </c:pt>
                <c:pt idx="522">
                  <c:v>45397</c:v>
                </c:pt>
                <c:pt idx="523">
                  <c:v>45396</c:v>
                </c:pt>
                <c:pt idx="524">
                  <c:v>45395</c:v>
                </c:pt>
                <c:pt idx="525">
                  <c:v>45394</c:v>
                </c:pt>
                <c:pt idx="526">
                  <c:v>45393</c:v>
                </c:pt>
                <c:pt idx="527">
                  <c:v>45392</c:v>
                </c:pt>
                <c:pt idx="528">
                  <c:v>45391</c:v>
                </c:pt>
                <c:pt idx="529">
                  <c:v>45390</c:v>
                </c:pt>
                <c:pt idx="530">
                  <c:v>45389</c:v>
                </c:pt>
                <c:pt idx="531">
                  <c:v>45388</c:v>
                </c:pt>
                <c:pt idx="532">
                  <c:v>45387</c:v>
                </c:pt>
                <c:pt idx="533">
                  <c:v>45386</c:v>
                </c:pt>
                <c:pt idx="534">
                  <c:v>45385</c:v>
                </c:pt>
                <c:pt idx="535">
                  <c:v>45384</c:v>
                </c:pt>
                <c:pt idx="536">
                  <c:v>45383</c:v>
                </c:pt>
                <c:pt idx="537">
                  <c:v>45382</c:v>
                </c:pt>
                <c:pt idx="538">
                  <c:v>45381</c:v>
                </c:pt>
                <c:pt idx="539">
                  <c:v>45380</c:v>
                </c:pt>
                <c:pt idx="540">
                  <c:v>45379</c:v>
                </c:pt>
                <c:pt idx="541">
                  <c:v>45378</c:v>
                </c:pt>
                <c:pt idx="542">
                  <c:v>45377</c:v>
                </c:pt>
                <c:pt idx="543">
                  <c:v>45376</c:v>
                </c:pt>
                <c:pt idx="544">
                  <c:v>45375</c:v>
                </c:pt>
                <c:pt idx="545">
                  <c:v>45374</c:v>
                </c:pt>
                <c:pt idx="546">
                  <c:v>45373</c:v>
                </c:pt>
                <c:pt idx="547">
                  <c:v>45372</c:v>
                </c:pt>
                <c:pt idx="548">
                  <c:v>45371</c:v>
                </c:pt>
                <c:pt idx="549">
                  <c:v>45370</c:v>
                </c:pt>
                <c:pt idx="550">
                  <c:v>45369</c:v>
                </c:pt>
                <c:pt idx="551">
                  <c:v>45368</c:v>
                </c:pt>
                <c:pt idx="552">
                  <c:v>45367</c:v>
                </c:pt>
                <c:pt idx="553">
                  <c:v>45366</c:v>
                </c:pt>
                <c:pt idx="554">
                  <c:v>45365</c:v>
                </c:pt>
                <c:pt idx="555">
                  <c:v>45364</c:v>
                </c:pt>
                <c:pt idx="556">
                  <c:v>45363</c:v>
                </c:pt>
                <c:pt idx="557">
                  <c:v>45362</c:v>
                </c:pt>
                <c:pt idx="558">
                  <c:v>45361</c:v>
                </c:pt>
                <c:pt idx="559">
                  <c:v>45360</c:v>
                </c:pt>
                <c:pt idx="560">
                  <c:v>45359</c:v>
                </c:pt>
                <c:pt idx="561">
                  <c:v>45358</c:v>
                </c:pt>
                <c:pt idx="562">
                  <c:v>45357</c:v>
                </c:pt>
                <c:pt idx="563">
                  <c:v>45356</c:v>
                </c:pt>
                <c:pt idx="564">
                  <c:v>45355</c:v>
                </c:pt>
                <c:pt idx="565">
                  <c:v>45354</c:v>
                </c:pt>
                <c:pt idx="566">
                  <c:v>45353</c:v>
                </c:pt>
                <c:pt idx="567">
                  <c:v>45352</c:v>
                </c:pt>
                <c:pt idx="568">
                  <c:v>45351</c:v>
                </c:pt>
                <c:pt idx="569">
                  <c:v>45350</c:v>
                </c:pt>
                <c:pt idx="570">
                  <c:v>45349</c:v>
                </c:pt>
                <c:pt idx="571">
                  <c:v>45348</c:v>
                </c:pt>
                <c:pt idx="572">
                  <c:v>45347</c:v>
                </c:pt>
                <c:pt idx="573">
                  <c:v>45346</c:v>
                </c:pt>
                <c:pt idx="574">
                  <c:v>45345</c:v>
                </c:pt>
                <c:pt idx="575">
                  <c:v>45344</c:v>
                </c:pt>
                <c:pt idx="576">
                  <c:v>45343</c:v>
                </c:pt>
                <c:pt idx="577">
                  <c:v>45342</c:v>
                </c:pt>
                <c:pt idx="578">
                  <c:v>45341</c:v>
                </c:pt>
                <c:pt idx="579">
                  <c:v>45340</c:v>
                </c:pt>
                <c:pt idx="580">
                  <c:v>45339</c:v>
                </c:pt>
                <c:pt idx="581">
                  <c:v>45338</c:v>
                </c:pt>
                <c:pt idx="582">
                  <c:v>45337</c:v>
                </c:pt>
                <c:pt idx="583">
                  <c:v>45336</c:v>
                </c:pt>
                <c:pt idx="584">
                  <c:v>45335</c:v>
                </c:pt>
                <c:pt idx="585">
                  <c:v>45334</c:v>
                </c:pt>
                <c:pt idx="586">
                  <c:v>45333</c:v>
                </c:pt>
                <c:pt idx="587">
                  <c:v>45332</c:v>
                </c:pt>
                <c:pt idx="588">
                  <c:v>45331</c:v>
                </c:pt>
                <c:pt idx="589">
                  <c:v>45330</c:v>
                </c:pt>
                <c:pt idx="590">
                  <c:v>45329</c:v>
                </c:pt>
                <c:pt idx="591">
                  <c:v>45328</c:v>
                </c:pt>
                <c:pt idx="592">
                  <c:v>45327</c:v>
                </c:pt>
                <c:pt idx="593">
                  <c:v>45326</c:v>
                </c:pt>
                <c:pt idx="594">
                  <c:v>45325</c:v>
                </c:pt>
                <c:pt idx="595">
                  <c:v>45324</c:v>
                </c:pt>
                <c:pt idx="596">
                  <c:v>45323</c:v>
                </c:pt>
                <c:pt idx="597">
                  <c:v>45322</c:v>
                </c:pt>
                <c:pt idx="598">
                  <c:v>45321</c:v>
                </c:pt>
                <c:pt idx="599">
                  <c:v>45320</c:v>
                </c:pt>
                <c:pt idx="600">
                  <c:v>45319</c:v>
                </c:pt>
                <c:pt idx="601">
                  <c:v>45318</c:v>
                </c:pt>
                <c:pt idx="602">
                  <c:v>45317</c:v>
                </c:pt>
                <c:pt idx="603">
                  <c:v>45316</c:v>
                </c:pt>
                <c:pt idx="604">
                  <c:v>45315</c:v>
                </c:pt>
                <c:pt idx="605">
                  <c:v>45314</c:v>
                </c:pt>
                <c:pt idx="606">
                  <c:v>45313</c:v>
                </c:pt>
                <c:pt idx="607">
                  <c:v>45312</c:v>
                </c:pt>
                <c:pt idx="608">
                  <c:v>45311</c:v>
                </c:pt>
                <c:pt idx="609">
                  <c:v>45310</c:v>
                </c:pt>
                <c:pt idx="610">
                  <c:v>45309</c:v>
                </c:pt>
                <c:pt idx="611">
                  <c:v>45308</c:v>
                </c:pt>
                <c:pt idx="612">
                  <c:v>45307</c:v>
                </c:pt>
                <c:pt idx="613">
                  <c:v>45306</c:v>
                </c:pt>
                <c:pt idx="614">
                  <c:v>45305</c:v>
                </c:pt>
                <c:pt idx="615">
                  <c:v>45304</c:v>
                </c:pt>
                <c:pt idx="616">
                  <c:v>45303</c:v>
                </c:pt>
                <c:pt idx="617">
                  <c:v>45302</c:v>
                </c:pt>
                <c:pt idx="618">
                  <c:v>45301</c:v>
                </c:pt>
                <c:pt idx="619">
                  <c:v>45300</c:v>
                </c:pt>
                <c:pt idx="620">
                  <c:v>45299</c:v>
                </c:pt>
                <c:pt idx="621">
                  <c:v>45298</c:v>
                </c:pt>
                <c:pt idx="622">
                  <c:v>45297</c:v>
                </c:pt>
                <c:pt idx="623">
                  <c:v>45296</c:v>
                </c:pt>
                <c:pt idx="624">
                  <c:v>45295</c:v>
                </c:pt>
                <c:pt idx="625">
                  <c:v>45294</c:v>
                </c:pt>
                <c:pt idx="626">
                  <c:v>45293</c:v>
                </c:pt>
                <c:pt idx="627">
                  <c:v>45292</c:v>
                </c:pt>
                <c:pt idx="628">
                  <c:v>45291</c:v>
                </c:pt>
                <c:pt idx="629">
                  <c:v>45290</c:v>
                </c:pt>
                <c:pt idx="630">
                  <c:v>45289</c:v>
                </c:pt>
                <c:pt idx="631">
                  <c:v>45288</c:v>
                </c:pt>
                <c:pt idx="632">
                  <c:v>45287</c:v>
                </c:pt>
                <c:pt idx="633">
                  <c:v>45286</c:v>
                </c:pt>
                <c:pt idx="634">
                  <c:v>45285</c:v>
                </c:pt>
                <c:pt idx="635">
                  <c:v>45284</c:v>
                </c:pt>
                <c:pt idx="636">
                  <c:v>45283</c:v>
                </c:pt>
                <c:pt idx="637">
                  <c:v>45282</c:v>
                </c:pt>
                <c:pt idx="638">
                  <c:v>45281</c:v>
                </c:pt>
                <c:pt idx="639">
                  <c:v>45280</c:v>
                </c:pt>
                <c:pt idx="640">
                  <c:v>45279</c:v>
                </c:pt>
                <c:pt idx="641">
                  <c:v>45278</c:v>
                </c:pt>
                <c:pt idx="642">
                  <c:v>45277</c:v>
                </c:pt>
                <c:pt idx="643">
                  <c:v>45276</c:v>
                </c:pt>
                <c:pt idx="644">
                  <c:v>45275</c:v>
                </c:pt>
                <c:pt idx="645">
                  <c:v>45274</c:v>
                </c:pt>
                <c:pt idx="646">
                  <c:v>45273</c:v>
                </c:pt>
                <c:pt idx="647">
                  <c:v>45272</c:v>
                </c:pt>
                <c:pt idx="648">
                  <c:v>45271</c:v>
                </c:pt>
                <c:pt idx="649">
                  <c:v>45270</c:v>
                </c:pt>
                <c:pt idx="650">
                  <c:v>45269</c:v>
                </c:pt>
                <c:pt idx="651">
                  <c:v>45268</c:v>
                </c:pt>
                <c:pt idx="652">
                  <c:v>45267</c:v>
                </c:pt>
                <c:pt idx="653">
                  <c:v>45266</c:v>
                </c:pt>
                <c:pt idx="654">
                  <c:v>45265</c:v>
                </c:pt>
                <c:pt idx="655">
                  <c:v>45264</c:v>
                </c:pt>
                <c:pt idx="656">
                  <c:v>45263</c:v>
                </c:pt>
                <c:pt idx="657">
                  <c:v>45262</c:v>
                </c:pt>
                <c:pt idx="658">
                  <c:v>45261</c:v>
                </c:pt>
                <c:pt idx="659">
                  <c:v>45260</c:v>
                </c:pt>
                <c:pt idx="660">
                  <c:v>45259</c:v>
                </c:pt>
                <c:pt idx="661">
                  <c:v>45258</c:v>
                </c:pt>
                <c:pt idx="662">
                  <c:v>45257</c:v>
                </c:pt>
                <c:pt idx="663">
                  <c:v>45256</c:v>
                </c:pt>
                <c:pt idx="664">
                  <c:v>45255</c:v>
                </c:pt>
                <c:pt idx="665">
                  <c:v>45254</c:v>
                </c:pt>
                <c:pt idx="666">
                  <c:v>45253</c:v>
                </c:pt>
                <c:pt idx="667">
                  <c:v>45252</c:v>
                </c:pt>
                <c:pt idx="668">
                  <c:v>45251</c:v>
                </c:pt>
                <c:pt idx="669">
                  <c:v>45250</c:v>
                </c:pt>
                <c:pt idx="670">
                  <c:v>45249</c:v>
                </c:pt>
                <c:pt idx="671">
                  <c:v>45248</c:v>
                </c:pt>
                <c:pt idx="672">
                  <c:v>45247</c:v>
                </c:pt>
                <c:pt idx="673">
                  <c:v>45246</c:v>
                </c:pt>
                <c:pt idx="674">
                  <c:v>45245</c:v>
                </c:pt>
                <c:pt idx="675">
                  <c:v>45244</c:v>
                </c:pt>
                <c:pt idx="676">
                  <c:v>45243</c:v>
                </c:pt>
                <c:pt idx="677">
                  <c:v>45242</c:v>
                </c:pt>
                <c:pt idx="678">
                  <c:v>45241</c:v>
                </c:pt>
                <c:pt idx="679">
                  <c:v>45240</c:v>
                </c:pt>
                <c:pt idx="680">
                  <c:v>45239</c:v>
                </c:pt>
                <c:pt idx="681">
                  <c:v>45238</c:v>
                </c:pt>
                <c:pt idx="682">
                  <c:v>45237</c:v>
                </c:pt>
                <c:pt idx="683">
                  <c:v>45236</c:v>
                </c:pt>
                <c:pt idx="684">
                  <c:v>45235</c:v>
                </c:pt>
                <c:pt idx="685">
                  <c:v>45234</c:v>
                </c:pt>
                <c:pt idx="686">
                  <c:v>45233</c:v>
                </c:pt>
                <c:pt idx="687">
                  <c:v>45232</c:v>
                </c:pt>
                <c:pt idx="688">
                  <c:v>45231</c:v>
                </c:pt>
                <c:pt idx="689">
                  <c:v>45230</c:v>
                </c:pt>
                <c:pt idx="690">
                  <c:v>45229</c:v>
                </c:pt>
                <c:pt idx="691">
                  <c:v>45228</c:v>
                </c:pt>
                <c:pt idx="692">
                  <c:v>45227</c:v>
                </c:pt>
                <c:pt idx="693">
                  <c:v>45226</c:v>
                </c:pt>
                <c:pt idx="694">
                  <c:v>45225</c:v>
                </c:pt>
                <c:pt idx="695">
                  <c:v>45224</c:v>
                </c:pt>
                <c:pt idx="696">
                  <c:v>45223</c:v>
                </c:pt>
                <c:pt idx="697">
                  <c:v>45222</c:v>
                </c:pt>
                <c:pt idx="698">
                  <c:v>45221</c:v>
                </c:pt>
                <c:pt idx="699">
                  <c:v>45220</c:v>
                </c:pt>
                <c:pt idx="700">
                  <c:v>45219</c:v>
                </c:pt>
                <c:pt idx="701">
                  <c:v>45218</c:v>
                </c:pt>
                <c:pt idx="702">
                  <c:v>45217</c:v>
                </c:pt>
                <c:pt idx="703">
                  <c:v>45216</c:v>
                </c:pt>
                <c:pt idx="704">
                  <c:v>45215</c:v>
                </c:pt>
                <c:pt idx="705">
                  <c:v>45214</c:v>
                </c:pt>
                <c:pt idx="706">
                  <c:v>45213</c:v>
                </c:pt>
                <c:pt idx="707">
                  <c:v>45212</c:v>
                </c:pt>
                <c:pt idx="708">
                  <c:v>45211</c:v>
                </c:pt>
                <c:pt idx="709">
                  <c:v>45210</c:v>
                </c:pt>
                <c:pt idx="710">
                  <c:v>45209</c:v>
                </c:pt>
                <c:pt idx="711">
                  <c:v>45208</c:v>
                </c:pt>
                <c:pt idx="712">
                  <c:v>45207</c:v>
                </c:pt>
                <c:pt idx="713">
                  <c:v>45206</c:v>
                </c:pt>
                <c:pt idx="714">
                  <c:v>45205</c:v>
                </c:pt>
                <c:pt idx="715">
                  <c:v>45204</c:v>
                </c:pt>
                <c:pt idx="716">
                  <c:v>45203</c:v>
                </c:pt>
                <c:pt idx="717">
                  <c:v>45202</c:v>
                </c:pt>
                <c:pt idx="718">
                  <c:v>45201</c:v>
                </c:pt>
                <c:pt idx="719">
                  <c:v>45200</c:v>
                </c:pt>
                <c:pt idx="720">
                  <c:v>45199</c:v>
                </c:pt>
                <c:pt idx="721">
                  <c:v>45198</c:v>
                </c:pt>
                <c:pt idx="722">
                  <c:v>45197</c:v>
                </c:pt>
                <c:pt idx="723">
                  <c:v>45196</c:v>
                </c:pt>
                <c:pt idx="724">
                  <c:v>45195</c:v>
                </c:pt>
                <c:pt idx="725">
                  <c:v>45194</c:v>
                </c:pt>
                <c:pt idx="726">
                  <c:v>45193</c:v>
                </c:pt>
                <c:pt idx="727">
                  <c:v>45192</c:v>
                </c:pt>
                <c:pt idx="728">
                  <c:v>45191</c:v>
                </c:pt>
                <c:pt idx="729">
                  <c:v>45190</c:v>
                </c:pt>
                <c:pt idx="730">
                  <c:v>45189</c:v>
                </c:pt>
                <c:pt idx="731">
                  <c:v>45188</c:v>
                </c:pt>
                <c:pt idx="732">
                  <c:v>45187</c:v>
                </c:pt>
                <c:pt idx="733">
                  <c:v>45186</c:v>
                </c:pt>
                <c:pt idx="734">
                  <c:v>45185</c:v>
                </c:pt>
                <c:pt idx="735">
                  <c:v>45184</c:v>
                </c:pt>
                <c:pt idx="736">
                  <c:v>45183</c:v>
                </c:pt>
                <c:pt idx="737">
                  <c:v>45182</c:v>
                </c:pt>
                <c:pt idx="738">
                  <c:v>45181</c:v>
                </c:pt>
                <c:pt idx="739">
                  <c:v>45180</c:v>
                </c:pt>
                <c:pt idx="740">
                  <c:v>45179</c:v>
                </c:pt>
                <c:pt idx="741">
                  <c:v>45178</c:v>
                </c:pt>
                <c:pt idx="742">
                  <c:v>45177</c:v>
                </c:pt>
                <c:pt idx="743">
                  <c:v>45176</c:v>
                </c:pt>
                <c:pt idx="744">
                  <c:v>45175</c:v>
                </c:pt>
                <c:pt idx="745">
                  <c:v>45174</c:v>
                </c:pt>
                <c:pt idx="746">
                  <c:v>45173</c:v>
                </c:pt>
                <c:pt idx="747">
                  <c:v>45172</c:v>
                </c:pt>
                <c:pt idx="748">
                  <c:v>45171</c:v>
                </c:pt>
                <c:pt idx="749">
                  <c:v>45170</c:v>
                </c:pt>
                <c:pt idx="750">
                  <c:v>45169</c:v>
                </c:pt>
                <c:pt idx="751">
                  <c:v>45168</c:v>
                </c:pt>
                <c:pt idx="752">
                  <c:v>45167</c:v>
                </c:pt>
                <c:pt idx="753">
                  <c:v>45166</c:v>
                </c:pt>
                <c:pt idx="754">
                  <c:v>45165</c:v>
                </c:pt>
                <c:pt idx="755">
                  <c:v>45164</c:v>
                </c:pt>
                <c:pt idx="756">
                  <c:v>45163</c:v>
                </c:pt>
                <c:pt idx="757">
                  <c:v>45162</c:v>
                </c:pt>
                <c:pt idx="758">
                  <c:v>45161</c:v>
                </c:pt>
                <c:pt idx="759">
                  <c:v>45160</c:v>
                </c:pt>
                <c:pt idx="760">
                  <c:v>45159</c:v>
                </c:pt>
                <c:pt idx="761">
                  <c:v>45158</c:v>
                </c:pt>
                <c:pt idx="762">
                  <c:v>45157</c:v>
                </c:pt>
                <c:pt idx="763">
                  <c:v>45156</c:v>
                </c:pt>
                <c:pt idx="764">
                  <c:v>45155</c:v>
                </c:pt>
                <c:pt idx="765">
                  <c:v>45154</c:v>
                </c:pt>
                <c:pt idx="766">
                  <c:v>45153</c:v>
                </c:pt>
                <c:pt idx="767">
                  <c:v>45152</c:v>
                </c:pt>
                <c:pt idx="768">
                  <c:v>45151</c:v>
                </c:pt>
                <c:pt idx="769">
                  <c:v>45150</c:v>
                </c:pt>
                <c:pt idx="770">
                  <c:v>45149</c:v>
                </c:pt>
                <c:pt idx="771">
                  <c:v>45148</c:v>
                </c:pt>
                <c:pt idx="772">
                  <c:v>45147</c:v>
                </c:pt>
                <c:pt idx="773">
                  <c:v>45146</c:v>
                </c:pt>
                <c:pt idx="774">
                  <c:v>45145</c:v>
                </c:pt>
                <c:pt idx="775">
                  <c:v>45144</c:v>
                </c:pt>
                <c:pt idx="776">
                  <c:v>45143</c:v>
                </c:pt>
                <c:pt idx="777">
                  <c:v>45142</c:v>
                </c:pt>
                <c:pt idx="778">
                  <c:v>45141</c:v>
                </c:pt>
                <c:pt idx="779">
                  <c:v>45140</c:v>
                </c:pt>
                <c:pt idx="780">
                  <c:v>45139</c:v>
                </c:pt>
                <c:pt idx="781">
                  <c:v>45138</c:v>
                </c:pt>
                <c:pt idx="782">
                  <c:v>45137</c:v>
                </c:pt>
                <c:pt idx="783">
                  <c:v>45136</c:v>
                </c:pt>
                <c:pt idx="784">
                  <c:v>45135</c:v>
                </c:pt>
                <c:pt idx="785">
                  <c:v>45134</c:v>
                </c:pt>
                <c:pt idx="786">
                  <c:v>45133</c:v>
                </c:pt>
                <c:pt idx="787">
                  <c:v>45132</c:v>
                </c:pt>
                <c:pt idx="788">
                  <c:v>45131</c:v>
                </c:pt>
                <c:pt idx="789">
                  <c:v>45130</c:v>
                </c:pt>
                <c:pt idx="790">
                  <c:v>45129</c:v>
                </c:pt>
                <c:pt idx="791">
                  <c:v>45128</c:v>
                </c:pt>
                <c:pt idx="792">
                  <c:v>45127</c:v>
                </c:pt>
                <c:pt idx="793">
                  <c:v>45126</c:v>
                </c:pt>
                <c:pt idx="794">
                  <c:v>45125</c:v>
                </c:pt>
                <c:pt idx="795">
                  <c:v>45124</c:v>
                </c:pt>
                <c:pt idx="796">
                  <c:v>45123</c:v>
                </c:pt>
                <c:pt idx="797">
                  <c:v>45122</c:v>
                </c:pt>
                <c:pt idx="798">
                  <c:v>45121</c:v>
                </c:pt>
                <c:pt idx="799">
                  <c:v>45120</c:v>
                </c:pt>
                <c:pt idx="800">
                  <c:v>45119</c:v>
                </c:pt>
                <c:pt idx="801">
                  <c:v>45118</c:v>
                </c:pt>
                <c:pt idx="802">
                  <c:v>45117</c:v>
                </c:pt>
                <c:pt idx="803">
                  <c:v>45116</c:v>
                </c:pt>
                <c:pt idx="804">
                  <c:v>45115</c:v>
                </c:pt>
                <c:pt idx="805">
                  <c:v>45114</c:v>
                </c:pt>
                <c:pt idx="806">
                  <c:v>45113</c:v>
                </c:pt>
                <c:pt idx="807">
                  <c:v>45112</c:v>
                </c:pt>
                <c:pt idx="808">
                  <c:v>45111</c:v>
                </c:pt>
                <c:pt idx="809">
                  <c:v>45110</c:v>
                </c:pt>
                <c:pt idx="810">
                  <c:v>45109</c:v>
                </c:pt>
                <c:pt idx="811">
                  <c:v>45108</c:v>
                </c:pt>
                <c:pt idx="812">
                  <c:v>45107</c:v>
                </c:pt>
                <c:pt idx="813">
                  <c:v>45106</c:v>
                </c:pt>
                <c:pt idx="814">
                  <c:v>45105</c:v>
                </c:pt>
                <c:pt idx="815">
                  <c:v>45104</c:v>
                </c:pt>
                <c:pt idx="816">
                  <c:v>45103</c:v>
                </c:pt>
                <c:pt idx="817">
                  <c:v>45102</c:v>
                </c:pt>
                <c:pt idx="818">
                  <c:v>45101</c:v>
                </c:pt>
                <c:pt idx="819">
                  <c:v>45100</c:v>
                </c:pt>
                <c:pt idx="820">
                  <c:v>45099</c:v>
                </c:pt>
                <c:pt idx="821">
                  <c:v>45098</c:v>
                </c:pt>
                <c:pt idx="822">
                  <c:v>45097</c:v>
                </c:pt>
                <c:pt idx="823">
                  <c:v>45096</c:v>
                </c:pt>
                <c:pt idx="824">
                  <c:v>45095</c:v>
                </c:pt>
                <c:pt idx="825">
                  <c:v>45094</c:v>
                </c:pt>
                <c:pt idx="826">
                  <c:v>45093</c:v>
                </c:pt>
                <c:pt idx="827">
                  <c:v>45092</c:v>
                </c:pt>
                <c:pt idx="828">
                  <c:v>45091</c:v>
                </c:pt>
                <c:pt idx="829">
                  <c:v>45090</c:v>
                </c:pt>
                <c:pt idx="830">
                  <c:v>45089</c:v>
                </c:pt>
                <c:pt idx="831">
                  <c:v>45088</c:v>
                </c:pt>
                <c:pt idx="832">
                  <c:v>45087</c:v>
                </c:pt>
                <c:pt idx="833">
                  <c:v>45086</c:v>
                </c:pt>
                <c:pt idx="834">
                  <c:v>45085</c:v>
                </c:pt>
                <c:pt idx="835">
                  <c:v>45084</c:v>
                </c:pt>
                <c:pt idx="836">
                  <c:v>45083</c:v>
                </c:pt>
                <c:pt idx="837">
                  <c:v>45082</c:v>
                </c:pt>
                <c:pt idx="838">
                  <c:v>45081</c:v>
                </c:pt>
                <c:pt idx="839">
                  <c:v>45080</c:v>
                </c:pt>
                <c:pt idx="840">
                  <c:v>45079</c:v>
                </c:pt>
                <c:pt idx="841">
                  <c:v>45078</c:v>
                </c:pt>
                <c:pt idx="842">
                  <c:v>45077</c:v>
                </c:pt>
                <c:pt idx="843">
                  <c:v>45076</c:v>
                </c:pt>
                <c:pt idx="844">
                  <c:v>45075</c:v>
                </c:pt>
                <c:pt idx="845">
                  <c:v>45074</c:v>
                </c:pt>
                <c:pt idx="846">
                  <c:v>45073</c:v>
                </c:pt>
                <c:pt idx="847">
                  <c:v>45072</c:v>
                </c:pt>
                <c:pt idx="848">
                  <c:v>45071</c:v>
                </c:pt>
                <c:pt idx="849">
                  <c:v>45070</c:v>
                </c:pt>
                <c:pt idx="850">
                  <c:v>45069</c:v>
                </c:pt>
                <c:pt idx="851">
                  <c:v>45068</c:v>
                </c:pt>
                <c:pt idx="852">
                  <c:v>45067</c:v>
                </c:pt>
                <c:pt idx="853">
                  <c:v>45066</c:v>
                </c:pt>
                <c:pt idx="854">
                  <c:v>45065</c:v>
                </c:pt>
                <c:pt idx="855">
                  <c:v>45064</c:v>
                </c:pt>
                <c:pt idx="856">
                  <c:v>45063</c:v>
                </c:pt>
                <c:pt idx="857">
                  <c:v>45062</c:v>
                </c:pt>
                <c:pt idx="858">
                  <c:v>45061</c:v>
                </c:pt>
                <c:pt idx="859">
                  <c:v>45060</c:v>
                </c:pt>
                <c:pt idx="860">
                  <c:v>45059</c:v>
                </c:pt>
                <c:pt idx="861">
                  <c:v>45058</c:v>
                </c:pt>
                <c:pt idx="862">
                  <c:v>45057</c:v>
                </c:pt>
                <c:pt idx="863">
                  <c:v>45056</c:v>
                </c:pt>
                <c:pt idx="864">
                  <c:v>45055</c:v>
                </c:pt>
                <c:pt idx="865">
                  <c:v>45054</c:v>
                </c:pt>
                <c:pt idx="866">
                  <c:v>45053</c:v>
                </c:pt>
                <c:pt idx="867">
                  <c:v>45052</c:v>
                </c:pt>
                <c:pt idx="868">
                  <c:v>45051</c:v>
                </c:pt>
                <c:pt idx="869">
                  <c:v>45050</c:v>
                </c:pt>
                <c:pt idx="870">
                  <c:v>45049</c:v>
                </c:pt>
                <c:pt idx="871">
                  <c:v>45048</c:v>
                </c:pt>
                <c:pt idx="872">
                  <c:v>45047</c:v>
                </c:pt>
                <c:pt idx="873">
                  <c:v>45046</c:v>
                </c:pt>
                <c:pt idx="874">
                  <c:v>45045</c:v>
                </c:pt>
                <c:pt idx="875">
                  <c:v>45044</c:v>
                </c:pt>
                <c:pt idx="876">
                  <c:v>45043</c:v>
                </c:pt>
                <c:pt idx="877">
                  <c:v>45042</c:v>
                </c:pt>
                <c:pt idx="878">
                  <c:v>45041</c:v>
                </c:pt>
                <c:pt idx="879">
                  <c:v>45040</c:v>
                </c:pt>
                <c:pt idx="880">
                  <c:v>45039</c:v>
                </c:pt>
                <c:pt idx="881">
                  <c:v>45038</c:v>
                </c:pt>
                <c:pt idx="882">
                  <c:v>45037</c:v>
                </c:pt>
                <c:pt idx="883">
                  <c:v>45036</c:v>
                </c:pt>
                <c:pt idx="884">
                  <c:v>45035</c:v>
                </c:pt>
                <c:pt idx="885">
                  <c:v>45034</c:v>
                </c:pt>
                <c:pt idx="886">
                  <c:v>45033</c:v>
                </c:pt>
                <c:pt idx="887">
                  <c:v>45032</c:v>
                </c:pt>
                <c:pt idx="888">
                  <c:v>45031</c:v>
                </c:pt>
                <c:pt idx="889">
                  <c:v>45030</c:v>
                </c:pt>
                <c:pt idx="890">
                  <c:v>45029</c:v>
                </c:pt>
                <c:pt idx="891">
                  <c:v>45028</c:v>
                </c:pt>
                <c:pt idx="892">
                  <c:v>45027</c:v>
                </c:pt>
                <c:pt idx="893">
                  <c:v>45026</c:v>
                </c:pt>
                <c:pt idx="894">
                  <c:v>45025</c:v>
                </c:pt>
                <c:pt idx="895">
                  <c:v>45024</c:v>
                </c:pt>
                <c:pt idx="896">
                  <c:v>45023</c:v>
                </c:pt>
                <c:pt idx="897">
                  <c:v>45022</c:v>
                </c:pt>
                <c:pt idx="898">
                  <c:v>45021</c:v>
                </c:pt>
                <c:pt idx="899">
                  <c:v>45020</c:v>
                </c:pt>
                <c:pt idx="900">
                  <c:v>45019</c:v>
                </c:pt>
                <c:pt idx="901">
                  <c:v>45018</c:v>
                </c:pt>
                <c:pt idx="902">
                  <c:v>45017</c:v>
                </c:pt>
                <c:pt idx="903">
                  <c:v>45016</c:v>
                </c:pt>
                <c:pt idx="904">
                  <c:v>45015</c:v>
                </c:pt>
                <c:pt idx="905">
                  <c:v>45014</c:v>
                </c:pt>
                <c:pt idx="906">
                  <c:v>45013</c:v>
                </c:pt>
                <c:pt idx="907">
                  <c:v>45012</c:v>
                </c:pt>
                <c:pt idx="908">
                  <c:v>45011</c:v>
                </c:pt>
                <c:pt idx="909">
                  <c:v>45010</c:v>
                </c:pt>
                <c:pt idx="910">
                  <c:v>45009</c:v>
                </c:pt>
                <c:pt idx="911">
                  <c:v>45008</c:v>
                </c:pt>
                <c:pt idx="912">
                  <c:v>45007</c:v>
                </c:pt>
                <c:pt idx="913">
                  <c:v>45006</c:v>
                </c:pt>
                <c:pt idx="914">
                  <c:v>45005</c:v>
                </c:pt>
                <c:pt idx="915">
                  <c:v>45004</c:v>
                </c:pt>
                <c:pt idx="916">
                  <c:v>45003</c:v>
                </c:pt>
                <c:pt idx="917">
                  <c:v>45002</c:v>
                </c:pt>
                <c:pt idx="918">
                  <c:v>45001</c:v>
                </c:pt>
                <c:pt idx="919">
                  <c:v>45000</c:v>
                </c:pt>
                <c:pt idx="920">
                  <c:v>44999</c:v>
                </c:pt>
                <c:pt idx="921">
                  <c:v>44998</c:v>
                </c:pt>
                <c:pt idx="922">
                  <c:v>44997</c:v>
                </c:pt>
                <c:pt idx="923">
                  <c:v>44996</c:v>
                </c:pt>
                <c:pt idx="924">
                  <c:v>44995</c:v>
                </c:pt>
                <c:pt idx="925">
                  <c:v>44994</c:v>
                </c:pt>
                <c:pt idx="926">
                  <c:v>44993</c:v>
                </c:pt>
                <c:pt idx="927">
                  <c:v>44992</c:v>
                </c:pt>
                <c:pt idx="928">
                  <c:v>44991</c:v>
                </c:pt>
                <c:pt idx="929">
                  <c:v>44990</c:v>
                </c:pt>
                <c:pt idx="930">
                  <c:v>44989</c:v>
                </c:pt>
                <c:pt idx="931">
                  <c:v>44988</c:v>
                </c:pt>
                <c:pt idx="932">
                  <c:v>44987</c:v>
                </c:pt>
                <c:pt idx="933">
                  <c:v>44986</c:v>
                </c:pt>
                <c:pt idx="934">
                  <c:v>44985</c:v>
                </c:pt>
                <c:pt idx="935">
                  <c:v>44984</c:v>
                </c:pt>
                <c:pt idx="936">
                  <c:v>44983</c:v>
                </c:pt>
                <c:pt idx="937">
                  <c:v>44982</c:v>
                </c:pt>
                <c:pt idx="938">
                  <c:v>44981</c:v>
                </c:pt>
                <c:pt idx="939">
                  <c:v>44980</c:v>
                </c:pt>
                <c:pt idx="940">
                  <c:v>44979</c:v>
                </c:pt>
                <c:pt idx="941">
                  <c:v>44978</c:v>
                </c:pt>
                <c:pt idx="942">
                  <c:v>44977</c:v>
                </c:pt>
                <c:pt idx="943">
                  <c:v>44976</c:v>
                </c:pt>
                <c:pt idx="944">
                  <c:v>44975</c:v>
                </c:pt>
                <c:pt idx="945">
                  <c:v>44974</c:v>
                </c:pt>
                <c:pt idx="946">
                  <c:v>44973</c:v>
                </c:pt>
                <c:pt idx="947">
                  <c:v>44972</c:v>
                </c:pt>
                <c:pt idx="948">
                  <c:v>44971</c:v>
                </c:pt>
                <c:pt idx="949">
                  <c:v>44970</c:v>
                </c:pt>
                <c:pt idx="950">
                  <c:v>44969</c:v>
                </c:pt>
                <c:pt idx="951">
                  <c:v>44968</c:v>
                </c:pt>
                <c:pt idx="952">
                  <c:v>44967</c:v>
                </c:pt>
                <c:pt idx="953">
                  <c:v>44966</c:v>
                </c:pt>
                <c:pt idx="954">
                  <c:v>44965</c:v>
                </c:pt>
                <c:pt idx="955">
                  <c:v>44964</c:v>
                </c:pt>
                <c:pt idx="956">
                  <c:v>44963</c:v>
                </c:pt>
                <c:pt idx="957">
                  <c:v>44962</c:v>
                </c:pt>
                <c:pt idx="958">
                  <c:v>44961</c:v>
                </c:pt>
                <c:pt idx="959">
                  <c:v>44960</c:v>
                </c:pt>
                <c:pt idx="960">
                  <c:v>44959</c:v>
                </c:pt>
                <c:pt idx="961">
                  <c:v>44958</c:v>
                </c:pt>
                <c:pt idx="962">
                  <c:v>44957</c:v>
                </c:pt>
                <c:pt idx="963">
                  <c:v>44956</c:v>
                </c:pt>
                <c:pt idx="964">
                  <c:v>44955</c:v>
                </c:pt>
                <c:pt idx="965">
                  <c:v>44954</c:v>
                </c:pt>
                <c:pt idx="966">
                  <c:v>44953</c:v>
                </c:pt>
                <c:pt idx="967">
                  <c:v>44952</c:v>
                </c:pt>
                <c:pt idx="968">
                  <c:v>44951</c:v>
                </c:pt>
                <c:pt idx="969">
                  <c:v>44950</c:v>
                </c:pt>
                <c:pt idx="970">
                  <c:v>44949</c:v>
                </c:pt>
                <c:pt idx="971">
                  <c:v>44948</c:v>
                </c:pt>
                <c:pt idx="972">
                  <c:v>44947</c:v>
                </c:pt>
                <c:pt idx="973">
                  <c:v>44946</c:v>
                </c:pt>
                <c:pt idx="974">
                  <c:v>44945</c:v>
                </c:pt>
                <c:pt idx="975">
                  <c:v>44944</c:v>
                </c:pt>
                <c:pt idx="976">
                  <c:v>44943</c:v>
                </c:pt>
                <c:pt idx="977">
                  <c:v>44942</c:v>
                </c:pt>
                <c:pt idx="978">
                  <c:v>44941</c:v>
                </c:pt>
                <c:pt idx="979">
                  <c:v>44940</c:v>
                </c:pt>
                <c:pt idx="980">
                  <c:v>44939</c:v>
                </c:pt>
                <c:pt idx="981">
                  <c:v>44938</c:v>
                </c:pt>
                <c:pt idx="982">
                  <c:v>44937</c:v>
                </c:pt>
                <c:pt idx="983">
                  <c:v>44936</c:v>
                </c:pt>
                <c:pt idx="984">
                  <c:v>44935</c:v>
                </c:pt>
                <c:pt idx="985">
                  <c:v>44934</c:v>
                </c:pt>
                <c:pt idx="986">
                  <c:v>44933</c:v>
                </c:pt>
                <c:pt idx="987">
                  <c:v>44932</c:v>
                </c:pt>
                <c:pt idx="988">
                  <c:v>44931</c:v>
                </c:pt>
                <c:pt idx="989">
                  <c:v>44930</c:v>
                </c:pt>
                <c:pt idx="990">
                  <c:v>44929</c:v>
                </c:pt>
                <c:pt idx="991">
                  <c:v>44928</c:v>
                </c:pt>
                <c:pt idx="992">
                  <c:v>44927</c:v>
                </c:pt>
                <c:pt idx="993">
                  <c:v>44926</c:v>
                </c:pt>
                <c:pt idx="994">
                  <c:v>44925</c:v>
                </c:pt>
                <c:pt idx="995">
                  <c:v>44924</c:v>
                </c:pt>
                <c:pt idx="996">
                  <c:v>44923</c:v>
                </c:pt>
                <c:pt idx="997">
                  <c:v>44922</c:v>
                </c:pt>
                <c:pt idx="998">
                  <c:v>44921</c:v>
                </c:pt>
                <c:pt idx="999">
                  <c:v>44920</c:v>
                </c:pt>
                <c:pt idx="1000">
                  <c:v>44919</c:v>
                </c:pt>
                <c:pt idx="1001">
                  <c:v>44918</c:v>
                </c:pt>
                <c:pt idx="1002">
                  <c:v>44917</c:v>
                </c:pt>
                <c:pt idx="1003">
                  <c:v>44916</c:v>
                </c:pt>
                <c:pt idx="1004">
                  <c:v>44915</c:v>
                </c:pt>
                <c:pt idx="1005">
                  <c:v>44914</c:v>
                </c:pt>
                <c:pt idx="1006">
                  <c:v>44913</c:v>
                </c:pt>
                <c:pt idx="1007">
                  <c:v>44912</c:v>
                </c:pt>
                <c:pt idx="1008">
                  <c:v>44911</c:v>
                </c:pt>
                <c:pt idx="1009">
                  <c:v>44910</c:v>
                </c:pt>
                <c:pt idx="1010">
                  <c:v>44909</c:v>
                </c:pt>
                <c:pt idx="1011">
                  <c:v>44908</c:v>
                </c:pt>
                <c:pt idx="1012">
                  <c:v>44907</c:v>
                </c:pt>
                <c:pt idx="1013">
                  <c:v>44906</c:v>
                </c:pt>
                <c:pt idx="1014">
                  <c:v>44905</c:v>
                </c:pt>
                <c:pt idx="1015">
                  <c:v>44904</c:v>
                </c:pt>
                <c:pt idx="1016">
                  <c:v>44903</c:v>
                </c:pt>
                <c:pt idx="1017">
                  <c:v>44902</c:v>
                </c:pt>
                <c:pt idx="1018">
                  <c:v>44901</c:v>
                </c:pt>
                <c:pt idx="1019">
                  <c:v>44900</c:v>
                </c:pt>
                <c:pt idx="1020">
                  <c:v>44899</c:v>
                </c:pt>
                <c:pt idx="1021">
                  <c:v>44898</c:v>
                </c:pt>
                <c:pt idx="1022">
                  <c:v>44897</c:v>
                </c:pt>
                <c:pt idx="1023">
                  <c:v>44896</c:v>
                </c:pt>
                <c:pt idx="1024">
                  <c:v>44895</c:v>
                </c:pt>
                <c:pt idx="1025">
                  <c:v>44894</c:v>
                </c:pt>
                <c:pt idx="1026">
                  <c:v>44893</c:v>
                </c:pt>
                <c:pt idx="1027">
                  <c:v>44892</c:v>
                </c:pt>
                <c:pt idx="1028">
                  <c:v>44891</c:v>
                </c:pt>
                <c:pt idx="1029">
                  <c:v>44890</c:v>
                </c:pt>
                <c:pt idx="1030">
                  <c:v>44889</c:v>
                </c:pt>
                <c:pt idx="1031">
                  <c:v>44888</c:v>
                </c:pt>
                <c:pt idx="1032">
                  <c:v>44887</c:v>
                </c:pt>
                <c:pt idx="1033">
                  <c:v>44886</c:v>
                </c:pt>
                <c:pt idx="1034">
                  <c:v>44885</c:v>
                </c:pt>
                <c:pt idx="1035">
                  <c:v>44884</c:v>
                </c:pt>
                <c:pt idx="1036">
                  <c:v>44883</c:v>
                </c:pt>
                <c:pt idx="1037">
                  <c:v>44882</c:v>
                </c:pt>
                <c:pt idx="1038">
                  <c:v>44881</c:v>
                </c:pt>
                <c:pt idx="1039">
                  <c:v>44880</c:v>
                </c:pt>
                <c:pt idx="1040">
                  <c:v>44879</c:v>
                </c:pt>
                <c:pt idx="1041">
                  <c:v>44878</c:v>
                </c:pt>
                <c:pt idx="1042">
                  <c:v>44877</c:v>
                </c:pt>
                <c:pt idx="1043">
                  <c:v>44876</c:v>
                </c:pt>
                <c:pt idx="1044">
                  <c:v>44875</c:v>
                </c:pt>
              </c:numCache>
            </c:numRef>
          </c:cat>
          <c:val>
            <c:numRef>
              <c:f>'Stock Data'!$AO$4:$AO$1048</c:f>
              <c:numCache>
                <c:formatCode>#,##0.00_);\(#,##0.00\)</c:formatCode>
                <c:ptCount val="1045"/>
                <c:pt idx="0">
                  <c:v>372</c:v>
                </c:pt>
                <c:pt idx="1">
                  <c:v>1477595</c:v>
                </c:pt>
                <c:pt idx="2">
                  <c:v>1465197</c:v>
                </c:pt>
                <c:pt idx="3">
                  <c:v>1465197</c:v>
                </c:pt>
                <c:pt idx="4">
                  <c:v>1465197</c:v>
                </c:pt>
                <c:pt idx="5">
                  <c:v>1449229</c:v>
                </c:pt>
                <c:pt idx="6">
                  <c:v>1541829</c:v>
                </c:pt>
                <c:pt idx="7">
                  <c:v>1645554</c:v>
                </c:pt>
                <c:pt idx="8">
                  <c:v>1373187</c:v>
                </c:pt>
                <c:pt idx="9">
                  <c:v>1373187</c:v>
                </c:pt>
                <c:pt idx="10">
                  <c:v>1373187</c:v>
                </c:pt>
                <c:pt idx="11">
                  <c:v>1373187</c:v>
                </c:pt>
                <c:pt idx="12">
                  <c:v>1386030</c:v>
                </c:pt>
                <c:pt idx="13">
                  <c:v>1294214</c:v>
                </c:pt>
                <c:pt idx="14">
                  <c:v>2051502</c:v>
                </c:pt>
                <c:pt idx="15">
                  <c:v>985189</c:v>
                </c:pt>
                <c:pt idx="16">
                  <c:v>1890334</c:v>
                </c:pt>
                <c:pt idx="17">
                  <c:v>1890334</c:v>
                </c:pt>
                <c:pt idx="18">
                  <c:v>1890334</c:v>
                </c:pt>
                <c:pt idx="19">
                  <c:v>1026288</c:v>
                </c:pt>
                <c:pt idx="20">
                  <c:v>1282792</c:v>
                </c:pt>
                <c:pt idx="21">
                  <c:v>1248122</c:v>
                </c:pt>
                <c:pt idx="22">
                  <c:v>1154395</c:v>
                </c:pt>
                <c:pt idx="23">
                  <c:v>1501663</c:v>
                </c:pt>
                <c:pt idx="24">
                  <c:v>1501663</c:v>
                </c:pt>
                <c:pt idx="25">
                  <c:v>1501663</c:v>
                </c:pt>
                <c:pt idx="26">
                  <c:v>1733619</c:v>
                </c:pt>
                <c:pt idx="27">
                  <c:v>1890577</c:v>
                </c:pt>
                <c:pt idx="28">
                  <c:v>1493389</c:v>
                </c:pt>
                <c:pt idx="29">
                  <c:v>1462070</c:v>
                </c:pt>
                <c:pt idx="30">
                  <c:v>1478047</c:v>
                </c:pt>
                <c:pt idx="31">
                  <c:v>1478047</c:v>
                </c:pt>
                <c:pt idx="32">
                  <c:v>1478047</c:v>
                </c:pt>
                <c:pt idx="33">
                  <c:v>1490332</c:v>
                </c:pt>
                <c:pt idx="34">
                  <c:v>2032345</c:v>
                </c:pt>
                <c:pt idx="35">
                  <c:v>1643922</c:v>
                </c:pt>
                <c:pt idx="36">
                  <c:v>1548178</c:v>
                </c:pt>
                <c:pt idx="37">
                  <c:v>2006314</c:v>
                </c:pt>
                <c:pt idx="38">
                  <c:v>2006314</c:v>
                </c:pt>
                <c:pt idx="39">
                  <c:v>2006314</c:v>
                </c:pt>
                <c:pt idx="40">
                  <c:v>2178023</c:v>
                </c:pt>
                <c:pt idx="41">
                  <c:v>1632102</c:v>
                </c:pt>
                <c:pt idx="42">
                  <c:v>2428781</c:v>
                </c:pt>
                <c:pt idx="43">
                  <c:v>2423723</c:v>
                </c:pt>
                <c:pt idx="44">
                  <c:v>2461751</c:v>
                </c:pt>
                <c:pt idx="45">
                  <c:v>2461751</c:v>
                </c:pt>
                <c:pt idx="46">
                  <c:v>2461751</c:v>
                </c:pt>
                <c:pt idx="47">
                  <c:v>3083942</c:v>
                </c:pt>
                <c:pt idx="48">
                  <c:v>4578552</c:v>
                </c:pt>
                <c:pt idx="49">
                  <c:v>8886507</c:v>
                </c:pt>
                <c:pt idx="50">
                  <c:v>1577788</c:v>
                </c:pt>
                <c:pt idx="51">
                  <c:v>1845269</c:v>
                </c:pt>
                <c:pt idx="52">
                  <c:v>1845269</c:v>
                </c:pt>
                <c:pt idx="53">
                  <c:v>1845269</c:v>
                </c:pt>
                <c:pt idx="54">
                  <c:v>926150</c:v>
                </c:pt>
                <c:pt idx="55">
                  <c:v>935241</c:v>
                </c:pt>
                <c:pt idx="56">
                  <c:v>1039511</c:v>
                </c:pt>
                <c:pt idx="57">
                  <c:v>1488005</c:v>
                </c:pt>
                <c:pt idx="58">
                  <c:v>1209186</c:v>
                </c:pt>
                <c:pt idx="59">
                  <c:v>1209186</c:v>
                </c:pt>
                <c:pt idx="60">
                  <c:v>1209186</c:v>
                </c:pt>
                <c:pt idx="61">
                  <c:v>1255293</c:v>
                </c:pt>
                <c:pt idx="62">
                  <c:v>892696</c:v>
                </c:pt>
                <c:pt idx="63">
                  <c:v>1242958</c:v>
                </c:pt>
                <c:pt idx="64">
                  <c:v>1224120</c:v>
                </c:pt>
                <c:pt idx="65">
                  <c:v>707859</c:v>
                </c:pt>
                <c:pt idx="66">
                  <c:v>707859</c:v>
                </c:pt>
                <c:pt idx="67">
                  <c:v>707859</c:v>
                </c:pt>
                <c:pt idx="68">
                  <c:v>707859</c:v>
                </c:pt>
                <c:pt idx="69">
                  <c:v>1127591</c:v>
                </c:pt>
                <c:pt idx="70">
                  <c:v>1242775</c:v>
                </c:pt>
                <c:pt idx="71">
                  <c:v>1205616</c:v>
                </c:pt>
                <c:pt idx="72">
                  <c:v>1996362</c:v>
                </c:pt>
                <c:pt idx="73">
                  <c:v>1996362</c:v>
                </c:pt>
                <c:pt idx="74">
                  <c:v>1996362</c:v>
                </c:pt>
                <c:pt idx="75">
                  <c:v>1590105</c:v>
                </c:pt>
                <c:pt idx="76">
                  <c:v>1265509</c:v>
                </c:pt>
                <c:pt idx="77">
                  <c:v>1970232</c:v>
                </c:pt>
                <c:pt idx="78">
                  <c:v>2666358</c:v>
                </c:pt>
                <c:pt idx="79">
                  <c:v>2419367</c:v>
                </c:pt>
                <c:pt idx="80">
                  <c:v>2419367</c:v>
                </c:pt>
                <c:pt idx="81">
                  <c:v>2419367</c:v>
                </c:pt>
                <c:pt idx="82">
                  <c:v>1871162</c:v>
                </c:pt>
                <c:pt idx="83">
                  <c:v>1871162</c:v>
                </c:pt>
                <c:pt idx="84">
                  <c:v>2191204</c:v>
                </c:pt>
                <c:pt idx="85">
                  <c:v>2766611</c:v>
                </c:pt>
                <c:pt idx="86">
                  <c:v>2729692</c:v>
                </c:pt>
                <c:pt idx="87">
                  <c:v>2729692</c:v>
                </c:pt>
                <c:pt idx="88">
                  <c:v>2729692</c:v>
                </c:pt>
                <c:pt idx="89">
                  <c:v>1700596</c:v>
                </c:pt>
                <c:pt idx="90">
                  <c:v>3618239</c:v>
                </c:pt>
                <c:pt idx="91">
                  <c:v>1150649</c:v>
                </c:pt>
                <c:pt idx="92">
                  <c:v>1064298</c:v>
                </c:pt>
                <c:pt idx="93">
                  <c:v>714571</c:v>
                </c:pt>
                <c:pt idx="94">
                  <c:v>714571</c:v>
                </c:pt>
                <c:pt idx="95">
                  <c:v>714571</c:v>
                </c:pt>
                <c:pt idx="96">
                  <c:v>1063462</c:v>
                </c:pt>
                <c:pt idx="97">
                  <c:v>1274033</c:v>
                </c:pt>
                <c:pt idx="98">
                  <c:v>1032298</c:v>
                </c:pt>
                <c:pt idx="99">
                  <c:v>1154508</c:v>
                </c:pt>
                <c:pt idx="100">
                  <c:v>2196347</c:v>
                </c:pt>
                <c:pt idx="101">
                  <c:v>2196347</c:v>
                </c:pt>
                <c:pt idx="102">
                  <c:v>2196347</c:v>
                </c:pt>
                <c:pt idx="103">
                  <c:v>851603</c:v>
                </c:pt>
                <c:pt idx="104">
                  <c:v>956931</c:v>
                </c:pt>
                <c:pt idx="105">
                  <c:v>1548007</c:v>
                </c:pt>
                <c:pt idx="106">
                  <c:v>866694</c:v>
                </c:pt>
                <c:pt idx="107">
                  <c:v>866694</c:v>
                </c:pt>
                <c:pt idx="108">
                  <c:v>866694</c:v>
                </c:pt>
                <c:pt idx="109">
                  <c:v>866694</c:v>
                </c:pt>
                <c:pt idx="110">
                  <c:v>885138</c:v>
                </c:pt>
                <c:pt idx="111">
                  <c:v>1435110</c:v>
                </c:pt>
                <c:pt idx="112">
                  <c:v>1058518</c:v>
                </c:pt>
                <c:pt idx="113">
                  <c:v>1200022</c:v>
                </c:pt>
                <c:pt idx="114">
                  <c:v>1319203</c:v>
                </c:pt>
                <c:pt idx="115">
                  <c:v>1319203</c:v>
                </c:pt>
                <c:pt idx="116">
                  <c:v>1319203</c:v>
                </c:pt>
                <c:pt idx="117">
                  <c:v>1758661</c:v>
                </c:pt>
                <c:pt idx="118">
                  <c:v>2129688</c:v>
                </c:pt>
                <c:pt idx="119">
                  <c:v>1859414</c:v>
                </c:pt>
                <c:pt idx="120">
                  <c:v>1364863</c:v>
                </c:pt>
                <c:pt idx="121">
                  <c:v>979219</c:v>
                </c:pt>
                <c:pt idx="122">
                  <c:v>979219</c:v>
                </c:pt>
                <c:pt idx="123">
                  <c:v>979219</c:v>
                </c:pt>
                <c:pt idx="124">
                  <c:v>1093134</c:v>
                </c:pt>
                <c:pt idx="125">
                  <c:v>1204634</c:v>
                </c:pt>
                <c:pt idx="126">
                  <c:v>1135393</c:v>
                </c:pt>
                <c:pt idx="127">
                  <c:v>1150283</c:v>
                </c:pt>
                <c:pt idx="128">
                  <c:v>2090480</c:v>
                </c:pt>
                <c:pt idx="129">
                  <c:v>2090480</c:v>
                </c:pt>
                <c:pt idx="130">
                  <c:v>2090480</c:v>
                </c:pt>
                <c:pt idx="131">
                  <c:v>986353</c:v>
                </c:pt>
                <c:pt idx="132">
                  <c:v>1095139</c:v>
                </c:pt>
                <c:pt idx="133">
                  <c:v>897221</c:v>
                </c:pt>
                <c:pt idx="134">
                  <c:v>1159942</c:v>
                </c:pt>
                <c:pt idx="135">
                  <c:v>1521687</c:v>
                </c:pt>
                <c:pt idx="136">
                  <c:v>1521687</c:v>
                </c:pt>
                <c:pt idx="137">
                  <c:v>1521687</c:v>
                </c:pt>
                <c:pt idx="138">
                  <c:v>1105038</c:v>
                </c:pt>
                <c:pt idx="139">
                  <c:v>1352902</c:v>
                </c:pt>
                <c:pt idx="140">
                  <c:v>2877958</c:v>
                </c:pt>
                <c:pt idx="141">
                  <c:v>1532920</c:v>
                </c:pt>
                <c:pt idx="142">
                  <c:v>3052804</c:v>
                </c:pt>
                <c:pt idx="143">
                  <c:v>3052804</c:v>
                </c:pt>
                <c:pt idx="144">
                  <c:v>3052804</c:v>
                </c:pt>
                <c:pt idx="145">
                  <c:v>3052804</c:v>
                </c:pt>
                <c:pt idx="146">
                  <c:v>1530125</c:v>
                </c:pt>
                <c:pt idx="147">
                  <c:v>1224466</c:v>
                </c:pt>
                <c:pt idx="148">
                  <c:v>1079637</c:v>
                </c:pt>
                <c:pt idx="149">
                  <c:v>1452289</c:v>
                </c:pt>
                <c:pt idx="150">
                  <c:v>1452289</c:v>
                </c:pt>
                <c:pt idx="151">
                  <c:v>1452289</c:v>
                </c:pt>
                <c:pt idx="152">
                  <c:v>1832891</c:v>
                </c:pt>
                <c:pt idx="153">
                  <c:v>2291550</c:v>
                </c:pt>
                <c:pt idx="154">
                  <c:v>2151484</c:v>
                </c:pt>
                <c:pt idx="155">
                  <c:v>1968379</c:v>
                </c:pt>
                <c:pt idx="156">
                  <c:v>2392742</c:v>
                </c:pt>
                <c:pt idx="157">
                  <c:v>2392742</c:v>
                </c:pt>
                <c:pt idx="158">
                  <c:v>2392742</c:v>
                </c:pt>
                <c:pt idx="159">
                  <c:v>1814160</c:v>
                </c:pt>
                <c:pt idx="160">
                  <c:v>1270320</c:v>
                </c:pt>
                <c:pt idx="161">
                  <c:v>1042421</c:v>
                </c:pt>
                <c:pt idx="162">
                  <c:v>1690178</c:v>
                </c:pt>
                <c:pt idx="163">
                  <c:v>1595839</c:v>
                </c:pt>
                <c:pt idx="164">
                  <c:v>1595839</c:v>
                </c:pt>
                <c:pt idx="165">
                  <c:v>1595839</c:v>
                </c:pt>
                <c:pt idx="166">
                  <c:v>1559606</c:v>
                </c:pt>
                <c:pt idx="167">
                  <c:v>1349944</c:v>
                </c:pt>
                <c:pt idx="168">
                  <c:v>1600166</c:v>
                </c:pt>
                <c:pt idx="169">
                  <c:v>3015364</c:v>
                </c:pt>
                <c:pt idx="170">
                  <c:v>7141725</c:v>
                </c:pt>
                <c:pt idx="171">
                  <c:v>7141725</c:v>
                </c:pt>
                <c:pt idx="172">
                  <c:v>7141725</c:v>
                </c:pt>
                <c:pt idx="173">
                  <c:v>922084</c:v>
                </c:pt>
                <c:pt idx="174">
                  <c:v>1122652</c:v>
                </c:pt>
                <c:pt idx="175">
                  <c:v>881956</c:v>
                </c:pt>
                <c:pt idx="176">
                  <c:v>1051563</c:v>
                </c:pt>
                <c:pt idx="177">
                  <c:v>972659</c:v>
                </c:pt>
                <c:pt idx="178">
                  <c:v>972659</c:v>
                </c:pt>
                <c:pt idx="179">
                  <c:v>972659</c:v>
                </c:pt>
                <c:pt idx="180">
                  <c:v>1159511</c:v>
                </c:pt>
                <c:pt idx="181">
                  <c:v>1271506</c:v>
                </c:pt>
                <c:pt idx="182">
                  <c:v>1457086</c:v>
                </c:pt>
                <c:pt idx="183">
                  <c:v>2284410</c:v>
                </c:pt>
                <c:pt idx="184">
                  <c:v>2169135</c:v>
                </c:pt>
                <c:pt idx="185">
                  <c:v>2169135</c:v>
                </c:pt>
                <c:pt idx="186">
                  <c:v>2169135</c:v>
                </c:pt>
                <c:pt idx="187">
                  <c:v>1395779</c:v>
                </c:pt>
                <c:pt idx="188">
                  <c:v>2060073</c:v>
                </c:pt>
                <c:pt idx="189">
                  <c:v>2268654</c:v>
                </c:pt>
                <c:pt idx="190">
                  <c:v>1579417</c:v>
                </c:pt>
                <c:pt idx="191">
                  <c:v>1433568</c:v>
                </c:pt>
                <c:pt idx="192">
                  <c:v>1433568</c:v>
                </c:pt>
                <c:pt idx="193">
                  <c:v>1433568</c:v>
                </c:pt>
                <c:pt idx="194">
                  <c:v>1458062</c:v>
                </c:pt>
                <c:pt idx="195">
                  <c:v>1467161</c:v>
                </c:pt>
                <c:pt idx="196">
                  <c:v>1715745</c:v>
                </c:pt>
                <c:pt idx="197">
                  <c:v>1946160</c:v>
                </c:pt>
                <c:pt idx="198">
                  <c:v>1652401</c:v>
                </c:pt>
                <c:pt idx="199">
                  <c:v>1652401</c:v>
                </c:pt>
                <c:pt idx="200">
                  <c:v>1652401</c:v>
                </c:pt>
                <c:pt idx="201">
                  <c:v>1357981</c:v>
                </c:pt>
                <c:pt idx="202">
                  <c:v>2802115</c:v>
                </c:pt>
                <c:pt idx="203">
                  <c:v>2812914</c:v>
                </c:pt>
                <c:pt idx="204">
                  <c:v>3252806</c:v>
                </c:pt>
                <c:pt idx="205">
                  <c:v>3252806</c:v>
                </c:pt>
                <c:pt idx="206">
                  <c:v>3252806</c:v>
                </c:pt>
                <c:pt idx="207">
                  <c:v>3252806</c:v>
                </c:pt>
                <c:pt idx="208">
                  <c:v>2400020</c:v>
                </c:pt>
                <c:pt idx="209">
                  <c:v>1283227</c:v>
                </c:pt>
                <c:pt idx="210">
                  <c:v>906230</c:v>
                </c:pt>
                <c:pt idx="211">
                  <c:v>1427815</c:v>
                </c:pt>
                <c:pt idx="212">
                  <c:v>1347367</c:v>
                </c:pt>
                <c:pt idx="213">
                  <c:v>1347367</c:v>
                </c:pt>
                <c:pt idx="214">
                  <c:v>1347367</c:v>
                </c:pt>
                <c:pt idx="215">
                  <c:v>1292115</c:v>
                </c:pt>
                <c:pt idx="216">
                  <c:v>1139696</c:v>
                </c:pt>
                <c:pt idx="217">
                  <c:v>1234237</c:v>
                </c:pt>
                <c:pt idx="218">
                  <c:v>1476323</c:v>
                </c:pt>
                <c:pt idx="219">
                  <c:v>1474589</c:v>
                </c:pt>
                <c:pt idx="220">
                  <c:v>1474589</c:v>
                </c:pt>
                <c:pt idx="221">
                  <c:v>1474589</c:v>
                </c:pt>
                <c:pt idx="222">
                  <c:v>1911777</c:v>
                </c:pt>
                <c:pt idx="223">
                  <c:v>2396823</c:v>
                </c:pt>
                <c:pt idx="224">
                  <c:v>4023939</c:v>
                </c:pt>
                <c:pt idx="225">
                  <c:v>1948555</c:v>
                </c:pt>
                <c:pt idx="226">
                  <c:v>759695</c:v>
                </c:pt>
                <c:pt idx="227">
                  <c:v>759695</c:v>
                </c:pt>
                <c:pt idx="228">
                  <c:v>759695</c:v>
                </c:pt>
                <c:pt idx="229">
                  <c:v>913142</c:v>
                </c:pt>
                <c:pt idx="230">
                  <c:v>1325048</c:v>
                </c:pt>
                <c:pt idx="231">
                  <c:v>1615890</c:v>
                </c:pt>
                <c:pt idx="232">
                  <c:v>1337574</c:v>
                </c:pt>
                <c:pt idx="233">
                  <c:v>1337574</c:v>
                </c:pt>
                <c:pt idx="234">
                  <c:v>1337574</c:v>
                </c:pt>
                <c:pt idx="235">
                  <c:v>1337574</c:v>
                </c:pt>
                <c:pt idx="236">
                  <c:v>956516</c:v>
                </c:pt>
                <c:pt idx="237">
                  <c:v>882406</c:v>
                </c:pt>
                <c:pt idx="238">
                  <c:v>1162107</c:v>
                </c:pt>
                <c:pt idx="239">
                  <c:v>1435205</c:v>
                </c:pt>
                <c:pt idx="240">
                  <c:v>1127790</c:v>
                </c:pt>
                <c:pt idx="241">
                  <c:v>1127790</c:v>
                </c:pt>
                <c:pt idx="242">
                  <c:v>1127790</c:v>
                </c:pt>
                <c:pt idx="243">
                  <c:v>998673</c:v>
                </c:pt>
                <c:pt idx="244">
                  <c:v>998673</c:v>
                </c:pt>
                <c:pt idx="245">
                  <c:v>1276844</c:v>
                </c:pt>
                <c:pt idx="246">
                  <c:v>1698606</c:v>
                </c:pt>
                <c:pt idx="247">
                  <c:v>817601</c:v>
                </c:pt>
                <c:pt idx="248">
                  <c:v>817601</c:v>
                </c:pt>
                <c:pt idx="249">
                  <c:v>817601</c:v>
                </c:pt>
                <c:pt idx="250">
                  <c:v>953946</c:v>
                </c:pt>
                <c:pt idx="251">
                  <c:v>731985</c:v>
                </c:pt>
                <c:pt idx="252">
                  <c:v>731985</c:v>
                </c:pt>
                <c:pt idx="253">
                  <c:v>887811</c:v>
                </c:pt>
                <c:pt idx="254">
                  <c:v>820791</c:v>
                </c:pt>
                <c:pt idx="255">
                  <c:v>820791</c:v>
                </c:pt>
                <c:pt idx="256">
                  <c:v>820791</c:v>
                </c:pt>
                <c:pt idx="257">
                  <c:v>662456</c:v>
                </c:pt>
                <c:pt idx="258">
                  <c:v>375892</c:v>
                </c:pt>
                <c:pt idx="259">
                  <c:v>375892</c:v>
                </c:pt>
                <c:pt idx="260">
                  <c:v>1053854</c:v>
                </c:pt>
                <c:pt idx="261">
                  <c:v>3973490</c:v>
                </c:pt>
                <c:pt idx="262">
                  <c:v>3973490</c:v>
                </c:pt>
                <c:pt idx="263">
                  <c:v>3973490</c:v>
                </c:pt>
                <c:pt idx="264">
                  <c:v>1250426</c:v>
                </c:pt>
                <c:pt idx="265">
                  <c:v>1424702</c:v>
                </c:pt>
                <c:pt idx="266">
                  <c:v>1354504</c:v>
                </c:pt>
                <c:pt idx="267">
                  <c:v>1483720</c:v>
                </c:pt>
                <c:pt idx="268">
                  <c:v>990249</c:v>
                </c:pt>
                <c:pt idx="269">
                  <c:v>990249</c:v>
                </c:pt>
                <c:pt idx="270">
                  <c:v>990249</c:v>
                </c:pt>
                <c:pt idx="271">
                  <c:v>1863009</c:v>
                </c:pt>
                <c:pt idx="272">
                  <c:v>1307967</c:v>
                </c:pt>
                <c:pt idx="273">
                  <c:v>1178870</c:v>
                </c:pt>
                <c:pt idx="274">
                  <c:v>1170477</c:v>
                </c:pt>
                <c:pt idx="275">
                  <c:v>1285011</c:v>
                </c:pt>
                <c:pt idx="276">
                  <c:v>1285011</c:v>
                </c:pt>
                <c:pt idx="277">
                  <c:v>1285011</c:v>
                </c:pt>
                <c:pt idx="278">
                  <c:v>1113691</c:v>
                </c:pt>
                <c:pt idx="279">
                  <c:v>1543010</c:v>
                </c:pt>
                <c:pt idx="280">
                  <c:v>1188389</c:v>
                </c:pt>
                <c:pt idx="281">
                  <c:v>1115967</c:v>
                </c:pt>
                <c:pt idx="282">
                  <c:v>658246</c:v>
                </c:pt>
                <c:pt idx="283">
                  <c:v>658246</c:v>
                </c:pt>
                <c:pt idx="284">
                  <c:v>658246</c:v>
                </c:pt>
                <c:pt idx="285">
                  <c:v>890394</c:v>
                </c:pt>
                <c:pt idx="286">
                  <c:v>890394</c:v>
                </c:pt>
                <c:pt idx="287">
                  <c:v>1345788</c:v>
                </c:pt>
                <c:pt idx="288">
                  <c:v>3613491</c:v>
                </c:pt>
                <c:pt idx="289">
                  <c:v>1311155</c:v>
                </c:pt>
                <c:pt idx="290">
                  <c:v>1311155</c:v>
                </c:pt>
                <c:pt idx="291">
                  <c:v>1311155</c:v>
                </c:pt>
                <c:pt idx="292">
                  <c:v>1321954</c:v>
                </c:pt>
                <c:pt idx="293">
                  <c:v>994374</c:v>
                </c:pt>
                <c:pt idx="294">
                  <c:v>936050</c:v>
                </c:pt>
                <c:pt idx="295">
                  <c:v>1298755</c:v>
                </c:pt>
                <c:pt idx="296">
                  <c:v>1757312</c:v>
                </c:pt>
                <c:pt idx="297">
                  <c:v>1757312</c:v>
                </c:pt>
                <c:pt idx="298">
                  <c:v>1757312</c:v>
                </c:pt>
                <c:pt idx="299">
                  <c:v>1972732</c:v>
                </c:pt>
                <c:pt idx="300">
                  <c:v>1118648</c:v>
                </c:pt>
                <c:pt idx="301">
                  <c:v>1133912</c:v>
                </c:pt>
                <c:pt idx="302">
                  <c:v>1171364</c:v>
                </c:pt>
                <c:pt idx="303">
                  <c:v>1166089</c:v>
                </c:pt>
                <c:pt idx="304">
                  <c:v>1166089</c:v>
                </c:pt>
                <c:pt idx="305">
                  <c:v>1166089</c:v>
                </c:pt>
                <c:pt idx="306">
                  <c:v>818596</c:v>
                </c:pt>
                <c:pt idx="307">
                  <c:v>1751305</c:v>
                </c:pt>
                <c:pt idx="308">
                  <c:v>610142</c:v>
                </c:pt>
                <c:pt idx="309">
                  <c:v>827556</c:v>
                </c:pt>
                <c:pt idx="310">
                  <c:v>792756</c:v>
                </c:pt>
                <c:pt idx="311">
                  <c:v>792756</c:v>
                </c:pt>
                <c:pt idx="312">
                  <c:v>792756</c:v>
                </c:pt>
                <c:pt idx="313">
                  <c:v>1245472</c:v>
                </c:pt>
                <c:pt idx="314">
                  <c:v>1005163</c:v>
                </c:pt>
                <c:pt idx="315">
                  <c:v>1041740</c:v>
                </c:pt>
                <c:pt idx="316">
                  <c:v>1278667</c:v>
                </c:pt>
                <c:pt idx="317">
                  <c:v>1077563</c:v>
                </c:pt>
                <c:pt idx="318">
                  <c:v>1077563</c:v>
                </c:pt>
                <c:pt idx="319">
                  <c:v>1077563</c:v>
                </c:pt>
                <c:pt idx="320">
                  <c:v>1102782</c:v>
                </c:pt>
                <c:pt idx="321">
                  <c:v>1402177</c:v>
                </c:pt>
                <c:pt idx="322">
                  <c:v>2259193</c:v>
                </c:pt>
                <c:pt idx="323">
                  <c:v>1017480</c:v>
                </c:pt>
                <c:pt idx="324">
                  <c:v>864086</c:v>
                </c:pt>
                <c:pt idx="325">
                  <c:v>864086</c:v>
                </c:pt>
                <c:pt idx="326">
                  <c:v>864086</c:v>
                </c:pt>
                <c:pt idx="327">
                  <c:v>617493</c:v>
                </c:pt>
                <c:pt idx="328">
                  <c:v>549404</c:v>
                </c:pt>
                <c:pt idx="329">
                  <c:v>849839</c:v>
                </c:pt>
                <c:pt idx="330">
                  <c:v>562291</c:v>
                </c:pt>
                <c:pt idx="331">
                  <c:v>526025</c:v>
                </c:pt>
                <c:pt idx="332">
                  <c:v>526025</c:v>
                </c:pt>
                <c:pt idx="333">
                  <c:v>526025</c:v>
                </c:pt>
                <c:pt idx="334">
                  <c:v>853770</c:v>
                </c:pt>
                <c:pt idx="335">
                  <c:v>543837</c:v>
                </c:pt>
                <c:pt idx="336">
                  <c:v>571794</c:v>
                </c:pt>
                <c:pt idx="337">
                  <c:v>1102382</c:v>
                </c:pt>
                <c:pt idx="338">
                  <c:v>560051</c:v>
                </c:pt>
                <c:pt idx="339">
                  <c:v>560051</c:v>
                </c:pt>
                <c:pt idx="340">
                  <c:v>560051</c:v>
                </c:pt>
                <c:pt idx="341">
                  <c:v>856577</c:v>
                </c:pt>
                <c:pt idx="342">
                  <c:v>1192488</c:v>
                </c:pt>
                <c:pt idx="343">
                  <c:v>2356212</c:v>
                </c:pt>
                <c:pt idx="344">
                  <c:v>975501</c:v>
                </c:pt>
                <c:pt idx="345">
                  <c:v>848122</c:v>
                </c:pt>
                <c:pt idx="346">
                  <c:v>848122</c:v>
                </c:pt>
                <c:pt idx="347">
                  <c:v>848122</c:v>
                </c:pt>
                <c:pt idx="348">
                  <c:v>746294</c:v>
                </c:pt>
                <c:pt idx="349">
                  <c:v>844517</c:v>
                </c:pt>
                <c:pt idx="350">
                  <c:v>690123</c:v>
                </c:pt>
                <c:pt idx="351">
                  <c:v>884699</c:v>
                </c:pt>
                <c:pt idx="352">
                  <c:v>3794353</c:v>
                </c:pt>
                <c:pt idx="353">
                  <c:v>3794353</c:v>
                </c:pt>
                <c:pt idx="354">
                  <c:v>3794353</c:v>
                </c:pt>
                <c:pt idx="355">
                  <c:v>917669</c:v>
                </c:pt>
                <c:pt idx="356">
                  <c:v>731817</c:v>
                </c:pt>
                <c:pt idx="357">
                  <c:v>739890</c:v>
                </c:pt>
                <c:pt idx="358">
                  <c:v>597813</c:v>
                </c:pt>
                <c:pt idx="359">
                  <c:v>638809</c:v>
                </c:pt>
                <c:pt idx="360">
                  <c:v>638809</c:v>
                </c:pt>
                <c:pt idx="361">
                  <c:v>638809</c:v>
                </c:pt>
                <c:pt idx="362">
                  <c:v>739418</c:v>
                </c:pt>
                <c:pt idx="363">
                  <c:v>809242</c:v>
                </c:pt>
                <c:pt idx="364">
                  <c:v>756528</c:v>
                </c:pt>
                <c:pt idx="365">
                  <c:v>810168</c:v>
                </c:pt>
                <c:pt idx="366">
                  <c:v>976688</c:v>
                </c:pt>
                <c:pt idx="367">
                  <c:v>976688</c:v>
                </c:pt>
                <c:pt idx="368">
                  <c:v>976688</c:v>
                </c:pt>
                <c:pt idx="369">
                  <c:v>841029</c:v>
                </c:pt>
                <c:pt idx="370">
                  <c:v>941774</c:v>
                </c:pt>
                <c:pt idx="371">
                  <c:v>1267110</c:v>
                </c:pt>
                <c:pt idx="372">
                  <c:v>1082809</c:v>
                </c:pt>
                <c:pt idx="373">
                  <c:v>1082809</c:v>
                </c:pt>
                <c:pt idx="374">
                  <c:v>1082809</c:v>
                </c:pt>
                <c:pt idx="375">
                  <c:v>1082809</c:v>
                </c:pt>
                <c:pt idx="376">
                  <c:v>662462</c:v>
                </c:pt>
                <c:pt idx="377">
                  <c:v>829310</c:v>
                </c:pt>
                <c:pt idx="378">
                  <c:v>749831</c:v>
                </c:pt>
                <c:pt idx="379">
                  <c:v>795360</c:v>
                </c:pt>
                <c:pt idx="380">
                  <c:v>870355</c:v>
                </c:pt>
                <c:pt idx="381">
                  <c:v>870355</c:v>
                </c:pt>
                <c:pt idx="382">
                  <c:v>870355</c:v>
                </c:pt>
                <c:pt idx="383">
                  <c:v>774578</c:v>
                </c:pt>
                <c:pt idx="384">
                  <c:v>883062</c:v>
                </c:pt>
                <c:pt idx="385">
                  <c:v>972254</c:v>
                </c:pt>
                <c:pt idx="386">
                  <c:v>709735</c:v>
                </c:pt>
                <c:pt idx="387">
                  <c:v>912022</c:v>
                </c:pt>
                <c:pt idx="388">
                  <c:v>912022</c:v>
                </c:pt>
                <c:pt idx="389">
                  <c:v>912022</c:v>
                </c:pt>
                <c:pt idx="390">
                  <c:v>974590</c:v>
                </c:pt>
                <c:pt idx="391">
                  <c:v>796727</c:v>
                </c:pt>
                <c:pt idx="392">
                  <c:v>793610</c:v>
                </c:pt>
                <c:pt idx="393">
                  <c:v>793920</c:v>
                </c:pt>
                <c:pt idx="394">
                  <c:v>825286</c:v>
                </c:pt>
                <c:pt idx="395">
                  <c:v>825286</c:v>
                </c:pt>
                <c:pt idx="396">
                  <c:v>825286</c:v>
                </c:pt>
                <c:pt idx="397">
                  <c:v>846337</c:v>
                </c:pt>
                <c:pt idx="398">
                  <c:v>1306584</c:v>
                </c:pt>
                <c:pt idx="399">
                  <c:v>1033745</c:v>
                </c:pt>
                <c:pt idx="400">
                  <c:v>1683773</c:v>
                </c:pt>
                <c:pt idx="401">
                  <c:v>1484756</c:v>
                </c:pt>
                <c:pt idx="402">
                  <c:v>1484756</c:v>
                </c:pt>
                <c:pt idx="403">
                  <c:v>1484756</c:v>
                </c:pt>
                <c:pt idx="404">
                  <c:v>1271748</c:v>
                </c:pt>
                <c:pt idx="405">
                  <c:v>1481529</c:v>
                </c:pt>
                <c:pt idx="406">
                  <c:v>1234234</c:v>
                </c:pt>
                <c:pt idx="407">
                  <c:v>961345</c:v>
                </c:pt>
                <c:pt idx="408">
                  <c:v>1141310</c:v>
                </c:pt>
                <c:pt idx="409">
                  <c:v>1141310</c:v>
                </c:pt>
                <c:pt idx="410">
                  <c:v>1141310</c:v>
                </c:pt>
                <c:pt idx="411">
                  <c:v>1923901</c:v>
                </c:pt>
                <c:pt idx="412">
                  <c:v>2580066</c:v>
                </c:pt>
                <c:pt idx="413">
                  <c:v>2579132</c:v>
                </c:pt>
                <c:pt idx="414">
                  <c:v>881562</c:v>
                </c:pt>
                <c:pt idx="415">
                  <c:v>889361</c:v>
                </c:pt>
                <c:pt idx="416">
                  <c:v>889361</c:v>
                </c:pt>
                <c:pt idx="417">
                  <c:v>889361</c:v>
                </c:pt>
                <c:pt idx="418">
                  <c:v>981061</c:v>
                </c:pt>
                <c:pt idx="419">
                  <c:v>1123060</c:v>
                </c:pt>
                <c:pt idx="420">
                  <c:v>736547</c:v>
                </c:pt>
                <c:pt idx="421">
                  <c:v>783092</c:v>
                </c:pt>
                <c:pt idx="422">
                  <c:v>579436</c:v>
                </c:pt>
                <c:pt idx="423">
                  <c:v>579436</c:v>
                </c:pt>
                <c:pt idx="424">
                  <c:v>579436</c:v>
                </c:pt>
                <c:pt idx="425">
                  <c:v>1132976</c:v>
                </c:pt>
                <c:pt idx="426">
                  <c:v>655973</c:v>
                </c:pt>
                <c:pt idx="427">
                  <c:v>537209</c:v>
                </c:pt>
                <c:pt idx="428">
                  <c:v>447867</c:v>
                </c:pt>
                <c:pt idx="429">
                  <c:v>631595</c:v>
                </c:pt>
                <c:pt idx="430">
                  <c:v>631595</c:v>
                </c:pt>
                <c:pt idx="431">
                  <c:v>631595</c:v>
                </c:pt>
                <c:pt idx="432">
                  <c:v>313283</c:v>
                </c:pt>
                <c:pt idx="433">
                  <c:v>313283</c:v>
                </c:pt>
                <c:pt idx="434">
                  <c:v>502492</c:v>
                </c:pt>
                <c:pt idx="435">
                  <c:v>562562</c:v>
                </c:pt>
                <c:pt idx="436">
                  <c:v>3472549</c:v>
                </c:pt>
                <c:pt idx="437">
                  <c:v>3472549</c:v>
                </c:pt>
                <c:pt idx="438">
                  <c:v>3472549</c:v>
                </c:pt>
                <c:pt idx="439">
                  <c:v>871215</c:v>
                </c:pt>
                <c:pt idx="440">
                  <c:v>932061</c:v>
                </c:pt>
                <c:pt idx="441">
                  <c:v>715816</c:v>
                </c:pt>
                <c:pt idx="442">
                  <c:v>1031607</c:v>
                </c:pt>
                <c:pt idx="443">
                  <c:v>3365244</c:v>
                </c:pt>
                <c:pt idx="444">
                  <c:v>3365244</c:v>
                </c:pt>
                <c:pt idx="445">
                  <c:v>3365244</c:v>
                </c:pt>
                <c:pt idx="446">
                  <c:v>1041412</c:v>
                </c:pt>
                <c:pt idx="447">
                  <c:v>658084</c:v>
                </c:pt>
                <c:pt idx="448">
                  <c:v>658084</c:v>
                </c:pt>
                <c:pt idx="449">
                  <c:v>669784</c:v>
                </c:pt>
                <c:pt idx="450">
                  <c:v>702880</c:v>
                </c:pt>
                <c:pt idx="451">
                  <c:v>702880</c:v>
                </c:pt>
                <c:pt idx="452">
                  <c:v>702880</c:v>
                </c:pt>
                <c:pt idx="453">
                  <c:v>742025</c:v>
                </c:pt>
                <c:pt idx="454">
                  <c:v>1026596</c:v>
                </c:pt>
                <c:pt idx="455">
                  <c:v>908416</c:v>
                </c:pt>
                <c:pt idx="456">
                  <c:v>900460</c:v>
                </c:pt>
                <c:pt idx="457">
                  <c:v>1042800</c:v>
                </c:pt>
                <c:pt idx="458">
                  <c:v>1042800</c:v>
                </c:pt>
                <c:pt idx="459">
                  <c:v>1042800</c:v>
                </c:pt>
                <c:pt idx="460">
                  <c:v>768313</c:v>
                </c:pt>
                <c:pt idx="461">
                  <c:v>915412</c:v>
                </c:pt>
                <c:pt idx="462">
                  <c:v>845778</c:v>
                </c:pt>
                <c:pt idx="463">
                  <c:v>990132</c:v>
                </c:pt>
                <c:pt idx="464">
                  <c:v>1651560</c:v>
                </c:pt>
                <c:pt idx="465">
                  <c:v>1651560</c:v>
                </c:pt>
                <c:pt idx="466">
                  <c:v>1651560</c:v>
                </c:pt>
                <c:pt idx="467">
                  <c:v>1173703</c:v>
                </c:pt>
                <c:pt idx="468">
                  <c:v>1267964</c:v>
                </c:pt>
                <c:pt idx="469">
                  <c:v>1150758</c:v>
                </c:pt>
                <c:pt idx="470">
                  <c:v>513802</c:v>
                </c:pt>
                <c:pt idx="471">
                  <c:v>513802</c:v>
                </c:pt>
                <c:pt idx="472">
                  <c:v>513802</c:v>
                </c:pt>
                <c:pt idx="473">
                  <c:v>513802</c:v>
                </c:pt>
                <c:pt idx="474">
                  <c:v>866955</c:v>
                </c:pt>
                <c:pt idx="475">
                  <c:v>548809</c:v>
                </c:pt>
                <c:pt idx="476">
                  <c:v>558976</c:v>
                </c:pt>
                <c:pt idx="477">
                  <c:v>735291</c:v>
                </c:pt>
                <c:pt idx="478">
                  <c:v>677219</c:v>
                </c:pt>
                <c:pt idx="479">
                  <c:v>677219</c:v>
                </c:pt>
                <c:pt idx="480">
                  <c:v>677219</c:v>
                </c:pt>
                <c:pt idx="481">
                  <c:v>1130786</c:v>
                </c:pt>
                <c:pt idx="482">
                  <c:v>804062</c:v>
                </c:pt>
                <c:pt idx="483">
                  <c:v>565691</c:v>
                </c:pt>
                <c:pt idx="484">
                  <c:v>634358</c:v>
                </c:pt>
                <c:pt idx="485">
                  <c:v>482564</c:v>
                </c:pt>
                <c:pt idx="486">
                  <c:v>482564</c:v>
                </c:pt>
                <c:pt idx="487">
                  <c:v>482564</c:v>
                </c:pt>
                <c:pt idx="488">
                  <c:v>595046</c:v>
                </c:pt>
                <c:pt idx="489">
                  <c:v>599051</c:v>
                </c:pt>
                <c:pt idx="490">
                  <c:v>723436</c:v>
                </c:pt>
                <c:pt idx="491">
                  <c:v>796391</c:v>
                </c:pt>
                <c:pt idx="492">
                  <c:v>910781</c:v>
                </c:pt>
                <c:pt idx="493">
                  <c:v>910781</c:v>
                </c:pt>
                <c:pt idx="494">
                  <c:v>910781</c:v>
                </c:pt>
                <c:pt idx="495">
                  <c:v>1011394</c:v>
                </c:pt>
                <c:pt idx="496">
                  <c:v>995050</c:v>
                </c:pt>
                <c:pt idx="497">
                  <c:v>711757</c:v>
                </c:pt>
                <c:pt idx="498">
                  <c:v>951555</c:v>
                </c:pt>
                <c:pt idx="499">
                  <c:v>857964</c:v>
                </c:pt>
                <c:pt idx="500">
                  <c:v>857964</c:v>
                </c:pt>
                <c:pt idx="501">
                  <c:v>857964</c:v>
                </c:pt>
                <c:pt idx="502">
                  <c:v>927710</c:v>
                </c:pt>
                <c:pt idx="503">
                  <c:v>1018853</c:v>
                </c:pt>
                <c:pt idx="504">
                  <c:v>1789487</c:v>
                </c:pt>
                <c:pt idx="505">
                  <c:v>1820925</c:v>
                </c:pt>
                <c:pt idx="506">
                  <c:v>1388020</c:v>
                </c:pt>
                <c:pt idx="507">
                  <c:v>1388020</c:v>
                </c:pt>
                <c:pt idx="508">
                  <c:v>1388020</c:v>
                </c:pt>
                <c:pt idx="509">
                  <c:v>715044</c:v>
                </c:pt>
                <c:pt idx="510">
                  <c:v>848290</c:v>
                </c:pt>
                <c:pt idx="511">
                  <c:v>1452309</c:v>
                </c:pt>
                <c:pt idx="512">
                  <c:v>2442119</c:v>
                </c:pt>
                <c:pt idx="513">
                  <c:v>1251154</c:v>
                </c:pt>
                <c:pt idx="514">
                  <c:v>1251154</c:v>
                </c:pt>
                <c:pt idx="515">
                  <c:v>1251154</c:v>
                </c:pt>
                <c:pt idx="516">
                  <c:v>942782</c:v>
                </c:pt>
                <c:pt idx="517">
                  <c:v>1247755</c:v>
                </c:pt>
                <c:pt idx="518">
                  <c:v>842962</c:v>
                </c:pt>
                <c:pt idx="519">
                  <c:v>751180</c:v>
                </c:pt>
                <c:pt idx="520">
                  <c:v>892120</c:v>
                </c:pt>
                <c:pt idx="521">
                  <c:v>892120</c:v>
                </c:pt>
                <c:pt idx="522">
                  <c:v>892120</c:v>
                </c:pt>
                <c:pt idx="523">
                  <c:v>1398347</c:v>
                </c:pt>
                <c:pt idx="524">
                  <c:v>758767</c:v>
                </c:pt>
                <c:pt idx="525">
                  <c:v>837966</c:v>
                </c:pt>
                <c:pt idx="526">
                  <c:v>717234</c:v>
                </c:pt>
                <c:pt idx="527">
                  <c:v>1119541</c:v>
                </c:pt>
                <c:pt idx="528">
                  <c:v>1119541</c:v>
                </c:pt>
                <c:pt idx="529">
                  <c:v>1119541</c:v>
                </c:pt>
                <c:pt idx="530">
                  <c:v>1119541</c:v>
                </c:pt>
                <c:pt idx="531">
                  <c:v>1277694</c:v>
                </c:pt>
                <c:pt idx="532">
                  <c:v>766716</c:v>
                </c:pt>
                <c:pt idx="533">
                  <c:v>775124</c:v>
                </c:pt>
                <c:pt idx="534">
                  <c:v>1008295</c:v>
                </c:pt>
                <c:pt idx="535">
                  <c:v>1008295</c:v>
                </c:pt>
                <c:pt idx="536">
                  <c:v>1008295</c:v>
                </c:pt>
                <c:pt idx="537">
                  <c:v>912244</c:v>
                </c:pt>
                <c:pt idx="538">
                  <c:v>844995</c:v>
                </c:pt>
                <c:pt idx="539">
                  <c:v>898856</c:v>
                </c:pt>
                <c:pt idx="540">
                  <c:v>965427</c:v>
                </c:pt>
                <c:pt idx="541">
                  <c:v>5151336</c:v>
                </c:pt>
                <c:pt idx="542">
                  <c:v>5151336</c:v>
                </c:pt>
                <c:pt idx="543">
                  <c:v>5151336</c:v>
                </c:pt>
                <c:pt idx="544">
                  <c:v>1153598</c:v>
                </c:pt>
                <c:pt idx="545">
                  <c:v>987112</c:v>
                </c:pt>
                <c:pt idx="546">
                  <c:v>825086</c:v>
                </c:pt>
                <c:pt idx="547">
                  <c:v>950995</c:v>
                </c:pt>
                <c:pt idx="548">
                  <c:v>763168</c:v>
                </c:pt>
                <c:pt idx="549">
                  <c:v>763168</c:v>
                </c:pt>
                <c:pt idx="550">
                  <c:v>763168</c:v>
                </c:pt>
                <c:pt idx="551">
                  <c:v>1086001</c:v>
                </c:pt>
                <c:pt idx="552">
                  <c:v>775393</c:v>
                </c:pt>
                <c:pt idx="553">
                  <c:v>1038169</c:v>
                </c:pt>
                <c:pt idx="554">
                  <c:v>1271868</c:v>
                </c:pt>
                <c:pt idx="555">
                  <c:v>1059046</c:v>
                </c:pt>
                <c:pt idx="556">
                  <c:v>1059046</c:v>
                </c:pt>
                <c:pt idx="557">
                  <c:v>1059046</c:v>
                </c:pt>
                <c:pt idx="558">
                  <c:v>1503319</c:v>
                </c:pt>
                <c:pt idx="559">
                  <c:v>1029529</c:v>
                </c:pt>
                <c:pt idx="560">
                  <c:v>886991</c:v>
                </c:pt>
                <c:pt idx="561">
                  <c:v>980642</c:v>
                </c:pt>
                <c:pt idx="562">
                  <c:v>842229</c:v>
                </c:pt>
                <c:pt idx="563">
                  <c:v>842229</c:v>
                </c:pt>
                <c:pt idx="564">
                  <c:v>842229</c:v>
                </c:pt>
                <c:pt idx="565">
                  <c:v>1236978</c:v>
                </c:pt>
                <c:pt idx="566">
                  <c:v>970022</c:v>
                </c:pt>
                <c:pt idx="567">
                  <c:v>1364125</c:v>
                </c:pt>
                <c:pt idx="568">
                  <c:v>805983</c:v>
                </c:pt>
                <c:pt idx="569">
                  <c:v>805983</c:v>
                </c:pt>
                <c:pt idx="570">
                  <c:v>805983</c:v>
                </c:pt>
                <c:pt idx="571">
                  <c:v>805983</c:v>
                </c:pt>
                <c:pt idx="572">
                  <c:v>1136780</c:v>
                </c:pt>
                <c:pt idx="573">
                  <c:v>2503797</c:v>
                </c:pt>
                <c:pt idx="574">
                  <c:v>1089533</c:v>
                </c:pt>
                <c:pt idx="575">
                  <c:v>1007277</c:v>
                </c:pt>
                <c:pt idx="576">
                  <c:v>1038785</c:v>
                </c:pt>
                <c:pt idx="577">
                  <c:v>1038785</c:v>
                </c:pt>
                <c:pt idx="578">
                  <c:v>1038785</c:v>
                </c:pt>
                <c:pt idx="579">
                  <c:v>972223</c:v>
                </c:pt>
                <c:pt idx="580">
                  <c:v>980872</c:v>
                </c:pt>
                <c:pt idx="581">
                  <c:v>1065843</c:v>
                </c:pt>
                <c:pt idx="582">
                  <c:v>1379621</c:v>
                </c:pt>
                <c:pt idx="583">
                  <c:v>973880</c:v>
                </c:pt>
                <c:pt idx="584">
                  <c:v>973880</c:v>
                </c:pt>
                <c:pt idx="585">
                  <c:v>973880</c:v>
                </c:pt>
                <c:pt idx="586">
                  <c:v>1175196</c:v>
                </c:pt>
                <c:pt idx="587">
                  <c:v>1120062</c:v>
                </c:pt>
                <c:pt idx="588">
                  <c:v>1016375</c:v>
                </c:pt>
                <c:pt idx="589">
                  <c:v>1903320</c:v>
                </c:pt>
                <c:pt idx="590">
                  <c:v>1260544</c:v>
                </c:pt>
                <c:pt idx="591">
                  <c:v>1260544</c:v>
                </c:pt>
                <c:pt idx="592">
                  <c:v>1260544</c:v>
                </c:pt>
                <c:pt idx="593">
                  <c:v>1813860</c:v>
                </c:pt>
                <c:pt idx="594">
                  <c:v>1768872</c:v>
                </c:pt>
                <c:pt idx="595">
                  <c:v>3613453</c:v>
                </c:pt>
                <c:pt idx="596">
                  <c:v>1216791</c:v>
                </c:pt>
                <c:pt idx="597">
                  <c:v>866575</c:v>
                </c:pt>
                <c:pt idx="598">
                  <c:v>866575</c:v>
                </c:pt>
                <c:pt idx="599">
                  <c:v>866575</c:v>
                </c:pt>
                <c:pt idx="600">
                  <c:v>780470</c:v>
                </c:pt>
                <c:pt idx="601">
                  <c:v>920830</c:v>
                </c:pt>
                <c:pt idx="602">
                  <c:v>814920</c:v>
                </c:pt>
                <c:pt idx="603">
                  <c:v>966475</c:v>
                </c:pt>
                <c:pt idx="604">
                  <c:v>966475</c:v>
                </c:pt>
                <c:pt idx="605">
                  <c:v>966475</c:v>
                </c:pt>
                <c:pt idx="606">
                  <c:v>966475</c:v>
                </c:pt>
                <c:pt idx="607">
                  <c:v>784784</c:v>
                </c:pt>
                <c:pt idx="608">
                  <c:v>666085</c:v>
                </c:pt>
                <c:pt idx="609">
                  <c:v>733045</c:v>
                </c:pt>
                <c:pt idx="610">
                  <c:v>716216</c:v>
                </c:pt>
                <c:pt idx="611">
                  <c:v>705324</c:v>
                </c:pt>
                <c:pt idx="612">
                  <c:v>705324</c:v>
                </c:pt>
                <c:pt idx="613">
                  <c:v>705324</c:v>
                </c:pt>
                <c:pt idx="614">
                  <c:v>1087809</c:v>
                </c:pt>
                <c:pt idx="615">
                  <c:v>1174302</c:v>
                </c:pt>
                <c:pt idx="616">
                  <c:v>1206678</c:v>
                </c:pt>
                <c:pt idx="617">
                  <c:v>832537</c:v>
                </c:pt>
                <c:pt idx="618">
                  <c:v>832537</c:v>
                </c:pt>
                <c:pt idx="619">
                  <c:v>832537</c:v>
                </c:pt>
                <c:pt idx="620">
                  <c:v>832537</c:v>
                </c:pt>
                <c:pt idx="621">
                  <c:v>741854</c:v>
                </c:pt>
                <c:pt idx="622">
                  <c:v>699955</c:v>
                </c:pt>
                <c:pt idx="623">
                  <c:v>516985</c:v>
                </c:pt>
                <c:pt idx="624">
                  <c:v>623775</c:v>
                </c:pt>
                <c:pt idx="625">
                  <c:v>623775</c:v>
                </c:pt>
                <c:pt idx="626">
                  <c:v>623775</c:v>
                </c:pt>
                <c:pt idx="627">
                  <c:v>623775</c:v>
                </c:pt>
                <c:pt idx="628">
                  <c:v>637239</c:v>
                </c:pt>
                <c:pt idx="629">
                  <c:v>1306864</c:v>
                </c:pt>
                <c:pt idx="630">
                  <c:v>695031</c:v>
                </c:pt>
                <c:pt idx="631">
                  <c:v>1197385</c:v>
                </c:pt>
                <c:pt idx="632">
                  <c:v>3973469</c:v>
                </c:pt>
                <c:pt idx="633">
                  <c:v>3973469</c:v>
                </c:pt>
                <c:pt idx="634">
                  <c:v>3973469</c:v>
                </c:pt>
                <c:pt idx="635">
                  <c:v>1891203</c:v>
                </c:pt>
                <c:pt idx="636">
                  <c:v>1300265</c:v>
                </c:pt>
                <c:pt idx="637">
                  <c:v>1008242</c:v>
                </c:pt>
                <c:pt idx="638">
                  <c:v>1021581</c:v>
                </c:pt>
                <c:pt idx="639">
                  <c:v>761176</c:v>
                </c:pt>
                <c:pt idx="640">
                  <c:v>761176</c:v>
                </c:pt>
                <c:pt idx="641">
                  <c:v>761176</c:v>
                </c:pt>
                <c:pt idx="642">
                  <c:v>861191</c:v>
                </c:pt>
                <c:pt idx="643">
                  <c:v>864227</c:v>
                </c:pt>
                <c:pt idx="644">
                  <c:v>1055774</c:v>
                </c:pt>
                <c:pt idx="645">
                  <c:v>1265775</c:v>
                </c:pt>
                <c:pt idx="646">
                  <c:v>856928</c:v>
                </c:pt>
                <c:pt idx="647">
                  <c:v>856928</c:v>
                </c:pt>
                <c:pt idx="648">
                  <c:v>856928</c:v>
                </c:pt>
                <c:pt idx="649">
                  <c:v>1514694</c:v>
                </c:pt>
                <c:pt idx="650">
                  <c:v>1272912</c:v>
                </c:pt>
                <c:pt idx="651">
                  <c:v>1124950</c:v>
                </c:pt>
                <c:pt idx="652">
                  <c:v>1497004</c:v>
                </c:pt>
                <c:pt idx="653">
                  <c:v>326644</c:v>
                </c:pt>
                <c:pt idx="654">
                  <c:v>326644</c:v>
                </c:pt>
                <c:pt idx="655">
                  <c:v>326644</c:v>
                </c:pt>
                <c:pt idx="656">
                  <c:v>833765</c:v>
                </c:pt>
                <c:pt idx="657">
                  <c:v>833765</c:v>
                </c:pt>
                <c:pt idx="658">
                  <c:v>1177877</c:v>
                </c:pt>
                <c:pt idx="659">
                  <c:v>982113</c:v>
                </c:pt>
                <c:pt idx="660">
                  <c:v>898624</c:v>
                </c:pt>
                <c:pt idx="661">
                  <c:v>898624</c:v>
                </c:pt>
                <c:pt idx="662">
                  <c:v>898624</c:v>
                </c:pt>
                <c:pt idx="663">
                  <c:v>912979</c:v>
                </c:pt>
                <c:pt idx="664">
                  <c:v>1098462</c:v>
                </c:pt>
                <c:pt idx="665">
                  <c:v>1336811</c:v>
                </c:pt>
                <c:pt idx="666">
                  <c:v>1003947</c:v>
                </c:pt>
                <c:pt idx="667">
                  <c:v>1525619</c:v>
                </c:pt>
                <c:pt idx="668">
                  <c:v>1525619</c:v>
                </c:pt>
                <c:pt idx="669">
                  <c:v>1525619</c:v>
                </c:pt>
                <c:pt idx="670">
                  <c:v>1775623</c:v>
                </c:pt>
                <c:pt idx="671">
                  <c:v>1386408</c:v>
                </c:pt>
                <c:pt idx="672">
                  <c:v>1220143</c:v>
                </c:pt>
                <c:pt idx="673">
                  <c:v>1440995</c:v>
                </c:pt>
                <c:pt idx="674">
                  <c:v>1365625</c:v>
                </c:pt>
                <c:pt idx="675">
                  <c:v>1365625</c:v>
                </c:pt>
                <c:pt idx="676">
                  <c:v>1365625</c:v>
                </c:pt>
                <c:pt idx="677">
                  <c:v>1242239</c:v>
                </c:pt>
                <c:pt idx="678">
                  <c:v>1267032</c:v>
                </c:pt>
                <c:pt idx="679">
                  <c:v>1418804</c:v>
                </c:pt>
                <c:pt idx="680">
                  <c:v>948802</c:v>
                </c:pt>
                <c:pt idx="681">
                  <c:v>1288649</c:v>
                </c:pt>
                <c:pt idx="682">
                  <c:v>1288649</c:v>
                </c:pt>
                <c:pt idx="683">
                  <c:v>1288649</c:v>
                </c:pt>
                <c:pt idx="684">
                  <c:v>1432131</c:v>
                </c:pt>
                <c:pt idx="685">
                  <c:v>1228868</c:v>
                </c:pt>
                <c:pt idx="686">
                  <c:v>1367136</c:v>
                </c:pt>
                <c:pt idx="687">
                  <c:v>1502365</c:v>
                </c:pt>
                <c:pt idx="688">
                  <c:v>1715061</c:v>
                </c:pt>
                <c:pt idx="689">
                  <c:v>1715061</c:v>
                </c:pt>
                <c:pt idx="690">
                  <c:v>1715061</c:v>
                </c:pt>
                <c:pt idx="691">
                  <c:v>2012401</c:v>
                </c:pt>
                <c:pt idx="692">
                  <c:v>2024122</c:v>
                </c:pt>
                <c:pt idx="693">
                  <c:v>3103947</c:v>
                </c:pt>
                <c:pt idx="694">
                  <c:v>1931317</c:v>
                </c:pt>
                <c:pt idx="695">
                  <c:v>1520907</c:v>
                </c:pt>
                <c:pt idx="696">
                  <c:v>1520907</c:v>
                </c:pt>
                <c:pt idx="697">
                  <c:v>1520907</c:v>
                </c:pt>
                <c:pt idx="698">
                  <c:v>1122110</c:v>
                </c:pt>
                <c:pt idx="699">
                  <c:v>1419534</c:v>
                </c:pt>
                <c:pt idx="700">
                  <c:v>2626166</c:v>
                </c:pt>
                <c:pt idx="701">
                  <c:v>5343747</c:v>
                </c:pt>
                <c:pt idx="702">
                  <c:v>1135594</c:v>
                </c:pt>
                <c:pt idx="703">
                  <c:v>1135594</c:v>
                </c:pt>
                <c:pt idx="704">
                  <c:v>1135594</c:v>
                </c:pt>
                <c:pt idx="705">
                  <c:v>1162794</c:v>
                </c:pt>
                <c:pt idx="706">
                  <c:v>1243459</c:v>
                </c:pt>
                <c:pt idx="707">
                  <c:v>899181</c:v>
                </c:pt>
                <c:pt idx="708">
                  <c:v>733257</c:v>
                </c:pt>
                <c:pt idx="709">
                  <c:v>764063</c:v>
                </c:pt>
                <c:pt idx="710">
                  <c:v>764063</c:v>
                </c:pt>
                <c:pt idx="711">
                  <c:v>764063</c:v>
                </c:pt>
                <c:pt idx="712">
                  <c:v>819809</c:v>
                </c:pt>
                <c:pt idx="713">
                  <c:v>1317558</c:v>
                </c:pt>
                <c:pt idx="714">
                  <c:v>1107966</c:v>
                </c:pt>
                <c:pt idx="715">
                  <c:v>748376</c:v>
                </c:pt>
                <c:pt idx="716">
                  <c:v>1453371</c:v>
                </c:pt>
                <c:pt idx="717">
                  <c:v>1453371</c:v>
                </c:pt>
                <c:pt idx="718">
                  <c:v>1453371</c:v>
                </c:pt>
                <c:pt idx="719">
                  <c:v>1669759</c:v>
                </c:pt>
                <c:pt idx="720">
                  <c:v>1044263</c:v>
                </c:pt>
                <c:pt idx="721">
                  <c:v>862437</c:v>
                </c:pt>
                <c:pt idx="722">
                  <c:v>951207</c:v>
                </c:pt>
                <c:pt idx="723">
                  <c:v>1681583</c:v>
                </c:pt>
                <c:pt idx="724">
                  <c:v>1681583</c:v>
                </c:pt>
                <c:pt idx="725">
                  <c:v>1681583</c:v>
                </c:pt>
                <c:pt idx="726">
                  <c:v>992409</c:v>
                </c:pt>
                <c:pt idx="727">
                  <c:v>971568</c:v>
                </c:pt>
                <c:pt idx="728">
                  <c:v>1307739</c:v>
                </c:pt>
                <c:pt idx="729">
                  <c:v>1618480</c:v>
                </c:pt>
                <c:pt idx="730">
                  <c:v>1162522</c:v>
                </c:pt>
                <c:pt idx="731">
                  <c:v>1162522</c:v>
                </c:pt>
                <c:pt idx="732">
                  <c:v>1162522</c:v>
                </c:pt>
                <c:pt idx="733">
                  <c:v>1195778</c:v>
                </c:pt>
                <c:pt idx="734">
                  <c:v>2547965</c:v>
                </c:pt>
                <c:pt idx="735">
                  <c:v>854110</c:v>
                </c:pt>
                <c:pt idx="736">
                  <c:v>668746</c:v>
                </c:pt>
                <c:pt idx="737">
                  <c:v>668746</c:v>
                </c:pt>
                <c:pt idx="738">
                  <c:v>668746</c:v>
                </c:pt>
                <c:pt idx="739">
                  <c:v>668746</c:v>
                </c:pt>
                <c:pt idx="740">
                  <c:v>826499</c:v>
                </c:pt>
                <c:pt idx="741">
                  <c:v>876092</c:v>
                </c:pt>
                <c:pt idx="742">
                  <c:v>1053749</c:v>
                </c:pt>
                <c:pt idx="743">
                  <c:v>641013</c:v>
                </c:pt>
                <c:pt idx="744">
                  <c:v>785305</c:v>
                </c:pt>
                <c:pt idx="745">
                  <c:v>785305</c:v>
                </c:pt>
                <c:pt idx="746">
                  <c:v>785305</c:v>
                </c:pt>
                <c:pt idx="747">
                  <c:v>697790</c:v>
                </c:pt>
                <c:pt idx="748">
                  <c:v>1043311</c:v>
                </c:pt>
                <c:pt idx="749">
                  <c:v>671893</c:v>
                </c:pt>
                <c:pt idx="750">
                  <c:v>573502</c:v>
                </c:pt>
                <c:pt idx="751">
                  <c:v>1075714</c:v>
                </c:pt>
                <c:pt idx="752">
                  <c:v>1075714</c:v>
                </c:pt>
                <c:pt idx="753">
                  <c:v>1075714</c:v>
                </c:pt>
                <c:pt idx="754">
                  <c:v>635778</c:v>
                </c:pt>
                <c:pt idx="755">
                  <c:v>821965</c:v>
                </c:pt>
                <c:pt idx="756">
                  <c:v>725274</c:v>
                </c:pt>
                <c:pt idx="757">
                  <c:v>752307</c:v>
                </c:pt>
                <c:pt idx="758">
                  <c:v>690706</c:v>
                </c:pt>
                <c:pt idx="759">
                  <c:v>690706</c:v>
                </c:pt>
                <c:pt idx="760">
                  <c:v>690706</c:v>
                </c:pt>
                <c:pt idx="761">
                  <c:v>688916</c:v>
                </c:pt>
                <c:pt idx="762">
                  <c:v>1211810</c:v>
                </c:pt>
                <c:pt idx="763">
                  <c:v>791637</c:v>
                </c:pt>
                <c:pt idx="764">
                  <c:v>746803</c:v>
                </c:pt>
                <c:pt idx="765">
                  <c:v>846951</c:v>
                </c:pt>
                <c:pt idx="766">
                  <c:v>846951</c:v>
                </c:pt>
                <c:pt idx="767">
                  <c:v>846951</c:v>
                </c:pt>
                <c:pt idx="768">
                  <c:v>1240780</c:v>
                </c:pt>
                <c:pt idx="769">
                  <c:v>905975</c:v>
                </c:pt>
                <c:pt idx="770">
                  <c:v>1048012</c:v>
                </c:pt>
                <c:pt idx="771">
                  <c:v>1806448</c:v>
                </c:pt>
                <c:pt idx="772">
                  <c:v>1163175</c:v>
                </c:pt>
                <c:pt idx="773">
                  <c:v>1163175</c:v>
                </c:pt>
                <c:pt idx="774">
                  <c:v>1163175</c:v>
                </c:pt>
                <c:pt idx="775">
                  <c:v>1603778</c:v>
                </c:pt>
                <c:pt idx="776">
                  <c:v>1322292</c:v>
                </c:pt>
                <c:pt idx="777">
                  <c:v>1207812</c:v>
                </c:pt>
                <c:pt idx="778">
                  <c:v>892432</c:v>
                </c:pt>
                <c:pt idx="779">
                  <c:v>934414</c:v>
                </c:pt>
                <c:pt idx="780">
                  <c:v>934414</c:v>
                </c:pt>
                <c:pt idx="781">
                  <c:v>934414</c:v>
                </c:pt>
                <c:pt idx="782">
                  <c:v>1354029</c:v>
                </c:pt>
                <c:pt idx="783">
                  <c:v>2141500</c:v>
                </c:pt>
                <c:pt idx="784">
                  <c:v>3122613</c:v>
                </c:pt>
                <c:pt idx="785">
                  <c:v>1890261</c:v>
                </c:pt>
                <c:pt idx="786">
                  <c:v>933202</c:v>
                </c:pt>
                <c:pt idx="787">
                  <c:v>933202</c:v>
                </c:pt>
                <c:pt idx="788">
                  <c:v>933202</c:v>
                </c:pt>
                <c:pt idx="789">
                  <c:v>821864</c:v>
                </c:pt>
                <c:pt idx="790">
                  <c:v>1067254</c:v>
                </c:pt>
                <c:pt idx="791">
                  <c:v>709253</c:v>
                </c:pt>
                <c:pt idx="792">
                  <c:v>718374</c:v>
                </c:pt>
                <c:pt idx="793">
                  <c:v>642167</c:v>
                </c:pt>
                <c:pt idx="794">
                  <c:v>642167</c:v>
                </c:pt>
                <c:pt idx="795">
                  <c:v>642167</c:v>
                </c:pt>
                <c:pt idx="796">
                  <c:v>675968</c:v>
                </c:pt>
                <c:pt idx="797">
                  <c:v>625509</c:v>
                </c:pt>
                <c:pt idx="798">
                  <c:v>385446</c:v>
                </c:pt>
                <c:pt idx="799">
                  <c:v>385446</c:v>
                </c:pt>
                <c:pt idx="800">
                  <c:v>982764</c:v>
                </c:pt>
                <c:pt idx="801">
                  <c:v>982764</c:v>
                </c:pt>
                <c:pt idx="802">
                  <c:v>982764</c:v>
                </c:pt>
                <c:pt idx="803">
                  <c:v>684263</c:v>
                </c:pt>
                <c:pt idx="804">
                  <c:v>848995</c:v>
                </c:pt>
                <c:pt idx="805">
                  <c:v>671166</c:v>
                </c:pt>
                <c:pt idx="806">
                  <c:v>997176</c:v>
                </c:pt>
                <c:pt idx="807">
                  <c:v>1348206</c:v>
                </c:pt>
                <c:pt idx="808">
                  <c:v>1348206</c:v>
                </c:pt>
                <c:pt idx="809">
                  <c:v>1348206</c:v>
                </c:pt>
                <c:pt idx="810">
                  <c:v>688681</c:v>
                </c:pt>
                <c:pt idx="811">
                  <c:v>907074</c:v>
                </c:pt>
                <c:pt idx="812">
                  <c:v>775250</c:v>
                </c:pt>
                <c:pt idx="813">
                  <c:v>1642807</c:v>
                </c:pt>
                <c:pt idx="814">
                  <c:v>1642807</c:v>
                </c:pt>
                <c:pt idx="815">
                  <c:v>1642807</c:v>
                </c:pt>
                <c:pt idx="816">
                  <c:v>1642807</c:v>
                </c:pt>
                <c:pt idx="817">
                  <c:v>892547</c:v>
                </c:pt>
                <c:pt idx="818">
                  <c:v>945891</c:v>
                </c:pt>
                <c:pt idx="819">
                  <c:v>1486493</c:v>
                </c:pt>
                <c:pt idx="820">
                  <c:v>954660</c:v>
                </c:pt>
                <c:pt idx="821">
                  <c:v>713249</c:v>
                </c:pt>
                <c:pt idx="822">
                  <c:v>713249</c:v>
                </c:pt>
                <c:pt idx="823">
                  <c:v>713249</c:v>
                </c:pt>
                <c:pt idx="824">
                  <c:v>863512</c:v>
                </c:pt>
                <c:pt idx="825">
                  <c:v>893317</c:v>
                </c:pt>
                <c:pt idx="826">
                  <c:v>816865</c:v>
                </c:pt>
                <c:pt idx="827">
                  <c:v>873985</c:v>
                </c:pt>
                <c:pt idx="828">
                  <c:v>894658</c:v>
                </c:pt>
                <c:pt idx="829">
                  <c:v>894658</c:v>
                </c:pt>
                <c:pt idx="830">
                  <c:v>894658</c:v>
                </c:pt>
                <c:pt idx="831">
                  <c:v>878675</c:v>
                </c:pt>
                <c:pt idx="832">
                  <c:v>1673655</c:v>
                </c:pt>
                <c:pt idx="833">
                  <c:v>1163307</c:v>
                </c:pt>
                <c:pt idx="834">
                  <c:v>1135533</c:v>
                </c:pt>
                <c:pt idx="835">
                  <c:v>1135533</c:v>
                </c:pt>
                <c:pt idx="836">
                  <c:v>1135533</c:v>
                </c:pt>
                <c:pt idx="837">
                  <c:v>1135533</c:v>
                </c:pt>
                <c:pt idx="838">
                  <c:v>1205011</c:v>
                </c:pt>
                <c:pt idx="839">
                  <c:v>858759</c:v>
                </c:pt>
                <c:pt idx="840">
                  <c:v>1027289</c:v>
                </c:pt>
                <c:pt idx="841">
                  <c:v>628089</c:v>
                </c:pt>
                <c:pt idx="842">
                  <c:v>804256</c:v>
                </c:pt>
                <c:pt idx="843">
                  <c:v>804256</c:v>
                </c:pt>
                <c:pt idx="844">
                  <c:v>804256</c:v>
                </c:pt>
                <c:pt idx="845">
                  <c:v>1456533</c:v>
                </c:pt>
                <c:pt idx="846">
                  <c:v>1101942</c:v>
                </c:pt>
                <c:pt idx="847">
                  <c:v>569703</c:v>
                </c:pt>
                <c:pt idx="848">
                  <c:v>668310</c:v>
                </c:pt>
                <c:pt idx="849">
                  <c:v>696606</c:v>
                </c:pt>
                <c:pt idx="850">
                  <c:v>696606</c:v>
                </c:pt>
                <c:pt idx="851">
                  <c:v>696606</c:v>
                </c:pt>
                <c:pt idx="852">
                  <c:v>645427</c:v>
                </c:pt>
                <c:pt idx="853">
                  <c:v>851078</c:v>
                </c:pt>
                <c:pt idx="854">
                  <c:v>623917</c:v>
                </c:pt>
                <c:pt idx="855">
                  <c:v>808318</c:v>
                </c:pt>
                <c:pt idx="856">
                  <c:v>930634</c:v>
                </c:pt>
                <c:pt idx="857">
                  <c:v>930634</c:v>
                </c:pt>
                <c:pt idx="858">
                  <c:v>930634</c:v>
                </c:pt>
                <c:pt idx="859">
                  <c:v>962887</c:v>
                </c:pt>
                <c:pt idx="860">
                  <c:v>1116729</c:v>
                </c:pt>
                <c:pt idx="861">
                  <c:v>1105493</c:v>
                </c:pt>
                <c:pt idx="862">
                  <c:v>1524523</c:v>
                </c:pt>
                <c:pt idx="863">
                  <c:v>1040270</c:v>
                </c:pt>
                <c:pt idx="864">
                  <c:v>1040270</c:v>
                </c:pt>
                <c:pt idx="865">
                  <c:v>1040270</c:v>
                </c:pt>
                <c:pt idx="866">
                  <c:v>1491502</c:v>
                </c:pt>
                <c:pt idx="867">
                  <c:v>1571857</c:v>
                </c:pt>
                <c:pt idx="868">
                  <c:v>839245</c:v>
                </c:pt>
                <c:pt idx="869">
                  <c:v>955282</c:v>
                </c:pt>
                <c:pt idx="870">
                  <c:v>1382714</c:v>
                </c:pt>
                <c:pt idx="871">
                  <c:v>1382714</c:v>
                </c:pt>
                <c:pt idx="872">
                  <c:v>1382714</c:v>
                </c:pt>
                <c:pt idx="873">
                  <c:v>839984</c:v>
                </c:pt>
                <c:pt idx="874">
                  <c:v>962227</c:v>
                </c:pt>
                <c:pt idx="875">
                  <c:v>2561788</c:v>
                </c:pt>
                <c:pt idx="876">
                  <c:v>1287772</c:v>
                </c:pt>
                <c:pt idx="877">
                  <c:v>843217</c:v>
                </c:pt>
                <c:pt idx="878">
                  <c:v>843217</c:v>
                </c:pt>
                <c:pt idx="879">
                  <c:v>843217</c:v>
                </c:pt>
                <c:pt idx="880">
                  <c:v>909542</c:v>
                </c:pt>
                <c:pt idx="881">
                  <c:v>1105640</c:v>
                </c:pt>
                <c:pt idx="882">
                  <c:v>1224239</c:v>
                </c:pt>
                <c:pt idx="883">
                  <c:v>1024500</c:v>
                </c:pt>
                <c:pt idx="884">
                  <c:v>1093500</c:v>
                </c:pt>
                <c:pt idx="885">
                  <c:v>1093500</c:v>
                </c:pt>
                <c:pt idx="886">
                  <c:v>1093500</c:v>
                </c:pt>
                <c:pt idx="887">
                  <c:v>1093500</c:v>
                </c:pt>
                <c:pt idx="888">
                  <c:v>1305943</c:v>
                </c:pt>
                <c:pt idx="889">
                  <c:v>1081320</c:v>
                </c:pt>
                <c:pt idx="890">
                  <c:v>1656866</c:v>
                </c:pt>
                <c:pt idx="891">
                  <c:v>1409664</c:v>
                </c:pt>
                <c:pt idx="892">
                  <c:v>1409664</c:v>
                </c:pt>
                <c:pt idx="893">
                  <c:v>1409664</c:v>
                </c:pt>
                <c:pt idx="894">
                  <c:v>950392</c:v>
                </c:pt>
                <c:pt idx="895">
                  <c:v>1146490</c:v>
                </c:pt>
                <c:pt idx="896">
                  <c:v>1076126</c:v>
                </c:pt>
                <c:pt idx="897">
                  <c:v>1273024</c:v>
                </c:pt>
                <c:pt idx="898">
                  <c:v>1126060</c:v>
                </c:pt>
                <c:pt idx="899">
                  <c:v>1126060</c:v>
                </c:pt>
                <c:pt idx="900">
                  <c:v>1126060</c:v>
                </c:pt>
                <c:pt idx="901">
                  <c:v>1168501</c:v>
                </c:pt>
                <c:pt idx="902">
                  <c:v>1261876</c:v>
                </c:pt>
                <c:pt idx="903">
                  <c:v>1069059</c:v>
                </c:pt>
                <c:pt idx="904">
                  <c:v>1515475</c:v>
                </c:pt>
                <c:pt idx="905">
                  <c:v>6525176</c:v>
                </c:pt>
                <c:pt idx="906">
                  <c:v>6525176</c:v>
                </c:pt>
                <c:pt idx="907">
                  <c:v>6525176</c:v>
                </c:pt>
                <c:pt idx="908">
                  <c:v>1633150</c:v>
                </c:pt>
                <c:pt idx="909">
                  <c:v>2273507</c:v>
                </c:pt>
                <c:pt idx="910">
                  <c:v>1761423</c:v>
                </c:pt>
                <c:pt idx="911">
                  <c:v>1701202</c:v>
                </c:pt>
                <c:pt idx="912">
                  <c:v>1335057</c:v>
                </c:pt>
                <c:pt idx="913">
                  <c:v>1335057</c:v>
                </c:pt>
                <c:pt idx="914">
                  <c:v>1335057</c:v>
                </c:pt>
                <c:pt idx="915">
                  <c:v>1035072</c:v>
                </c:pt>
                <c:pt idx="916">
                  <c:v>1253138</c:v>
                </c:pt>
                <c:pt idx="917">
                  <c:v>1137895</c:v>
                </c:pt>
                <c:pt idx="918">
                  <c:v>905744</c:v>
                </c:pt>
                <c:pt idx="919">
                  <c:v>1060540</c:v>
                </c:pt>
                <c:pt idx="920">
                  <c:v>1060540</c:v>
                </c:pt>
                <c:pt idx="921">
                  <c:v>1060540</c:v>
                </c:pt>
                <c:pt idx="922">
                  <c:v>835810</c:v>
                </c:pt>
                <c:pt idx="923">
                  <c:v>957722</c:v>
                </c:pt>
                <c:pt idx="924">
                  <c:v>1155631</c:v>
                </c:pt>
                <c:pt idx="925">
                  <c:v>1149228</c:v>
                </c:pt>
                <c:pt idx="926">
                  <c:v>1009522</c:v>
                </c:pt>
                <c:pt idx="927">
                  <c:v>1009522</c:v>
                </c:pt>
                <c:pt idx="928">
                  <c:v>1009522</c:v>
                </c:pt>
                <c:pt idx="929">
                  <c:v>917415</c:v>
                </c:pt>
                <c:pt idx="930">
                  <c:v>900548</c:v>
                </c:pt>
                <c:pt idx="931">
                  <c:v>1379425</c:v>
                </c:pt>
                <c:pt idx="932">
                  <c:v>1184204</c:v>
                </c:pt>
                <c:pt idx="933">
                  <c:v>1184204</c:v>
                </c:pt>
                <c:pt idx="934">
                  <c:v>1184204</c:v>
                </c:pt>
                <c:pt idx="935">
                  <c:v>1184204</c:v>
                </c:pt>
                <c:pt idx="936">
                  <c:v>1939493</c:v>
                </c:pt>
                <c:pt idx="937">
                  <c:v>927174</c:v>
                </c:pt>
                <c:pt idx="938">
                  <c:v>875679</c:v>
                </c:pt>
                <c:pt idx="939">
                  <c:v>1203050</c:v>
                </c:pt>
                <c:pt idx="940">
                  <c:v>1436296</c:v>
                </c:pt>
                <c:pt idx="941">
                  <c:v>1436296</c:v>
                </c:pt>
                <c:pt idx="942">
                  <c:v>1436296</c:v>
                </c:pt>
                <c:pt idx="943">
                  <c:v>799047</c:v>
                </c:pt>
                <c:pt idx="944">
                  <c:v>865028</c:v>
                </c:pt>
                <c:pt idx="945">
                  <c:v>1334786</c:v>
                </c:pt>
                <c:pt idx="946">
                  <c:v>1393473</c:v>
                </c:pt>
                <c:pt idx="947">
                  <c:v>1303069</c:v>
                </c:pt>
                <c:pt idx="948">
                  <c:v>1303069</c:v>
                </c:pt>
                <c:pt idx="949">
                  <c:v>1303069</c:v>
                </c:pt>
                <c:pt idx="950">
                  <c:v>2104724</c:v>
                </c:pt>
                <c:pt idx="951">
                  <c:v>1242598</c:v>
                </c:pt>
                <c:pt idx="952">
                  <c:v>2062014</c:v>
                </c:pt>
                <c:pt idx="953">
                  <c:v>1641993</c:v>
                </c:pt>
                <c:pt idx="954">
                  <c:v>1587800</c:v>
                </c:pt>
                <c:pt idx="955">
                  <c:v>1587800</c:v>
                </c:pt>
                <c:pt idx="956">
                  <c:v>1587800</c:v>
                </c:pt>
                <c:pt idx="957">
                  <c:v>2169006</c:v>
                </c:pt>
                <c:pt idx="958">
                  <c:v>2352520</c:v>
                </c:pt>
                <c:pt idx="959">
                  <c:v>2865003</c:v>
                </c:pt>
                <c:pt idx="960">
                  <c:v>1739634</c:v>
                </c:pt>
                <c:pt idx="961">
                  <c:v>1409967</c:v>
                </c:pt>
                <c:pt idx="962">
                  <c:v>1409967</c:v>
                </c:pt>
                <c:pt idx="963">
                  <c:v>1409967</c:v>
                </c:pt>
                <c:pt idx="964">
                  <c:v>1470078</c:v>
                </c:pt>
                <c:pt idx="965">
                  <c:v>1645124</c:v>
                </c:pt>
                <c:pt idx="966">
                  <c:v>1753149</c:v>
                </c:pt>
                <c:pt idx="967">
                  <c:v>2208772</c:v>
                </c:pt>
                <c:pt idx="968">
                  <c:v>2208772</c:v>
                </c:pt>
                <c:pt idx="969">
                  <c:v>2208772</c:v>
                </c:pt>
                <c:pt idx="970">
                  <c:v>2208772</c:v>
                </c:pt>
                <c:pt idx="971">
                  <c:v>936688</c:v>
                </c:pt>
                <c:pt idx="972">
                  <c:v>1056366</c:v>
                </c:pt>
                <c:pt idx="973">
                  <c:v>1003543</c:v>
                </c:pt>
                <c:pt idx="974">
                  <c:v>2376959</c:v>
                </c:pt>
                <c:pt idx="975">
                  <c:v>1969440</c:v>
                </c:pt>
                <c:pt idx="976">
                  <c:v>1969440</c:v>
                </c:pt>
                <c:pt idx="977">
                  <c:v>1969440</c:v>
                </c:pt>
                <c:pt idx="978">
                  <c:v>1210096</c:v>
                </c:pt>
                <c:pt idx="979">
                  <c:v>1391458</c:v>
                </c:pt>
                <c:pt idx="980">
                  <c:v>1657329</c:v>
                </c:pt>
                <c:pt idx="981">
                  <c:v>910037</c:v>
                </c:pt>
                <c:pt idx="982">
                  <c:v>910037</c:v>
                </c:pt>
                <c:pt idx="983">
                  <c:v>910037</c:v>
                </c:pt>
                <c:pt idx="984">
                  <c:v>910037</c:v>
                </c:pt>
                <c:pt idx="985">
                  <c:v>764234</c:v>
                </c:pt>
                <c:pt idx="986">
                  <c:v>810358</c:v>
                </c:pt>
                <c:pt idx="987">
                  <c:v>788966</c:v>
                </c:pt>
                <c:pt idx="988">
                  <c:v>661647</c:v>
                </c:pt>
                <c:pt idx="989">
                  <c:v>661647</c:v>
                </c:pt>
                <c:pt idx="990">
                  <c:v>661647</c:v>
                </c:pt>
                <c:pt idx="991">
                  <c:v>661647</c:v>
                </c:pt>
                <c:pt idx="992">
                  <c:v>1520980</c:v>
                </c:pt>
                <c:pt idx="993">
                  <c:v>988276</c:v>
                </c:pt>
                <c:pt idx="994">
                  <c:v>1014530</c:v>
                </c:pt>
                <c:pt idx="995">
                  <c:v>929944</c:v>
                </c:pt>
                <c:pt idx="996">
                  <c:v>2590742</c:v>
                </c:pt>
                <c:pt idx="997">
                  <c:v>2590742</c:v>
                </c:pt>
                <c:pt idx="998">
                  <c:v>2590742</c:v>
                </c:pt>
                <c:pt idx="999">
                  <c:v>1067653</c:v>
                </c:pt>
                <c:pt idx="1000">
                  <c:v>1071788</c:v>
                </c:pt>
                <c:pt idx="1001">
                  <c:v>1731061</c:v>
                </c:pt>
                <c:pt idx="1002">
                  <c:v>1129195</c:v>
                </c:pt>
                <c:pt idx="1003">
                  <c:v>856508</c:v>
                </c:pt>
                <c:pt idx="1004">
                  <c:v>856508</c:v>
                </c:pt>
                <c:pt idx="1005">
                  <c:v>856508</c:v>
                </c:pt>
                <c:pt idx="1006">
                  <c:v>762292</c:v>
                </c:pt>
                <c:pt idx="1007">
                  <c:v>999948</c:v>
                </c:pt>
                <c:pt idx="1008">
                  <c:v>1076620</c:v>
                </c:pt>
                <c:pt idx="1009">
                  <c:v>1357208</c:v>
                </c:pt>
                <c:pt idx="1010">
                  <c:v>1744461</c:v>
                </c:pt>
                <c:pt idx="1011">
                  <c:v>1744461</c:v>
                </c:pt>
                <c:pt idx="1012">
                  <c:v>1744461</c:v>
                </c:pt>
                <c:pt idx="1013">
                  <c:v>913652</c:v>
                </c:pt>
                <c:pt idx="1014">
                  <c:v>1469962</c:v>
                </c:pt>
                <c:pt idx="1015">
                  <c:v>802623</c:v>
                </c:pt>
                <c:pt idx="1016">
                  <c:v>939150</c:v>
                </c:pt>
                <c:pt idx="1017">
                  <c:v>321504</c:v>
                </c:pt>
                <c:pt idx="1018">
                  <c:v>321504</c:v>
                </c:pt>
                <c:pt idx="1019">
                  <c:v>321504</c:v>
                </c:pt>
                <c:pt idx="1020">
                  <c:v>1020415</c:v>
                </c:pt>
                <c:pt idx="1021">
                  <c:v>1020415</c:v>
                </c:pt>
                <c:pt idx="1022">
                  <c:v>838407</c:v>
                </c:pt>
                <c:pt idx="1023">
                  <c:v>1730774</c:v>
                </c:pt>
                <c:pt idx="1024">
                  <c:v>2160399</c:v>
                </c:pt>
                <c:pt idx="1025">
                  <c:v>2160399</c:v>
                </c:pt>
                <c:pt idx="1026">
                  <c:v>2160399</c:v>
                </c:pt>
                <c:pt idx="1027">
                  <c:v>1403073</c:v>
                </c:pt>
                <c:pt idx="1028">
                  <c:v>1022748</c:v>
                </c:pt>
                <c:pt idx="1029">
                  <c:v>3272823</c:v>
                </c:pt>
                <c:pt idx="1030">
                  <c:v>2286803</c:v>
                </c:pt>
                <c:pt idx="1031">
                  <c:v>3061838</c:v>
                </c:pt>
                <c:pt idx="1032">
                  <c:v>3061838</c:v>
                </c:pt>
                <c:pt idx="1033">
                  <c:v>3061838</c:v>
                </c:pt>
                <c:pt idx="1034">
                  <c:v>1601072</c:v>
                </c:pt>
                <c:pt idx="1035">
                  <c:v>1383237</c:v>
                </c:pt>
                <c:pt idx="1036">
                  <c:v>1220973</c:v>
                </c:pt>
                <c:pt idx="1037">
                  <c:v>944759</c:v>
                </c:pt>
                <c:pt idx="1038">
                  <c:v>1447171</c:v>
                </c:pt>
                <c:pt idx="1039">
                  <c:v>1447171</c:v>
                </c:pt>
                <c:pt idx="1040">
                  <c:v>1447171</c:v>
                </c:pt>
                <c:pt idx="1041">
                  <c:v>1291110</c:v>
                </c:pt>
                <c:pt idx="1042">
                  <c:v>1292138</c:v>
                </c:pt>
                <c:pt idx="1043">
                  <c:v>1229929</c:v>
                </c:pt>
                <c:pt idx="1044">
                  <c:v>1288421</c:v>
                </c:pt>
              </c:numCache>
            </c:numRef>
          </c:val>
          <c:extLst>
            <c:ext xmlns:c16="http://schemas.microsoft.com/office/drawing/2014/chart" uri="{C3380CC4-5D6E-409C-BE32-E72D297353CC}">
              <c16:uniqueId val="{00000000-D1DC-4E4A-A246-46D1BC992423}"/>
            </c:ext>
          </c:extLst>
        </c:ser>
        <c:dLbls>
          <c:showLegendKey val="0"/>
          <c:showVal val="0"/>
          <c:showCatName val="0"/>
          <c:showSerName val="0"/>
          <c:showPercent val="0"/>
          <c:showBubbleSize val="0"/>
        </c:dLbls>
        <c:gapWidth val="219"/>
        <c:axId val="33469023"/>
        <c:axId val="33476223"/>
      </c:barChart>
      <c:lineChart>
        <c:grouping val="standard"/>
        <c:varyColors val="0"/>
        <c:ser>
          <c:idx val="0"/>
          <c:order val="0"/>
          <c:tx>
            <c:v>Price</c:v>
          </c:tx>
          <c:spPr>
            <a:ln w="28575" cap="rnd">
              <a:solidFill>
                <a:schemeClr val="accent1"/>
              </a:solidFill>
              <a:round/>
            </a:ln>
            <a:effectLst/>
          </c:spPr>
          <c:marker>
            <c:symbol val="none"/>
          </c:marker>
          <c:cat>
            <c:numRef>
              <c:f>'Stock Data'!$AM$4:$AM$1048</c:f>
              <c:numCache>
                <c:formatCode>m/d/yy;@</c:formatCode>
                <c:ptCount val="1045"/>
                <c:pt idx="0">
                  <c:v>45919</c:v>
                </c:pt>
                <c:pt idx="1">
                  <c:v>45918</c:v>
                </c:pt>
                <c:pt idx="2">
                  <c:v>45917</c:v>
                </c:pt>
                <c:pt idx="3">
                  <c:v>45916</c:v>
                </c:pt>
                <c:pt idx="4">
                  <c:v>45915</c:v>
                </c:pt>
                <c:pt idx="5">
                  <c:v>45914</c:v>
                </c:pt>
                <c:pt idx="6">
                  <c:v>45913</c:v>
                </c:pt>
                <c:pt idx="7">
                  <c:v>45912</c:v>
                </c:pt>
                <c:pt idx="8">
                  <c:v>45911</c:v>
                </c:pt>
                <c:pt idx="9">
                  <c:v>45910</c:v>
                </c:pt>
                <c:pt idx="10">
                  <c:v>45909</c:v>
                </c:pt>
                <c:pt idx="11">
                  <c:v>45908</c:v>
                </c:pt>
                <c:pt idx="12">
                  <c:v>45907</c:v>
                </c:pt>
                <c:pt idx="13">
                  <c:v>45906</c:v>
                </c:pt>
                <c:pt idx="14">
                  <c:v>45905</c:v>
                </c:pt>
                <c:pt idx="15">
                  <c:v>45904</c:v>
                </c:pt>
                <c:pt idx="16">
                  <c:v>45903</c:v>
                </c:pt>
                <c:pt idx="17">
                  <c:v>45902</c:v>
                </c:pt>
                <c:pt idx="18">
                  <c:v>45901</c:v>
                </c:pt>
                <c:pt idx="19">
                  <c:v>45900</c:v>
                </c:pt>
                <c:pt idx="20">
                  <c:v>45899</c:v>
                </c:pt>
                <c:pt idx="21">
                  <c:v>45898</c:v>
                </c:pt>
                <c:pt idx="22">
                  <c:v>45897</c:v>
                </c:pt>
                <c:pt idx="23">
                  <c:v>45896</c:v>
                </c:pt>
                <c:pt idx="24">
                  <c:v>45895</c:v>
                </c:pt>
                <c:pt idx="25">
                  <c:v>45894</c:v>
                </c:pt>
                <c:pt idx="26">
                  <c:v>45893</c:v>
                </c:pt>
                <c:pt idx="27">
                  <c:v>45892</c:v>
                </c:pt>
                <c:pt idx="28">
                  <c:v>45891</c:v>
                </c:pt>
                <c:pt idx="29">
                  <c:v>45890</c:v>
                </c:pt>
                <c:pt idx="30">
                  <c:v>45889</c:v>
                </c:pt>
                <c:pt idx="31">
                  <c:v>45888</c:v>
                </c:pt>
                <c:pt idx="32">
                  <c:v>45887</c:v>
                </c:pt>
                <c:pt idx="33">
                  <c:v>45886</c:v>
                </c:pt>
                <c:pt idx="34">
                  <c:v>45885</c:v>
                </c:pt>
                <c:pt idx="35">
                  <c:v>45884</c:v>
                </c:pt>
                <c:pt idx="36">
                  <c:v>45883</c:v>
                </c:pt>
                <c:pt idx="37">
                  <c:v>45882</c:v>
                </c:pt>
                <c:pt idx="38">
                  <c:v>45881</c:v>
                </c:pt>
                <c:pt idx="39">
                  <c:v>45880</c:v>
                </c:pt>
                <c:pt idx="40">
                  <c:v>45879</c:v>
                </c:pt>
                <c:pt idx="41">
                  <c:v>45878</c:v>
                </c:pt>
                <c:pt idx="42">
                  <c:v>45877</c:v>
                </c:pt>
                <c:pt idx="43">
                  <c:v>45876</c:v>
                </c:pt>
                <c:pt idx="44">
                  <c:v>45875</c:v>
                </c:pt>
                <c:pt idx="45">
                  <c:v>45874</c:v>
                </c:pt>
                <c:pt idx="46">
                  <c:v>45873</c:v>
                </c:pt>
                <c:pt idx="47">
                  <c:v>45872</c:v>
                </c:pt>
                <c:pt idx="48">
                  <c:v>45871</c:v>
                </c:pt>
                <c:pt idx="49">
                  <c:v>45870</c:v>
                </c:pt>
                <c:pt idx="50">
                  <c:v>45869</c:v>
                </c:pt>
                <c:pt idx="51">
                  <c:v>45868</c:v>
                </c:pt>
                <c:pt idx="52">
                  <c:v>45867</c:v>
                </c:pt>
                <c:pt idx="53">
                  <c:v>45866</c:v>
                </c:pt>
                <c:pt idx="54">
                  <c:v>45865</c:v>
                </c:pt>
                <c:pt idx="55">
                  <c:v>45864</c:v>
                </c:pt>
                <c:pt idx="56">
                  <c:v>45863</c:v>
                </c:pt>
                <c:pt idx="57">
                  <c:v>45862</c:v>
                </c:pt>
                <c:pt idx="58">
                  <c:v>45861</c:v>
                </c:pt>
                <c:pt idx="59">
                  <c:v>45860</c:v>
                </c:pt>
                <c:pt idx="60">
                  <c:v>45859</c:v>
                </c:pt>
                <c:pt idx="61">
                  <c:v>45858</c:v>
                </c:pt>
                <c:pt idx="62">
                  <c:v>45857</c:v>
                </c:pt>
                <c:pt idx="63">
                  <c:v>45856</c:v>
                </c:pt>
                <c:pt idx="64">
                  <c:v>45855</c:v>
                </c:pt>
                <c:pt idx="65">
                  <c:v>45854</c:v>
                </c:pt>
                <c:pt idx="66">
                  <c:v>45853</c:v>
                </c:pt>
                <c:pt idx="67">
                  <c:v>45852</c:v>
                </c:pt>
                <c:pt idx="68">
                  <c:v>45851</c:v>
                </c:pt>
                <c:pt idx="69">
                  <c:v>45850</c:v>
                </c:pt>
                <c:pt idx="70">
                  <c:v>45849</c:v>
                </c:pt>
                <c:pt idx="71">
                  <c:v>45848</c:v>
                </c:pt>
                <c:pt idx="72">
                  <c:v>45847</c:v>
                </c:pt>
                <c:pt idx="73">
                  <c:v>45846</c:v>
                </c:pt>
                <c:pt idx="74">
                  <c:v>45845</c:v>
                </c:pt>
                <c:pt idx="75">
                  <c:v>45844</c:v>
                </c:pt>
                <c:pt idx="76">
                  <c:v>45843</c:v>
                </c:pt>
                <c:pt idx="77">
                  <c:v>45842</c:v>
                </c:pt>
                <c:pt idx="78">
                  <c:v>45841</c:v>
                </c:pt>
                <c:pt idx="79">
                  <c:v>45840</c:v>
                </c:pt>
                <c:pt idx="80">
                  <c:v>45839</c:v>
                </c:pt>
                <c:pt idx="81">
                  <c:v>45838</c:v>
                </c:pt>
                <c:pt idx="82">
                  <c:v>45837</c:v>
                </c:pt>
                <c:pt idx="83">
                  <c:v>45836</c:v>
                </c:pt>
                <c:pt idx="84">
                  <c:v>45835</c:v>
                </c:pt>
                <c:pt idx="85">
                  <c:v>45834</c:v>
                </c:pt>
                <c:pt idx="86">
                  <c:v>45833</c:v>
                </c:pt>
                <c:pt idx="87">
                  <c:v>45832</c:v>
                </c:pt>
                <c:pt idx="88">
                  <c:v>45831</c:v>
                </c:pt>
                <c:pt idx="89">
                  <c:v>45830</c:v>
                </c:pt>
                <c:pt idx="90">
                  <c:v>45829</c:v>
                </c:pt>
                <c:pt idx="91">
                  <c:v>45828</c:v>
                </c:pt>
                <c:pt idx="92">
                  <c:v>45827</c:v>
                </c:pt>
                <c:pt idx="93">
                  <c:v>45826</c:v>
                </c:pt>
                <c:pt idx="94">
                  <c:v>45825</c:v>
                </c:pt>
                <c:pt idx="95">
                  <c:v>45824</c:v>
                </c:pt>
                <c:pt idx="96">
                  <c:v>45823</c:v>
                </c:pt>
                <c:pt idx="97">
                  <c:v>45822</c:v>
                </c:pt>
                <c:pt idx="98">
                  <c:v>45821</c:v>
                </c:pt>
                <c:pt idx="99">
                  <c:v>45820</c:v>
                </c:pt>
                <c:pt idx="100">
                  <c:v>45819</c:v>
                </c:pt>
                <c:pt idx="101">
                  <c:v>45818</c:v>
                </c:pt>
                <c:pt idx="102">
                  <c:v>45817</c:v>
                </c:pt>
                <c:pt idx="103">
                  <c:v>45816</c:v>
                </c:pt>
                <c:pt idx="104">
                  <c:v>45815</c:v>
                </c:pt>
                <c:pt idx="105">
                  <c:v>45814</c:v>
                </c:pt>
                <c:pt idx="106">
                  <c:v>45813</c:v>
                </c:pt>
                <c:pt idx="107">
                  <c:v>45812</c:v>
                </c:pt>
                <c:pt idx="108">
                  <c:v>45811</c:v>
                </c:pt>
                <c:pt idx="109">
                  <c:v>45810</c:v>
                </c:pt>
                <c:pt idx="110">
                  <c:v>45809</c:v>
                </c:pt>
                <c:pt idx="111">
                  <c:v>45808</c:v>
                </c:pt>
                <c:pt idx="112">
                  <c:v>45807</c:v>
                </c:pt>
                <c:pt idx="113">
                  <c:v>45806</c:v>
                </c:pt>
                <c:pt idx="114">
                  <c:v>45805</c:v>
                </c:pt>
                <c:pt idx="115">
                  <c:v>45804</c:v>
                </c:pt>
                <c:pt idx="116">
                  <c:v>45803</c:v>
                </c:pt>
                <c:pt idx="117">
                  <c:v>45802</c:v>
                </c:pt>
                <c:pt idx="118">
                  <c:v>45801</c:v>
                </c:pt>
                <c:pt idx="119">
                  <c:v>45800</c:v>
                </c:pt>
                <c:pt idx="120">
                  <c:v>45799</c:v>
                </c:pt>
                <c:pt idx="121">
                  <c:v>45798</c:v>
                </c:pt>
                <c:pt idx="122">
                  <c:v>45797</c:v>
                </c:pt>
                <c:pt idx="123">
                  <c:v>45796</c:v>
                </c:pt>
                <c:pt idx="124">
                  <c:v>45795</c:v>
                </c:pt>
                <c:pt idx="125">
                  <c:v>45794</c:v>
                </c:pt>
                <c:pt idx="126">
                  <c:v>45793</c:v>
                </c:pt>
                <c:pt idx="127">
                  <c:v>45792</c:v>
                </c:pt>
                <c:pt idx="128">
                  <c:v>45791</c:v>
                </c:pt>
                <c:pt idx="129">
                  <c:v>45790</c:v>
                </c:pt>
                <c:pt idx="130">
                  <c:v>45789</c:v>
                </c:pt>
                <c:pt idx="131">
                  <c:v>45788</c:v>
                </c:pt>
                <c:pt idx="132">
                  <c:v>45787</c:v>
                </c:pt>
                <c:pt idx="133">
                  <c:v>45786</c:v>
                </c:pt>
                <c:pt idx="134">
                  <c:v>45785</c:v>
                </c:pt>
                <c:pt idx="135">
                  <c:v>45784</c:v>
                </c:pt>
                <c:pt idx="136">
                  <c:v>45783</c:v>
                </c:pt>
                <c:pt idx="137">
                  <c:v>45782</c:v>
                </c:pt>
                <c:pt idx="138">
                  <c:v>45781</c:v>
                </c:pt>
                <c:pt idx="139">
                  <c:v>45780</c:v>
                </c:pt>
                <c:pt idx="140">
                  <c:v>45779</c:v>
                </c:pt>
                <c:pt idx="141">
                  <c:v>45778</c:v>
                </c:pt>
                <c:pt idx="142">
                  <c:v>45777</c:v>
                </c:pt>
                <c:pt idx="143">
                  <c:v>45776</c:v>
                </c:pt>
                <c:pt idx="144">
                  <c:v>45775</c:v>
                </c:pt>
                <c:pt idx="145">
                  <c:v>45774</c:v>
                </c:pt>
                <c:pt idx="146">
                  <c:v>45773</c:v>
                </c:pt>
                <c:pt idx="147">
                  <c:v>45772</c:v>
                </c:pt>
                <c:pt idx="148">
                  <c:v>45771</c:v>
                </c:pt>
                <c:pt idx="149">
                  <c:v>45770</c:v>
                </c:pt>
                <c:pt idx="150">
                  <c:v>45769</c:v>
                </c:pt>
                <c:pt idx="151">
                  <c:v>45768</c:v>
                </c:pt>
                <c:pt idx="152">
                  <c:v>45767</c:v>
                </c:pt>
                <c:pt idx="153">
                  <c:v>45766</c:v>
                </c:pt>
                <c:pt idx="154">
                  <c:v>45765</c:v>
                </c:pt>
                <c:pt idx="155">
                  <c:v>45764</c:v>
                </c:pt>
                <c:pt idx="156">
                  <c:v>45763</c:v>
                </c:pt>
                <c:pt idx="157">
                  <c:v>45762</c:v>
                </c:pt>
                <c:pt idx="158">
                  <c:v>45761</c:v>
                </c:pt>
                <c:pt idx="159">
                  <c:v>45760</c:v>
                </c:pt>
                <c:pt idx="160">
                  <c:v>45759</c:v>
                </c:pt>
                <c:pt idx="161">
                  <c:v>45758</c:v>
                </c:pt>
                <c:pt idx="162">
                  <c:v>45757</c:v>
                </c:pt>
                <c:pt idx="163">
                  <c:v>45756</c:v>
                </c:pt>
                <c:pt idx="164">
                  <c:v>45755</c:v>
                </c:pt>
                <c:pt idx="165">
                  <c:v>45754</c:v>
                </c:pt>
                <c:pt idx="166">
                  <c:v>45753</c:v>
                </c:pt>
                <c:pt idx="167">
                  <c:v>45752</c:v>
                </c:pt>
                <c:pt idx="168">
                  <c:v>45751</c:v>
                </c:pt>
                <c:pt idx="169">
                  <c:v>45750</c:v>
                </c:pt>
                <c:pt idx="170">
                  <c:v>45749</c:v>
                </c:pt>
                <c:pt idx="171">
                  <c:v>45748</c:v>
                </c:pt>
                <c:pt idx="172">
                  <c:v>45747</c:v>
                </c:pt>
                <c:pt idx="173">
                  <c:v>45746</c:v>
                </c:pt>
                <c:pt idx="174">
                  <c:v>45745</c:v>
                </c:pt>
                <c:pt idx="175">
                  <c:v>45744</c:v>
                </c:pt>
                <c:pt idx="176">
                  <c:v>45743</c:v>
                </c:pt>
                <c:pt idx="177">
                  <c:v>45742</c:v>
                </c:pt>
                <c:pt idx="178">
                  <c:v>45741</c:v>
                </c:pt>
                <c:pt idx="179">
                  <c:v>45740</c:v>
                </c:pt>
                <c:pt idx="180">
                  <c:v>45739</c:v>
                </c:pt>
                <c:pt idx="181">
                  <c:v>45738</c:v>
                </c:pt>
                <c:pt idx="182">
                  <c:v>45737</c:v>
                </c:pt>
                <c:pt idx="183">
                  <c:v>45736</c:v>
                </c:pt>
                <c:pt idx="184">
                  <c:v>45735</c:v>
                </c:pt>
                <c:pt idx="185">
                  <c:v>45734</c:v>
                </c:pt>
                <c:pt idx="186">
                  <c:v>45733</c:v>
                </c:pt>
                <c:pt idx="187">
                  <c:v>45732</c:v>
                </c:pt>
                <c:pt idx="188">
                  <c:v>45731</c:v>
                </c:pt>
                <c:pt idx="189">
                  <c:v>45730</c:v>
                </c:pt>
                <c:pt idx="190">
                  <c:v>45729</c:v>
                </c:pt>
                <c:pt idx="191">
                  <c:v>45728</c:v>
                </c:pt>
                <c:pt idx="192">
                  <c:v>45727</c:v>
                </c:pt>
                <c:pt idx="193">
                  <c:v>45726</c:v>
                </c:pt>
                <c:pt idx="194">
                  <c:v>45725</c:v>
                </c:pt>
                <c:pt idx="195">
                  <c:v>45724</c:v>
                </c:pt>
                <c:pt idx="196">
                  <c:v>45723</c:v>
                </c:pt>
                <c:pt idx="197">
                  <c:v>45722</c:v>
                </c:pt>
                <c:pt idx="198">
                  <c:v>45721</c:v>
                </c:pt>
                <c:pt idx="199">
                  <c:v>45720</c:v>
                </c:pt>
                <c:pt idx="200">
                  <c:v>45719</c:v>
                </c:pt>
                <c:pt idx="201">
                  <c:v>45718</c:v>
                </c:pt>
                <c:pt idx="202">
                  <c:v>45717</c:v>
                </c:pt>
                <c:pt idx="203">
                  <c:v>45716</c:v>
                </c:pt>
                <c:pt idx="204">
                  <c:v>45715</c:v>
                </c:pt>
                <c:pt idx="205">
                  <c:v>45714</c:v>
                </c:pt>
                <c:pt idx="206">
                  <c:v>45713</c:v>
                </c:pt>
                <c:pt idx="207">
                  <c:v>45712</c:v>
                </c:pt>
                <c:pt idx="208">
                  <c:v>45711</c:v>
                </c:pt>
                <c:pt idx="209">
                  <c:v>45710</c:v>
                </c:pt>
                <c:pt idx="210">
                  <c:v>45709</c:v>
                </c:pt>
                <c:pt idx="211">
                  <c:v>45708</c:v>
                </c:pt>
                <c:pt idx="212">
                  <c:v>45707</c:v>
                </c:pt>
                <c:pt idx="213">
                  <c:v>45706</c:v>
                </c:pt>
                <c:pt idx="214">
                  <c:v>45705</c:v>
                </c:pt>
                <c:pt idx="215">
                  <c:v>45704</c:v>
                </c:pt>
                <c:pt idx="216">
                  <c:v>45703</c:v>
                </c:pt>
                <c:pt idx="217">
                  <c:v>45702</c:v>
                </c:pt>
                <c:pt idx="218">
                  <c:v>45701</c:v>
                </c:pt>
                <c:pt idx="219">
                  <c:v>45700</c:v>
                </c:pt>
                <c:pt idx="220">
                  <c:v>45699</c:v>
                </c:pt>
                <c:pt idx="221">
                  <c:v>45698</c:v>
                </c:pt>
                <c:pt idx="222">
                  <c:v>45697</c:v>
                </c:pt>
                <c:pt idx="223">
                  <c:v>45696</c:v>
                </c:pt>
                <c:pt idx="224">
                  <c:v>45695</c:v>
                </c:pt>
                <c:pt idx="225">
                  <c:v>45694</c:v>
                </c:pt>
                <c:pt idx="226">
                  <c:v>45693</c:v>
                </c:pt>
                <c:pt idx="227">
                  <c:v>45692</c:v>
                </c:pt>
                <c:pt idx="228">
                  <c:v>45691</c:v>
                </c:pt>
                <c:pt idx="229">
                  <c:v>45690</c:v>
                </c:pt>
                <c:pt idx="230">
                  <c:v>45689</c:v>
                </c:pt>
                <c:pt idx="231">
                  <c:v>45688</c:v>
                </c:pt>
                <c:pt idx="232">
                  <c:v>45687</c:v>
                </c:pt>
                <c:pt idx="233">
                  <c:v>45686</c:v>
                </c:pt>
                <c:pt idx="234">
                  <c:v>45685</c:v>
                </c:pt>
                <c:pt idx="235">
                  <c:v>45684</c:v>
                </c:pt>
                <c:pt idx="236">
                  <c:v>45683</c:v>
                </c:pt>
                <c:pt idx="237">
                  <c:v>45682</c:v>
                </c:pt>
                <c:pt idx="238">
                  <c:v>45681</c:v>
                </c:pt>
                <c:pt idx="239">
                  <c:v>45680</c:v>
                </c:pt>
                <c:pt idx="240">
                  <c:v>45679</c:v>
                </c:pt>
                <c:pt idx="241">
                  <c:v>45678</c:v>
                </c:pt>
                <c:pt idx="242">
                  <c:v>45677</c:v>
                </c:pt>
                <c:pt idx="243">
                  <c:v>45676</c:v>
                </c:pt>
                <c:pt idx="244">
                  <c:v>45675</c:v>
                </c:pt>
                <c:pt idx="245">
                  <c:v>45674</c:v>
                </c:pt>
                <c:pt idx="246">
                  <c:v>45673</c:v>
                </c:pt>
                <c:pt idx="247">
                  <c:v>45672</c:v>
                </c:pt>
                <c:pt idx="248">
                  <c:v>45671</c:v>
                </c:pt>
                <c:pt idx="249">
                  <c:v>45670</c:v>
                </c:pt>
                <c:pt idx="250">
                  <c:v>45669</c:v>
                </c:pt>
                <c:pt idx="251">
                  <c:v>45668</c:v>
                </c:pt>
                <c:pt idx="252">
                  <c:v>45667</c:v>
                </c:pt>
                <c:pt idx="253">
                  <c:v>45666</c:v>
                </c:pt>
                <c:pt idx="254">
                  <c:v>45665</c:v>
                </c:pt>
                <c:pt idx="255">
                  <c:v>45664</c:v>
                </c:pt>
                <c:pt idx="256">
                  <c:v>45663</c:v>
                </c:pt>
                <c:pt idx="257">
                  <c:v>45662</c:v>
                </c:pt>
                <c:pt idx="258">
                  <c:v>45661</c:v>
                </c:pt>
                <c:pt idx="259">
                  <c:v>45660</c:v>
                </c:pt>
                <c:pt idx="260">
                  <c:v>45659</c:v>
                </c:pt>
                <c:pt idx="261">
                  <c:v>45658</c:v>
                </c:pt>
                <c:pt idx="262">
                  <c:v>45657</c:v>
                </c:pt>
                <c:pt idx="263">
                  <c:v>45656</c:v>
                </c:pt>
                <c:pt idx="264">
                  <c:v>45655</c:v>
                </c:pt>
                <c:pt idx="265">
                  <c:v>45654</c:v>
                </c:pt>
                <c:pt idx="266">
                  <c:v>45653</c:v>
                </c:pt>
                <c:pt idx="267">
                  <c:v>45652</c:v>
                </c:pt>
                <c:pt idx="268">
                  <c:v>45651</c:v>
                </c:pt>
                <c:pt idx="269">
                  <c:v>45650</c:v>
                </c:pt>
                <c:pt idx="270">
                  <c:v>45649</c:v>
                </c:pt>
                <c:pt idx="271">
                  <c:v>45648</c:v>
                </c:pt>
                <c:pt idx="272">
                  <c:v>45647</c:v>
                </c:pt>
                <c:pt idx="273">
                  <c:v>45646</c:v>
                </c:pt>
                <c:pt idx="274">
                  <c:v>45645</c:v>
                </c:pt>
                <c:pt idx="275">
                  <c:v>45644</c:v>
                </c:pt>
                <c:pt idx="276">
                  <c:v>45643</c:v>
                </c:pt>
                <c:pt idx="277">
                  <c:v>45642</c:v>
                </c:pt>
                <c:pt idx="278">
                  <c:v>45641</c:v>
                </c:pt>
                <c:pt idx="279">
                  <c:v>45640</c:v>
                </c:pt>
                <c:pt idx="280">
                  <c:v>45639</c:v>
                </c:pt>
                <c:pt idx="281">
                  <c:v>45638</c:v>
                </c:pt>
                <c:pt idx="282">
                  <c:v>45637</c:v>
                </c:pt>
                <c:pt idx="283">
                  <c:v>45636</c:v>
                </c:pt>
                <c:pt idx="284">
                  <c:v>45635</c:v>
                </c:pt>
                <c:pt idx="285">
                  <c:v>45634</c:v>
                </c:pt>
                <c:pt idx="286">
                  <c:v>45633</c:v>
                </c:pt>
                <c:pt idx="287">
                  <c:v>45632</c:v>
                </c:pt>
                <c:pt idx="288">
                  <c:v>45631</c:v>
                </c:pt>
                <c:pt idx="289">
                  <c:v>45630</c:v>
                </c:pt>
                <c:pt idx="290">
                  <c:v>45629</c:v>
                </c:pt>
                <c:pt idx="291">
                  <c:v>45628</c:v>
                </c:pt>
                <c:pt idx="292">
                  <c:v>45627</c:v>
                </c:pt>
                <c:pt idx="293">
                  <c:v>45626</c:v>
                </c:pt>
                <c:pt idx="294">
                  <c:v>45625</c:v>
                </c:pt>
                <c:pt idx="295">
                  <c:v>45624</c:v>
                </c:pt>
                <c:pt idx="296">
                  <c:v>45623</c:v>
                </c:pt>
                <c:pt idx="297">
                  <c:v>45622</c:v>
                </c:pt>
                <c:pt idx="298">
                  <c:v>45621</c:v>
                </c:pt>
                <c:pt idx="299">
                  <c:v>45620</c:v>
                </c:pt>
                <c:pt idx="300">
                  <c:v>45619</c:v>
                </c:pt>
                <c:pt idx="301">
                  <c:v>45618</c:v>
                </c:pt>
                <c:pt idx="302">
                  <c:v>45617</c:v>
                </c:pt>
                <c:pt idx="303">
                  <c:v>45616</c:v>
                </c:pt>
                <c:pt idx="304">
                  <c:v>45615</c:v>
                </c:pt>
                <c:pt idx="305">
                  <c:v>45614</c:v>
                </c:pt>
                <c:pt idx="306">
                  <c:v>45613</c:v>
                </c:pt>
                <c:pt idx="307">
                  <c:v>45612</c:v>
                </c:pt>
                <c:pt idx="308">
                  <c:v>45611</c:v>
                </c:pt>
                <c:pt idx="309">
                  <c:v>45610</c:v>
                </c:pt>
                <c:pt idx="310">
                  <c:v>45609</c:v>
                </c:pt>
                <c:pt idx="311">
                  <c:v>45608</c:v>
                </c:pt>
                <c:pt idx="312">
                  <c:v>45607</c:v>
                </c:pt>
                <c:pt idx="313">
                  <c:v>45606</c:v>
                </c:pt>
                <c:pt idx="314">
                  <c:v>45605</c:v>
                </c:pt>
                <c:pt idx="315">
                  <c:v>45604</c:v>
                </c:pt>
                <c:pt idx="316">
                  <c:v>45603</c:v>
                </c:pt>
                <c:pt idx="317">
                  <c:v>45602</c:v>
                </c:pt>
                <c:pt idx="318">
                  <c:v>45601</c:v>
                </c:pt>
                <c:pt idx="319">
                  <c:v>45600</c:v>
                </c:pt>
                <c:pt idx="320">
                  <c:v>45599</c:v>
                </c:pt>
                <c:pt idx="321">
                  <c:v>45598</c:v>
                </c:pt>
                <c:pt idx="322">
                  <c:v>45597</c:v>
                </c:pt>
                <c:pt idx="323">
                  <c:v>45596</c:v>
                </c:pt>
                <c:pt idx="324">
                  <c:v>45595</c:v>
                </c:pt>
                <c:pt idx="325">
                  <c:v>45594</c:v>
                </c:pt>
                <c:pt idx="326">
                  <c:v>45593</c:v>
                </c:pt>
                <c:pt idx="327">
                  <c:v>45592</c:v>
                </c:pt>
                <c:pt idx="328">
                  <c:v>45591</c:v>
                </c:pt>
                <c:pt idx="329">
                  <c:v>45590</c:v>
                </c:pt>
                <c:pt idx="330">
                  <c:v>45589</c:v>
                </c:pt>
                <c:pt idx="331">
                  <c:v>45588</c:v>
                </c:pt>
                <c:pt idx="332">
                  <c:v>45587</c:v>
                </c:pt>
                <c:pt idx="333">
                  <c:v>45586</c:v>
                </c:pt>
                <c:pt idx="334">
                  <c:v>45585</c:v>
                </c:pt>
                <c:pt idx="335">
                  <c:v>45584</c:v>
                </c:pt>
                <c:pt idx="336">
                  <c:v>45583</c:v>
                </c:pt>
                <c:pt idx="337">
                  <c:v>45582</c:v>
                </c:pt>
                <c:pt idx="338">
                  <c:v>45581</c:v>
                </c:pt>
                <c:pt idx="339">
                  <c:v>45580</c:v>
                </c:pt>
                <c:pt idx="340">
                  <c:v>45579</c:v>
                </c:pt>
                <c:pt idx="341">
                  <c:v>45578</c:v>
                </c:pt>
                <c:pt idx="342">
                  <c:v>45577</c:v>
                </c:pt>
                <c:pt idx="343">
                  <c:v>45576</c:v>
                </c:pt>
                <c:pt idx="344">
                  <c:v>45575</c:v>
                </c:pt>
                <c:pt idx="345">
                  <c:v>45574</c:v>
                </c:pt>
                <c:pt idx="346">
                  <c:v>45573</c:v>
                </c:pt>
                <c:pt idx="347">
                  <c:v>45572</c:v>
                </c:pt>
                <c:pt idx="348">
                  <c:v>45571</c:v>
                </c:pt>
                <c:pt idx="349">
                  <c:v>45570</c:v>
                </c:pt>
                <c:pt idx="350">
                  <c:v>45569</c:v>
                </c:pt>
                <c:pt idx="351">
                  <c:v>45568</c:v>
                </c:pt>
                <c:pt idx="352">
                  <c:v>45567</c:v>
                </c:pt>
                <c:pt idx="353">
                  <c:v>45566</c:v>
                </c:pt>
                <c:pt idx="354">
                  <c:v>45565</c:v>
                </c:pt>
                <c:pt idx="355">
                  <c:v>45564</c:v>
                </c:pt>
                <c:pt idx="356">
                  <c:v>45563</c:v>
                </c:pt>
                <c:pt idx="357">
                  <c:v>45562</c:v>
                </c:pt>
                <c:pt idx="358">
                  <c:v>45561</c:v>
                </c:pt>
                <c:pt idx="359">
                  <c:v>45560</c:v>
                </c:pt>
                <c:pt idx="360">
                  <c:v>45559</c:v>
                </c:pt>
                <c:pt idx="361">
                  <c:v>45558</c:v>
                </c:pt>
                <c:pt idx="362">
                  <c:v>45557</c:v>
                </c:pt>
                <c:pt idx="363">
                  <c:v>45556</c:v>
                </c:pt>
                <c:pt idx="364">
                  <c:v>45555</c:v>
                </c:pt>
                <c:pt idx="365">
                  <c:v>45554</c:v>
                </c:pt>
                <c:pt idx="366">
                  <c:v>45553</c:v>
                </c:pt>
                <c:pt idx="367">
                  <c:v>45552</c:v>
                </c:pt>
                <c:pt idx="368">
                  <c:v>45551</c:v>
                </c:pt>
                <c:pt idx="369">
                  <c:v>45550</c:v>
                </c:pt>
                <c:pt idx="370">
                  <c:v>45549</c:v>
                </c:pt>
                <c:pt idx="371">
                  <c:v>45548</c:v>
                </c:pt>
                <c:pt idx="372">
                  <c:v>45547</c:v>
                </c:pt>
                <c:pt idx="373">
                  <c:v>45546</c:v>
                </c:pt>
                <c:pt idx="374">
                  <c:v>45545</c:v>
                </c:pt>
                <c:pt idx="375">
                  <c:v>45544</c:v>
                </c:pt>
                <c:pt idx="376">
                  <c:v>45543</c:v>
                </c:pt>
                <c:pt idx="377">
                  <c:v>45542</c:v>
                </c:pt>
                <c:pt idx="378">
                  <c:v>45541</c:v>
                </c:pt>
                <c:pt idx="379">
                  <c:v>45540</c:v>
                </c:pt>
                <c:pt idx="380">
                  <c:v>45539</c:v>
                </c:pt>
                <c:pt idx="381">
                  <c:v>45538</c:v>
                </c:pt>
                <c:pt idx="382">
                  <c:v>45537</c:v>
                </c:pt>
                <c:pt idx="383">
                  <c:v>45536</c:v>
                </c:pt>
                <c:pt idx="384">
                  <c:v>45535</c:v>
                </c:pt>
                <c:pt idx="385">
                  <c:v>45534</c:v>
                </c:pt>
                <c:pt idx="386">
                  <c:v>45533</c:v>
                </c:pt>
                <c:pt idx="387">
                  <c:v>45532</c:v>
                </c:pt>
                <c:pt idx="388">
                  <c:v>45531</c:v>
                </c:pt>
                <c:pt idx="389">
                  <c:v>45530</c:v>
                </c:pt>
                <c:pt idx="390">
                  <c:v>45529</c:v>
                </c:pt>
                <c:pt idx="391">
                  <c:v>45528</c:v>
                </c:pt>
                <c:pt idx="392">
                  <c:v>45527</c:v>
                </c:pt>
                <c:pt idx="393">
                  <c:v>45526</c:v>
                </c:pt>
                <c:pt idx="394">
                  <c:v>45525</c:v>
                </c:pt>
                <c:pt idx="395">
                  <c:v>45524</c:v>
                </c:pt>
                <c:pt idx="396">
                  <c:v>45523</c:v>
                </c:pt>
                <c:pt idx="397">
                  <c:v>45522</c:v>
                </c:pt>
                <c:pt idx="398">
                  <c:v>45521</c:v>
                </c:pt>
                <c:pt idx="399">
                  <c:v>45520</c:v>
                </c:pt>
                <c:pt idx="400">
                  <c:v>45519</c:v>
                </c:pt>
                <c:pt idx="401">
                  <c:v>45518</c:v>
                </c:pt>
                <c:pt idx="402">
                  <c:v>45517</c:v>
                </c:pt>
                <c:pt idx="403">
                  <c:v>45516</c:v>
                </c:pt>
                <c:pt idx="404">
                  <c:v>45515</c:v>
                </c:pt>
                <c:pt idx="405">
                  <c:v>45514</c:v>
                </c:pt>
                <c:pt idx="406">
                  <c:v>45513</c:v>
                </c:pt>
                <c:pt idx="407">
                  <c:v>45512</c:v>
                </c:pt>
                <c:pt idx="408">
                  <c:v>45511</c:v>
                </c:pt>
                <c:pt idx="409">
                  <c:v>45510</c:v>
                </c:pt>
                <c:pt idx="410">
                  <c:v>45509</c:v>
                </c:pt>
                <c:pt idx="411">
                  <c:v>45508</c:v>
                </c:pt>
                <c:pt idx="412">
                  <c:v>45507</c:v>
                </c:pt>
                <c:pt idx="413">
                  <c:v>45506</c:v>
                </c:pt>
                <c:pt idx="414">
                  <c:v>45505</c:v>
                </c:pt>
                <c:pt idx="415">
                  <c:v>45504</c:v>
                </c:pt>
                <c:pt idx="416">
                  <c:v>45503</c:v>
                </c:pt>
                <c:pt idx="417">
                  <c:v>45502</c:v>
                </c:pt>
                <c:pt idx="418">
                  <c:v>45501</c:v>
                </c:pt>
                <c:pt idx="419">
                  <c:v>45500</c:v>
                </c:pt>
                <c:pt idx="420">
                  <c:v>45499</c:v>
                </c:pt>
                <c:pt idx="421">
                  <c:v>45498</c:v>
                </c:pt>
                <c:pt idx="422">
                  <c:v>45497</c:v>
                </c:pt>
                <c:pt idx="423">
                  <c:v>45496</c:v>
                </c:pt>
                <c:pt idx="424">
                  <c:v>45495</c:v>
                </c:pt>
                <c:pt idx="425">
                  <c:v>45494</c:v>
                </c:pt>
                <c:pt idx="426">
                  <c:v>45493</c:v>
                </c:pt>
                <c:pt idx="427">
                  <c:v>45492</c:v>
                </c:pt>
                <c:pt idx="428">
                  <c:v>45491</c:v>
                </c:pt>
                <c:pt idx="429">
                  <c:v>45490</c:v>
                </c:pt>
                <c:pt idx="430">
                  <c:v>45489</c:v>
                </c:pt>
                <c:pt idx="431">
                  <c:v>45488</c:v>
                </c:pt>
                <c:pt idx="432">
                  <c:v>45487</c:v>
                </c:pt>
                <c:pt idx="433">
                  <c:v>45486</c:v>
                </c:pt>
                <c:pt idx="434">
                  <c:v>45485</c:v>
                </c:pt>
                <c:pt idx="435">
                  <c:v>45484</c:v>
                </c:pt>
                <c:pt idx="436">
                  <c:v>45483</c:v>
                </c:pt>
                <c:pt idx="437">
                  <c:v>45482</c:v>
                </c:pt>
                <c:pt idx="438">
                  <c:v>45481</c:v>
                </c:pt>
                <c:pt idx="439">
                  <c:v>45480</c:v>
                </c:pt>
                <c:pt idx="440">
                  <c:v>45479</c:v>
                </c:pt>
                <c:pt idx="441">
                  <c:v>45478</c:v>
                </c:pt>
                <c:pt idx="442">
                  <c:v>45477</c:v>
                </c:pt>
                <c:pt idx="443">
                  <c:v>45476</c:v>
                </c:pt>
                <c:pt idx="444">
                  <c:v>45475</c:v>
                </c:pt>
                <c:pt idx="445">
                  <c:v>45474</c:v>
                </c:pt>
                <c:pt idx="446">
                  <c:v>45473</c:v>
                </c:pt>
                <c:pt idx="447">
                  <c:v>45472</c:v>
                </c:pt>
                <c:pt idx="448">
                  <c:v>45471</c:v>
                </c:pt>
                <c:pt idx="449">
                  <c:v>45470</c:v>
                </c:pt>
                <c:pt idx="450">
                  <c:v>45469</c:v>
                </c:pt>
                <c:pt idx="451">
                  <c:v>45468</c:v>
                </c:pt>
                <c:pt idx="452">
                  <c:v>45467</c:v>
                </c:pt>
                <c:pt idx="453">
                  <c:v>45466</c:v>
                </c:pt>
                <c:pt idx="454">
                  <c:v>45465</c:v>
                </c:pt>
                <c:pt idx="455">
                  <c:v>45464</c:v>
                </c:pt>
                <c:pt idx="456">
                  <c:v>45463</c:v>
                </c:pt>
                <c:pt idx="457">
                  <c:v>45462</c:v>
                </c:pt>
                <c:pt idx="458">
                  <c:v>45461</c:v>
                </c:pt>
                <c:pt idx="459">
                  <c:v>45460</c:v>
                </c:pt>
                <c:pt idx="460">
                  <c:v>45459</c:v>
                </c:pt>
                <c:pt idx="461">
                  <c:v>45458</c:v>
                </c:pt>
                <c:pt idx="462">
                  <c:v>45457</c:v>
                </c:pt>
                <c:pt idx="463">
                  <c:v>45456</c:v>
                </c:pt>
                <c:pt idx="464">
                  <c:v>45455</c:v>
                </c:pt>
                <c:pt idx="465">
                  <c:v>45454</c:v>
                </c:pt>
                <c:pt idx="466">
                  <c:v>45453</c:v>
                </c:pt>
                <c:pt idx="467">
                  <c:v>45452</c:v>
                </c:pt>
                <c:pt idx="468">
                  <c:v>45451</c:v>
                </c:pt>
                <c:pt idx="469">
                  <c:v>45450</c:v>
                </c:pt>
                <c:pt idx="470">
                  <c:v>45449</c:v>
                </c:pt>
                <c:pt idx="471">
                  <c:v>45448</c:v>
                </c:pt>
                <c:pt idx="472">
                  <c:v>45447</c:v>
                </c:pt>
                <c:pt idx="473">
                  <c:v>45446</c:v>
                </c:pt>
                <c:pt idx="474">
                  <c:v>45445</c:v>
                </c:pt>
                <c:pt idx="475">
                  <c:v>45444</c:v>
                </c:pt>
                <c:pt idx="476">
                  <c:v>45443</c:v>
                </c:pt>
                <c:pt idx="477">
                  <c:v>45442</c:v>
                </c:pt>
                <c:pt idx="478">
                  <c:v>45441</c:v>
                </c:pt>
                <c:pt idx="479">
                  <c:v>45440</c:v>
                </c:pt>
                <c:pt idx="480">
                  <c:v>45439</c:v>
                </c:pt>
                <c:pt idx="481">
                  <c:v>45438</c:v>
                </c:pt>
                <c:pt idx="482">
                  <c:v>45437</c:v>
                </c:pt>
                <c:pt idx="483">
                  <c:v>45436</c:v>
                </c:pt>
                <c:pt idx="484">
                  <c:v>45435</c:v>
                </c:pt>
                <c:pt idx="485">
                  <c:v>45434</c:v>
                </c:pt>
                <c:pt idx="486">
                  <c:v>45433</c:v>
                </c:pt>
                <c:pt idx="487">
                  <c:v>45432</c:v>
                </c:pt>
                <c:pt idx="488">
                  <c:v>45431</c:v>
                </c:pt>
                <c:pt idx="489">
                  <c:v>45430</c:v>
                </c:pt>
                <c:pt idx="490">
                  <c:v>45429</c:v>
                </c:pt>
                <c:pt idx="491">
                  <c:v>45428</c:v>
                </c:pt>
                <c:pt idx="492">
                  <c:v>45427</c:v>
                </c:pt>
                <c:pt idx="493">
                  <c:v>45426</c:v>
                </c:pt>
                <c:pt idx="494">
                  <c:v>45425</c:v>
                </c:pt>
                <c:pt idx="495">
                  <c:v>45424</c:v>
                </c:pt>
                <c:pt idx="496">
                  <c:v>45423</c:v>
                </c:pt>
                <c:pt idx="497">
                  <c:v>45422</c:v>
                </c:pt>
                <c:pt idx="498">
                  <c:v>45421</c:v>
                </c:pt>
                <c:pt idx="499">
                  <c:v>45420</c:v>
                </c:pt>
                <c:pt idx="500">
                  <c:v>45419</c:v>
                </c:pt>
                <c:pt idx="501">
                  <c:v>45418</c:v>
                </c:pt>
                <c:pt idx="502">
                  <c:v>45417</c:v>
                </c:pt>
                <c:pt idx="503">
                  <c:v>45416</c:v>
                </c:pt>
                <c:pt idx="504">
                  <c:v>45415</c:v>
                </c:pt>
                <c:pt idx="505">
                  <c:v>45414</c:v>
                </c:pt>
                <c:pt idx="506">
                  <c:v>45413</c:v>
                </c:pt>
                <c:pt idx="507">
                  <c:v>45412</c:v>
                </c:pt>
                <c:pt idx="508">
                  <c:v>45411</c:v>
                </c:pt>
                <c:pt idx="509">
                  <c:v>45410</c:v>
                </c:pt>
                <c:pt idx="510">
                  <c:v>45409</c:v>
                </c:pt>
                <c:pt idx="511">
                  <c:v>45408</c:v>
                </c:pt>
                <c:pt idx="512">
                  <c:v>45407</c:v>
                </c:pt>
                <c:pt idx="513">
                  <c:v>45406</c:v>
                </c:pt>
                <c:pt idx="514">
                  <c:v>45405</c:v>
                </c:pt>
                <c:pt idx="515">
                  <c:v>45404</c:v>
                </c:pt>
                <c:pt idx="516">
                  <c:v>45403</c:v>
                </c:pt>
                <c:pt idx="517">
                  <c:v>45402</c:v>
                </c:pt>
                <c:pt idx="518">
                  <c:v>45401</c:v>
                </c:pt>
                <c:pt idx="519">
                  <c:v>45400</c:v>
                </c:pt>
                <c:pt idx="520">
                  <c:v>45399</c:v>
                </c:pt>
                <c:pt idx="521">
                  <c:v>45398</c:v>
                </c:pt>
                <c:pt idx="522">
                  <c:v>45397</c:v>
                </c:pt>
                <c:pt idx="523">
                  <c:v>45396</c:v>
                </c:pt>
                <c:pt idx="524">
                  <c:v>45395</c:v>
                </c:pt>
                <c:pt idx="525">
                  <c:v>45394</c:v>
                </c:pt>
                <c:pt idx="526">
                  <c:v>45393</c:v>
                </c:pt>
                <c:pt idx="527">
                  <c:v>45392</c:v>
                </c:pt>
                <c:pt idx="528">
                  <c:v>45391</c:v>
                </c:pt>
                <c:pt idx="529">
                  <c:v>45390</c:v>
                </c:pt>
                <c:pt idx="530">
                  <c:v>45389</c:v>
                </c:pt>
                <c:pt idx="531">
                  <c:v>45388</c:v>
                </c:pt>
                <c:pt idx="532">
                  <c:v>45387</c:v>
                </c:pt>
                <c:pt idx="533">
                  <c:v>45386</c:v>
                </c:pt>
                <c:pt idx="534">
                  <c:v>45385</c:v>
                </c:pt>
                <c:pt idx="535">
                  <c:v>45384</c:v>
                </c:pt>
                <c:pt idx="536">
                  <c:v>45383</c:v>
                </c:pt>
                <c:pt idx="537">
                  <c:v>45382</c:v>
                </c:pt>
                <c:pt idx="538">
                  <c:v>45381</c:v>
                </c:pt>
                <c:pt idx="539">
                  <c:v>45380</c:v>
                </c:pt>
                <c:pt idx="540">
                  <c:v>45379</c:v>
                </c:pt>
                <c:pt idx="541">
                  <c:v>45378</c:v>
                </c:pt>
                <c:pt idx="542">
                  <c:v>45377</c:v>
                </c:pt>
                <c:pt idx="543">
                  <c:v>45376</c:v>
                </c:pt>
                <c:pt idx="544">
                  <c:v>45375</c:v>
                </c:pt>
                <c:pt idx="545">
                  <c:v>45374</c:v>
                </c:pt>
                <c:pt idx="546">
                  <c:v>45373</c:v>
                </c:pt>
                <c:pt idx="547">
                  <c:v>45372</c:v>
                </c:pt>
                <c:pt idx="548">
                  <c:v>45371</c:v>
                </c:pt>
                <c:pt idx="549">
                  <c:v>45370</c:v>
                </c:pt>
                <c:pt idx="550">
                  <c:v>45369</c:v>
                </c:pt>
                <c:pt idx="551">
                  <c:v>45368</c:v>
                </c:pt>
                <c:pt idx="552">
                  <c:v>45367</c:v>
                </c:pt>
                <c:pt idx="553">
                  <c:v>45366</c:v>
                </c:pt>
                <c:pt idx="554">
                  <c:v>45365</c:v>
                </c:pt>
                <c:pt idx="555">
                  <c:v>45364</c:v>
                </c:pt>
                <c:pt idx="556">
                  <c:v>45363</c:v>
                </c:pt>
                <c:pt idx="557">
                  <c:v>45362</c:v>
                </c:pt>
                <c:pt idx="558">
                  <c:v>45361</c:v>
                </c:pt>
                <c:pt idx="559">
                  <c:v>45360</c:v>
                </c:pt>
                <c:pt idx="560">
                  <c:v>45359</c:v>
                </c:pt>
                <c:pt idx="561">
                  <c:v>45358</c:v>
                </c:pt>
                <c:pt idx="562">
                  <c:v>45357</c:v>
                </c:pt>
                <c:pt idx="563">
                  <c:v>45356</c:v>
                </c:pt>
                <c:pt idx="564">
                  <c:v>45355</c:v>
                </c:pt>
                <c:pt idx="565">
                  <c:v>45354</c:v>
                </c:pt>
                <c:pt idx="566">
                  <c:v>45353</c:v>
                </c:pt>
                <c:pt idx="567">
                  <c:v>45352</c:v>
                </c:pt>
                <c:pt idx="568">
                  <c:v>45351</c:v>
                </c:pt>
                <c:pt idx="569">
                  <c:v>45350</c:v>
                </c:pt>
                <c:pt idx="570">
                  <c:v>45349</c:v>
                </c:pt>
                <c:pt idx="571">
                  <c:v>45348</c:v>
                </c:pt>
                <c:pt idx="572">
                  <c:v>45347</c:v>
                </c:pt>
                <c:pt idx="573">
                  <c:v>45346</c:v>
                </c:pt>
                <c:pt idx="574">
                  <c:v>45345</c:v>
                </c:pt>
                <c:pt idx="575">
                  <c:v>45344</c:v>
                </c:pt>
                <c:pt idx="576">
                  <c:v>45343</c:v>
                </c:pt>
                <c:pt idx="577">
                  <c:v>45342</c:v>
                </c:pt>
                <c:pt idx="578">
                  <c:v>45341</c:v>
                </c:pt>
                <c:pt idx="579">
                  <c:v>45340</c:v>
                </c:pt>
                <c:pt idx="580">
                  <c:v>45339</c:v>
                </c:pt>
                <c:pt idx="581">
                  <c:v>45338</c:v>
                </c:pt>
                <c:pt idx="582">
                  <c:v>45337</c:v>
                </c:pt>
                <c:pt idx="583">
                  <c:v>45336</c:v>
                </c:pt>
                <c:pt idx="584">
                  <c:v>45335</c:v>
                </c:pt>
                <c:pt idx="585">
                  <c:v>45334</c:v>
                </c:pt>
                <c:pt idx="586">
                  <c:v>45333</c:v>
                </c:pt>
                <c:pt idx="587">
                  <c:v>45332</c:v>
                </c:pt>
                <c:pt idx="588">
                  <c:v>45331</c:v>
                </c:pt>
                <c:pt idx="589">
                  <c:v>45330</c:v>
                </c:pt>
                <c:pt idx="590">
                  <c:v>45329</c:v>
                </c:pt>
                <c:pt idx="591">
                  <c:v>45328</c:v>
                </c:pt>
                <c:pt idx="592">
                  <c:v>45327</c:v>
                </c:pt>
                <c:pt idx="593">
                  <c:v>45326</c:v>
                </c:pt>
                <c:pt idx="594">
                  <c:v>45325</c:v>
                </c:pt>
                <c:pt idx="595">
                  <c:v>45324</c:v>
                </c:pt>
                <c:pt idx="596">
                  <c:v>45323</c:v>
                </c:pt>
                <c:pt idx="597">
                  <c:v>45322</c:v>
                </c:pt>
                <c:pt idx="598">
                  <c:v>45321</c:v>
                </c:pt>
                <c:pt idx="599">
                  <c:v>45320</c:v>
                </c:pt>
                <c:pt idx="600">
                  <c:v>45319</c:v>
                </c:pt>
                <c:pt idx="601">
                  <c:v>45318</c:v>
                </c:pt>
                <c:pt idx="602">
                  <c:v>45317</c:v>
                </c:pt>
                <c:pt idx="603">
                  <c:v>45316</c:v>
                </c:pt>
                <c:pt idx="604">
                  <c:v>45315</c:v>
                </c:pt>
                <c:pt idx="605">
                  <c:v>45314</c:v>
                </c:pt>
                <c:pt idx="606">
                  <c:v>45313</c:v>
                </c:pt>
                <c:pt idx="607">
                  <c:v>45312</c:v>
                </c:pt>
                <c:pt idx="608">
                  <c:v>45311</c:v>
                </c:pt>
                <c:pt idx="609">
                  <c:v>45310</c:v>
                </c:pt>
                <c:pt idx="610">
                  <c:v>45309</c:v>
                </c:pt>
                <c:pt idx="611">
                  <c:v>45308</c:v>
                </c:pt>
                <c:pt idx="612">
                  <c:v>45307</c:v>
                </c:pt>
                <c:pt idx="613">
                  <c:v>45306</c:v>
                </c:pt>
                <c:pt idx="614">
                  <c:v>45305</c:v>
                </c:pt>
                <c:pt idx="615">
                  <c:v>45304</c:v>
                </c:pt>
                <c:pt idx="616">
                  <c:v>45303</c:v>
                </c:pt>
                <c:pt idx="617">
                  <c:v>45302</c:v>
                </c:pt>
                <c:pt idx="618">
                  <c:v>45301</c:v>
                </c:pt>
                <c:pt idx="619">
                  <c:v>45300</c:v>
                </c:pt>
                <c:pt idx="620">
                  <c:v>45299</c:v>
                </c:pt>
                <c:pt idx="621">
                  <c:v>45298</c:v>
                </c:pt>
                <c:pt idx="622">
                  <c:v>45297</c:v>
                </c:pt>
                <c:pt idx="623">
                  <c:v>45296</c:v>
                </c:pt>
                <c:pt idx="624">
                  <c:v>45295</c:v>
                </c:pt>
                <c:pt idx="625">
                  <c:v>45294</c:v>
                </c:pt>
                <c:pt idx="626">
                  <c:v>45293</c:v>
                </c:pt>
                <c:pt idx="627">
                  <c:v>45292</c:v>
                </c:pt>
                <c:pt idx="628">
                  <c:v>45291</c:v>
                </c:pt>
                <c:pt idx="629">
                  <c:v>45290</c:v>
                </c:pt>
                <c:pt idx="630">
                  <c:v>45289</c:v>
                </c:pt>
                <c:pt idx="631">
                  <c:v>45288</c:v>
                </c:pt>
                <c:pt idx="632">
                  <c:v>45287</c:v>
                </c:pt>
                <c:pt idx="633">
                  <c:v>45286</c:v>
                </c:pt>
                <c:pt idx="634">
                  <c:v>45285</c:v>
                </c:pt>
                <c:pt idx="635">
                  <c:v>45284</c:v>
                </c:pt>
                <c:pt idx="636">
                  <c:v>45283</c:v>
                </c:pt>
                <c:pt idx="637">
                  <c:v>45282</c:v>
                </c:pt>
                <c:pt idx="638">
                  <c:v>45281</c:v>
                </c:pt>
                <c:pt idx="639">
                  <c:v>45280</c:v>
                </c:pt>
                <c:pt idx="640">
                  <c:v>45279</c:v>
                </c:pt>
                <c:pt idx="641">
                  <c:v>45278</c:v>
                </c:pt>
                <c:pt idx="642">
                  <c:v>45277</c:v>
                </c:pt>
                <c:pt idx="643">
                  <c:v>45276</c:v>
                </c:pt>
                <c:pt idx="644">
                  <c:v>45275</c:v>
                </c:pt>
                <c:pt idx="645">
                  <c:v>45274</c:v>
                </c:pt>
                <c:pt idx="646">
                  <c:v>45273</c:v>
                </c:pt>
                <c:pt idx="647">
                  <c:v>45272</c:v>
                </c:pt>
                <c:pt idx="648">
                  <c:v>45271</c:v>
                </c:pt>
                <c:pt idx="649">
                  <c:v>45270</c:v>
                </c:pt>
                <c:pt idx="650">
                  <c:v>45269</c:v>
                </c:pt>
                <c:pt idx="651">
                  <c:v>45268</c:v>
                </c:pt>
                <c:pt idx="652">
                  <c:v>45267</c:v>
                </c:pt>
                <c:pt idx="653">
                  <c:v>45266</c:v>
                </c:pt>
                <c:pt idx="654">
                  <c:v>45265</c:v>
                </c:pt>
                <c:pt idx="655">
                  <c:v>45264</c:v>
                </c:pt>
                <c:pt idx="656">
                  <c:v>45263</c:v>
                </c:pt>
                <c:pt idx="657">
                  <c:v>45262</c:v>
                </c:pt>
                <c:pt idx="658">
                  <c:v>45261</c:v>
                </c:pt>
                <c:pt idx="659">
                  <c:v>45260</c:v>
                </c:pt>
                <c:pt idx="660">
                  <c:v>45259</c:v>
                </c:pt>
                <c:pt idx="661">
                  <c:v>45258</c:v>
                </c:pt>
                <c:pt idx="662">
                  <c:v>45257</c:v>
                </c:pt>
                <c:pt idx="663">
                  <c:v>45256</c:v>
                </c:pt>
                <c:pt idx="664">
                  <c:v>45255</c:v>
                </c:pt>
                <c:pt idx="665">
                  <c:v>45254</c:v>
                </c:pt>
                <c:pt idx="666">
                  <c:v>45253</c:v>
                </c:pt>
                <c:pt idx="667">
                  <c:v>45252</c:v>
                </c:pt>
                <c:pt idx="668">
                  <c:v>45251</c:v>
                </c:pt>
                <c:pt idx="669">
                  <c:v>45250</c:v>
                </c:pt>
                <c:pt idx="670">
                  <c:v>45249</c:v>
                </c:pt>
                <c:pt idx="671">
                  <c:v>45248</c:v>
                </c:pt>
                <c:pt idx="672">
                  <c:v>45247</c:v>
                </c:pt>
                <c:pt idx="673">
                  <c:v>45246</c:v>
                </c:pt>
                <c:pt idx="674">
                  <c:v>45245</c:v>
                </c:pt>
                <c:pt idx="675">
                  <c:v>45244</c:v>
                </c:pt>
                <c:pt idx="676">
                  <c:v>45243</c:v>
                </c:pt>
                <c:pt idx="677">
                  <c:v>45242</c:v>
                </c:pt>
                <c:pt idx="678">
                  <c:v>45241</c:v>
                </c:pt>
                <c:pt idx="679">
                  <c:v>45240</c:v>
                </c:pt>
                <c:pt idx="680">
                  <c:v>45239</c:v>
                </c:pt>
                <c:pt idx="681">
                  <c:v>45238</c:v>
                </c:pt>
                <c:pt idx="682">
                  <c:v>45237</c:v>
                </c:pt>
                <c:pt idx="683">
                  <c:v>45236</c:v>
                </c:pt>
                <c:pt idx="684">
                  <c:v>45235</c:v>
                </c:pt>
                <c:pt idx="685">
                  <c:v>45234</c:v>
                </c:pt>
                <c:pt idx="686">
                  <c:v>45233</c:v>
                </c:pt>
                <c:pt idx="687">
                  <c:v>45232</c:v>
                </c:pt>
                <c:pt idx="688">
                  <c:v>45231</c:v>
                </c:pt>
                <c:pt idx="689">
                  <c:v>45230</c:v>
                </c:pt>
                <c:pt idx="690">
                  <c:v>45229</c:v>
                </c:pt>
                <c:pt idx="691">
                  <c:v>45228</c:v>
                </c:pt>
                <c:pt idx="692">
                  <c:v>45227</c:v>
                </c:pt>
                <c:pt idx="693">
                  <c:v>45226</c:v>
                </c:pt>
                <c:pt idx="694">
                  <c:v>45225</c:v>
                </c:pt>
                <c:pt idx="695">
                  <c:v>45224</c:v>
                </c:pt>
                <c:pt idx="696">
                  <c:v>45223</c:v>
                </c:pt>
                <c:pt idx="697">
                  <c:v>45222</c:v>
                </c:pt>
                <c:pt idx="698">
                  <c:v>45221</c:v>
                </c:pt>
                <c:pt idx="699">
                  <c:v>45220</c:v>
                </c:pt>
                <c:pt idx="700">
                  <c:v>45219</c:v>
                </c:pt>
                <c:pt idx="701">
                  <c:v>45218</c:v>
                </c:pt>
                <c:pt idx="702">
                  <c:v>45217</c:v>
                </c:pt>
                <c:pt idx="703">
                  <c:v>45216</c:v>
                </c:pt>
                <c:pt idx="704">
                  <c:v>45215</c:v>
                </c:pt>
                <c:pt idx="705">
                  <c:v>45214</c:v>
                </c:pt>
                <c:pt idx="706">
                  <c:v>45213</c:v>
                </c:pt>
                <c:pt idx="707">
                  <c:v>45212</c:v>
                </c:pt>
                <c:pt idx="708">
                  <c:v>45211</c:v>
                </c:pt>
                <c:pt idx="709">
                  <c:v>45210</c:v>
                </c:pt>
                <c:pt idx="710">
                  <c:v>45209</c:v>
                </c:pt>
                <c:pt idx="711">
                  <c:v>45208</c:v>
                </c:pt>
                <c:pt idx="712">
                  <c:v>45207</c:v>
                </c:pt>
                <c:pt idx="713">
                  <c:v>45206</c:v>
                </c:pt>
                <c:pt idx="714">
                  <c:v>45205</c:v>
                </c:pt>
                <c:pt idx="715">
                  <c:v>45204</c:v>
                </c:pt>
                <c:pt idx="716">
                  <c:v>45203</c:v>
                </c:pt>
                <c:pt idx="717">
                  <c:v>45202</c:v>
                </c:pt>
                <c:pt idx="718">
                  <c:v>45201</c:v>
                </c:pt>
                <c:pt idx="719">
                  <c:v>45200</c:v>
                </c:pt>
                <c:pt idx="720">
                  <c:v>45199</c:v>
                </c:pt>
                <c:pt idx="721">
                  <c:v>45198</c:v>
                </c:pt>
                <c:pt idx="722">
                  <c:v>45197</c:v>
                </c:pt>
                <c:pt idx="723">
                  <c:v>45196</c:v>
                </c:pt>
                <c:pt idx="724">
                  <c:v>45195</c:v>
                </c:pt>
                <c:pt idx="725">
                  <c:v>45194</c:v>
                </c:pt>
                <c:pt idx="726">
                  <c:v>45193</c:v>
                </c:pt>
                <c:pt idx="727">
                  <c:v>45192</c:v>
                </c:pt>
                <c:pt idx="728">
                  <c:v>45191</c:v>
                </c:pt>
                <c:pt idx="729">
                  <c:v>45190</c:v>
                </c:pt>
                <c:pt idx="730">
                  <c:v>45189</c:v>
                </c:pt>
                <c:pt idx="731">
                  <c:v>45188</c:v>
                </c:pt>
                <c:pt idx="732">
                  <c:v>45187</c:v>
                </c:pt>
                <c:pt idx="733">
                  <c:v>45186</c:v>
                </c:pt>
                <c:pt idx="734">
                  <c:v>45185</c:v>
                </c:pt>
                <c:pt idx="735">
                  <c:v>45184</c:v>
                </c:pt>
                <c:pt idx="736">
                  <c:v>45183</c:v>
                </c:pt>
                <c:pt idx="737">
                  <c:v>45182</c:v>
                </c:pt>
                <c:pt idx="738">
                  <c:v>45181</c:v>
                </c:pt>
                <c:pt idx="739">
                  <c:v>45180</c:v>
                </c:pt>
                <c:pt idx="740">
                  <c:v>45179</c:v>
                </c:pt>
                <c:pt idx="741">
                  <c:v>45178</c:v>
                </c:pt>
                <c:pt idx="742">
                  <c:v>45177</c:v>
                </c:pt>
                <c:pt idx="743">
                  <c:v>45176</c:v>
                </c:pt>
                <c:pt idx="744">
                  <c:v>45175</c:v>
                </c:pt>
                <c:pt idx="745">
                  <c:v>45174</c:v>
                </c:pt>
                <c:pt idx="746">
                  <c:v>45173</c:v>
                </c:pt>
                <c:pt idx="747">
                  <c:v>45172</c:v>
                </c:pt>
                <c:pt idx="748">
                  <c:v>45171</c:v>
                </c:pt>
                <c:pt idx="749">
                  <c:v>45170</c:v>
                </c:pt>
                <c:pt idx="750">
                  <c:v>45169</c:v>
                </c:pt>
                <c:pt idx="751">
                  <c:v>45168</c:v>
                </c:pt>
                <c:pt idx="752">
                  <c:v>45167</c:v>
                </c:pt>
                <c:pt idx="753">
                  <c:v>45166</c:v>
                </c:pt>
                <c:pt idx="754">
                  <c:v>45165</c:v>
                </c:pt>
                <c:pt idx="755">
                  <c:v>45164</c:v>
                </c:pt>
                <c:pt idx="756">
                  <c:v>45163</c:v>
                </c:pt>
                <c:pt idx="757">
                  <c:v>45162</c:v>
                </c:pt>
                <c:pt idx="758">
                  <c:v>45161</c:v>
                </c:pt>
                <c:pt idx="759">
                  <c:v>45160</c:v>
                </c:pt>
                <c:pt idx="760">
                  <c:v>45159</c:v>
                </c:pt>
                <c:pt idx="761">
                  <c:v>45158</c:v>
                </c:pt>
                <c:pt idx="762">
                  <c:v>45157</c:v>
                </c:pt>
                <c:pt idx="763">
                  <c:v>45156</c:v>
                </c:pt>
                <c:pt idx="764">
                  <c:v>45155</c:v>
                </c:pt>
                <c:pt idx="765">
                  <c:v>45154</c:v>
                </c:pt>
                <c:pt idx="766">
                  <c:v>45153</c:v>
                </c:pt>
                <c:pt idx="767">
                  <c:v>45152</c:v>
                </c:pt>
                <c:pt idx="768">
                  <c:v>45151</c:v>
                </c:pt>
                <c:pt idx="769">
                  <c:v>45150</c:v>
                </c:pt>
                <c:pt idx="770">
                  <c:v>45149</c:v>
                </c:pt>
                <c:pt idx="771">
                  <c:v>45148</c:v>
                </c:pt>
                <c:pt idx="772">
                  <c:v>45147</c:v>
                </c:pt>
                <c:pt idx="773">
                  <c:v>45146</c:v>
                </c:pt>
                <c:pt idx="774">
                  <c:v>45145</c:v>
                </c:pt>
                <c:pt idx="775">
                  <c:v>45144</c:v>
                </c:pt>
                <c:pt idx="776">
                  <c:v>45143</c:v>
                </c:pt>
                <c:pt idx="777">
                  <c:v>45142</c:v>
                </c:pt>
                <c:pt idx="778">
                  <c:v>45141</c:v>
                </c:pt>
                <c:pt idx="779">
                  <c:v>45140</c:v>
                </c:pt>
                <c:pt idx="780">
                  <c:v>45139</c:v>
                </c:pt>
                <c:pt idx="781">
                  <c:v>45138</c:v>
                </c:pt>
                <c:pt idx="782">
                  <c:v>45137</c:v>
                </c:pt>
                <c:pt idx="783">
                  <c:v>45136</c:v>
                </c:pt>
                <c:pt idx="784">
                  <c:v>45135</c:v>
                </c:pt>
                <c:pt idx="785">
                  <c:v>45134</c:v>
                </c:pt>
                <c:pt idx="786">
                  <c:v>45133</c:v>
                </c:pt>
                <c:pt idx="787">
                  <c:v>45132</c:v>
                </c:pt>
                <c:pt idx="788">
                  <c:v>45131</c:v>
                </c:pt>
                <c:pt idx="789">
                  <c:v>45130</c:v>
                </c:pt>
                <c:pt idx="790">
                  <c:v>45129</c:v>
                </c:pt>
                <c:pt idx="791">
                  <c:v>45128</c:v>
                </c:pt>
                <c:pt idx="792">
                  <c:v>45127</c:v>
                </c:pt>
                <c:pt idx="793">
                  <c:v>45126</c:v>
                </c:pt>
                <c:pt idx="794">
                  <c:v>45125</c:v>
                </c:pt>
                <c:pt idx="795">
                  <c:v>45124</c:v>
                </c:pt>
                <c:pt idx="796">
                  <c:v>45123</c:v>
                </c:pt>
                <c:pt idx="797">
                  <c:v>45122</c:v>
                </c:pt>
                <c:pt idx="798">
                  <c:v>45121</c:v>
                </c:pt>
                <c:pt idx="799">
                  <c:v>45120</c:v>
                </c:pt>
                <c:pt idx="800">
                  <c:v>45119</c:v>
                </c:pt>
                <c:pt idx="801">
                  <c:v>45118</c:v>
                </c:pt>
                <c:pt idx="802">
                  <c:v>45117</c:v>
                </c:pt>
                <c:pt idx="803">
                  <c:v>45116</c:v>
                </c:pt>
                <c:pt idx="804">
                  <c:v>45115</c:v>
                </c:pt>
                <c:pt idx="805">
                  <c:v>45114</c:v>
                </c:pt>
                <c:pt idx="806">
                  <c:v>45113</c:v>
                </c:pt>
                <c:pt idx="807">
                  <c:v>45112</c:v>
                </c:pt>
                <c:pt idx="808">
                  <c:v>45111</c:v>
                </c:pt>
                <c:pt idx="809">
                  <c:v>45110</c:v>
                </c:pt>
                <c:pt idx="810">
                  <c:v>45109</c:v>
                </c:pt>
                <c:pt idx="811">
                  <c:v>45108</c:v>
                </c:pt>
                <c:pt idx="812">
                  <c:v>45107</c:v>
                </c:pt>
                <c:pt idx="813">
                  <c:v>45106</c:v>
                </c:pt>
                <c:pt idx="814">
                  <c:v>45105</c:v>
                </c:pt>
                <c:pt idx="815">
                  <c:v>45104</c:v>
                </c:pt>
                <c:pt idx="816">
                  <c:v>45103</c:v>
                </c:pt>
                <c:pt idx="817">
                  <c:v>45102</c:v>
                </c:pt>
                <c:pt idx="818">
                  <c:v>45101</c:v>
                </c:pt>
                <c:pt idx="819">
                  <c:v>45100</c:v>
                </c:pt>
                <c:pt idx="820">
                  <c:v>45099</c:v>
                </c:pt>
                <c:pt idx="821">
                  <c:v>45098</c:v>
                </c:pt>
                <c:pt idx="822">
                  <c:v>45097</c:v>
                </c:pt>
                <c:pt idx="823">
                  <c:v>45096</c:v>
                </c:pt>
                <c:pt idx="824">
                  <c:v>45095</c:v>
                </c:pt>
                <c:pt idx="825">
                  <c:v>45094</c:v>
                </c:pt>
                <c:pt idx="826">
                  <c:v>45093</c:v>
                </c:pt>
                <c:pt idx="827">
                  <c:v>45092</c:v>
                </c:pt>
                <c:pt idx="828">
                  <c:v>45091</c:v>
                </c:pt>
                <c:pt idx="829">
                  <c:v>45090</c:v>
                </c:pt>
                <c:pt idx="830">
                  <c:v>45089</c:v>
                </c:pt>
                <c:pt idx="831">
                  <c:v>45088</c:v>
                </c:pt>
                <c:pt idx="832">
                  <c:v>45087</c:v>
                </c:pt>
                <c:pt idx="833">
                  <c:v>45086</c:v>
                </c:pt>
                <c:pt idx="834">
                  <c:v>45085</c:v>
                </c:pt>
                <c:pt idx="835">
                  <c:v>45084</c:v>
                </c:pt>
                <c:pt idx="836">
                  <c:v>45083</c:v>
                </c:pt>
                <c:pt idx="837">
                  <c:v>45082</c:v>
                </c:pt>
                <c:pt idx="838">
                  <c:v>45081</c:v>
                </c:pt>
                <c:pt idx="839">
                  <c:v>45080</c:v>
                </c:pt>
                <c:pt idx="840">
                  <c:v>45079</c:v>
                </c:pt>
                <c:pt idx="841">
                  <c:v>45078</c:v>
                </c:pt>
                <c:pt idx="842">
                  <c:v>45077</c:v>
                </c:pt>
                <c:pt idx="843">
                  <c:v>45076</c:v>
                </c:pt>
                <c:pt idx="844">
                  <c:v>45075</c:v>
                </c:pt>
                <c:pt idx="845">
                  <c:v>45074</c:v>
                </c:pt>
                <c:pt idx="846">
                  <c:v>45073</c:v>
                </c:pt>
                <c:pt idx="847">
                  <c:v>45072</c:v>
                </c:pt>
                <c:pt idx="848">
                  <c:v>45071</c:v>
                </c:pt>
                <c:pt idx="849">
                  <c:v>45070</c:v>
                </c:pt>
                <c:pt idx="850">
                  <c:v>45069</c:v>
                </c:pt>
                <c:pt idx="851">
                  <c:v>45068</c:v>
                </c:pt>
                <c:pt idx="852">
                  <c:v>45067</c:v>
                </c:pt>
                <c:pt idx="853">
                  <c:v>45066</c:v>
                </c:pt>
                <c:pt idx="854">
                  <c:v>45065</c:v>
                </c:pt>
                <c:pt idx="855">
                  <c:v>45064</c:v>
                </c:pt>
                <c:pt idx="856">
                  <c:v>45063</c:v>
                </c:pt>
                <c:pt idx="857">
                  <c:v>45062</c:v>
                </c:pt>
                <c:pt idx="858">
                  <c:v>45061</c:v>
                </c:pt>
                <c:pt idx="859">
                  <c:v>45060</c:v>
                </c:pt>
                <c:pt idx="860">
                  <c:v>45059</c:v>
                </c:pt>
                <c:pt idx="861">
                  <c:v>45058</c:v>
                </c:pt>
                <c:pt idx="862">
                  <c:v>45057</c:v>
                </c:pt>
                <c:pt idx="863">
                  <c:v>45056</c:v>
                </c:pt>
                <c:pt idx="864">
                  <c:v>45055</c:v>
                </c:pt>
                <c:pt idx="865">
                  <c:v>45054</c:v>
                </c:pt>
                <c:pt idx="866">
                  <c:v>45053</c:v>
                </c:pt>
                <c:pt idx="867">
                  <c:v>45052</c:v>
                </c:pt>
                <c:pt idx="868">
                  <c:v>45051</c:v>
                </c:pt>
                <c:pt idx="869">
                  <c:v>45050</c:v>
                </c:pt>
                <c:pt idx="870">
                  <c:v>45049</c:v>
                </c:pt>
                <c:pt idx="871">
                  <c:v>45048</c:v>
                </c:pt>
                <c:pt idx="872">
                  <c:v>45047</c:v>
                </c:pt>
                <c:pt idx="873">
                  <c:v>45046</c:v>
                </c:pt>
                <c:pt idx="874">
                  <c:v>45045</c:v>
                </c:pt>
                <c:pt idx="875">
                  <c:v>45044</c:v>
                </c:pt>
                <c:pt idx="876">
                  <c:v>45043</c:v>
                </c:pt>
                <c:pt idx="877">
                  <c:v>45042</c:v>
                </c:pt>
                <c:pt idx="878">
                  <c:v>45041</c:v>
                </c:pt>
                <c:pt idx="879">
                  <c:v>45040</c:v>
                </c:pt>
                <c:pt idx="880">
                  <c:v>45039</c:v>
                </c:pt>
                <c:pt idx="881">
                  <c:v>45038</c:v>
                </c:pt>
                <c:pt idx="882">
                  <c:v>45037</c:v>
                </c:pt>
                <c:pt idx="883">
                  <c:v>45036</c:v>
                </c:pt>
                <c:pt idx="884">
                  <c:v>45035</c:v>
                </c:pt>
                <c:pt idx="885">
                  <c:v>45034</c:v>
                </c:pt>
                <c:pt idx="886">
                  <c:v>45033</c:v>
                </c:pt>
                <c:pt idx="887">
                  <c:v>45032</c:v>
                </c:pt>
                <c:pt idx="888">
                  <c:v>45031</c:v>
                </c:pt>
                <c:pt idx="889">
                  <c:v>45030</c:v>
                </c:pt>
                <c:pt idx="890">
                  <c:v>45029</c:v>
                </c:pt>
                <c:pt idx="891">
                  <c:v>45028</c:v>
                </c:pt>
                <c:pt idx="892">
                  <c:v>45027</c:v>
                </c:pt>
                <c:pt idx="893">
                  <c:v>45026</c:v>
                </c:pt>
                <c:pt idx="894">
                  <c:v>45025</c:v>
                </c:pt>
                <c:pt idx="895">
                  <c:v>45024</c:v>
                </c:pt>
                <c:pt idx="896">
                  <c:v>45023</c:v>
                </c:pt>
                <c:pt idx="897">
                  <c:v>45022</c:v>
                </c:pt>
                <c:pt idx="898">
                  <c:v>45021</c:v>
                </c:pt>
                <c:pt idx="899">
                  <c:v>45020</c:v>
                </c:pt>
                <c:pt idx="900">
                  <c:v>45019</c:v>
                </c:pt>
                <c:pt idx="901">
                  <c:v>45018</c:v>
                </c:pt>
                <c:pt idx="902">
                  <c:v>45017</c:v>
                </c:pt>
                <c:pt idx="903">
                  <c:v>45016</c:v>
                </c:pt>
                <c:pt idx="904">
                  <c:v>45015</c:v>
                </c:pt>
                <c:pt idx="905">
                  <c:v>45014</c:v>
                </c:pt>
                <c:pt idx="906">
                  <c:v>45013</c:v>
                </c:pt>
                <c:pt idx="907">
                  <c:v>45012</c:v>
                </c:pt>
                <c:pt idx="908">
                  <c:v>45011</c:v>
                </c:pt>
                <c:pt idx="909">
                  <c:v>45010</c:v>
                </c:pt>
                <c:pt idx="910">
                  <c:v>45009</c:v>
                </c:pt>
                <c:pt idx="911">
                  <c:v>45008</c:v>
                </c:pt>
                <c:pt idx="912">
                  <c:v>45007</c:v>
                </c:pt>
                <c:pt idx="913">
                  <c:v>45006</c:v>
                </c:pt>
                <c:pt idx="914">
                  <c:v>45005</c:v>
                </c:pt>
                <c:pt idx="915">
                  <c:v>45004</c:v>
                </c:pt>
                <c:pt idx="916">
                  <c:v>45003</c:v>
                </c:pt>
                <c:pt idx="917">
                  <c:v>45002</c:v>
                </c:pt>
                <c:pt idx="918">
                  <c:v>45001</c:v>
                </c:pt>
                <c:pt idx="919">
                  <c:v>45000</c:v>
                </c:pt>
                <c:pt idx="920">
                  <c:v>44999</c:v>
                </c:pt>
                <c:pt idx="921">
                  <c:v>44998</c:v>
                </c:pt>
                <c:pt idx="922">
                  <c:v>44997</c:v>
                </c:pt>
                <c:pt idx="923">
                  <c:v>44996</c:v>
                </c:pt>
                <c:pt idx="924">
                  <c:v>44995</c:v>
                </c:pt>
                <c:pt idx="925">
                  <c:v>44994</c:v>
                </c:pt>
                <c:pt idx="926">
                  <c:v>44993</c:v>
                </c:pt>
                <c:pt idx="927">
                  <c:v>44992</c:v>
                </c:pt>
                <c:pt idx="928">
                  <c:v>44991</c:v>
                </c:pt>
                <c:pt idx="929">
                  <c:v>44990</c:v>
                </c:pt>
                <c:pt idx="930">
                  <c:v>44989</c:v>
                </c:pt>
                <c:pt idx="931">
                  <c:v>44988</c:v>
                </c:pt>
                <c:pt idx="932">
                  <c:v>44987</c:v>
                </c:pt>
                <c:pt idx="933">
                  <c:v>44986</c:v>
                </c:pt>
                <c:pt idx="934">
                  <c:v>44985</c:v>
                </c:pt>
                <c:pt idx="935">
                  <c:v>44984</c:v>
                </c:pt>
                <c:pt idx="936">
                  <c:v>44983</c:v>
                </c:pt>
                <c:pt idx="937">
                  <c:v>44982</c:v>
                </c:pt>
                <c:pt idx="938">
                  <c:v>44981</c:v>
                </c:pt>
                <c:pt idx="939">
                  <c:v>44980</c:v>
                </c:pt>
                <c:pt idx="940">
                  <c:v>44979</c:v>
                </c:pt>
                <c:pt idx="941">
                  <c:v>44978</c:v>
                </c:pt>
                <c:pt idx="942">
                  <c:v>44977</c:v>
                </c:pt>
                <c:pt idx="943">
                  <c:v>44976</c:v>
                </c:pt>
                <c:pt idx="944">
                  <c:v>44975</c:v>
                </c:pt>
                <c:pt idx="945">
                  <c:v>44974</c:v>
                </c:pt>
                <c:pt idx="946">
                  <c:v>44973</c:v>
                </c:pt>
                <c:pt idx="947">
                  <c:v>44972</c:v>
                </c:pt>
                <c:pt idx="948">
                  <c:v>44971</c:v>
                </c:pt>
                <c:pt idx="949">
                  <c:v>44970</c:v>
                </c:pt>
                <c:pt idx="950">
                  <c:v>44969</c:v>
                </c:pt>
                <c:pt idx="951">
                  <c:v>44968</c:v>
                </c:pt>
                <c:pt idx="952">
                  <c:v>44967</c:v>
                </c:pt>
                <c:pt idx="953">
                  <c:v>44966</c:v>
                </c:pt>
                <c:pt idx="954">
                  <c:v>44965</c:v>
                </c:pt>
                <c:pt idx="955">
                  <c:v>44964</c:v>
                </c:pt>
                <c:pt idx="956">
                  <c:v>44963</c:v>
                </c:pt>
                <c:pt idx="957">
                  <c:v>44962</c:v>
                </c:pt>
                <c:pt idx="958">
                  <c:v>44961</c:v>
                </c:pt>
                <c:pt idx="959">
                  <c:v>44960</c:v>
                </c:pt>
                <c:pt idx="960">
                  <c:v>44959</c:v>
                </c:pt>
                <c:pt idx="961">
                  <c:v>44958</c:v>
                </c:pt>
                <c:pt idx="962">
                  <c:v>44957</c:v>
                </c:pt>
                <c:pt idx="963">
                  <c:v>44956</c:v>
                </c:pt>
                <c:pt idx="964">
                  <c:v>44955</c:v>
                </c:pt>
                <c:pt idx="965">
                  <c:v>44954</c:v>
                </c:pt>
                <c:pt idx="966">
                  <c:v>44953</c:v>
                </c:pt>
                <c:pt idx="967">
                  <c:v>44952</c:v>
                </c:pt>
                <c:pt idx="968">
                  <c:v>44951</c:v>
                </c:pt>
                <c:pt idx="969">
                  <c:v>44950</c:v>
                </c:pt>
                <c:pt idx="970">
                  <c:v>44949</c:v>
                </c:pt>
                <c:pt idx="971">
                  <c:v>44948</c:v>
                </c:pt>
                <c:pt idx="972">
                  <c:v>44947</c:v>
                </c:pt>
                <c:pt idx="973">
                  <c:v>44946</c:v>
                </c:pt>
                <c:pt idx="974">
                  <c:v>44945</c:v>
                </c:pt>
                <c:pt idx="975">
                  <c:v>44944</c:v>
                </c:pt>
                <c:pt idx="976">
                  <c:v>44943</c:v>
                </c:pt>
                <c:pt idx="977">
                  <c:v>44942</c:v>
                </c:pt>
                <c:pt idx="978">
                  <c:v>44941</c:v>
                </c:pt>
                <c:pt idx="979">
                  <c:v>44940</c:v>
                </c:pt>
                <c:pt idx="980">
                  <c:v>44939</c:v>
                </c:pt>
                <c:pt idx="981">
                  <c:v>44938</c:v>
                </c:pt>
                <c:pt idx="982">
                  <c:v>44937</c:v>
                </c:pt>
                <c:pt idx="983">
                  <c:v>44936</c:v>
                </c:pt>
                <c:pt idx="984">
                  <c:v>44935</c:v>
                </c:pt>
                <c:pt idx="985">
                  <c:v>44934</c:v>
                </c:pt>
                <c:pt idx="986">
                  <c:v>44933</c:v>
                </c:pt>
                <c:pt idx="987">
                  <c:v>44932</c:v>
                </c:pt>
                <c:pt idx="988">
                  <c:v>44931</c:v>
                </c:pt>
                <c:pt idx="989">
                  <c:v>44930</c:v>
                </c:pt>
                <c:pt idx="990">
                  <c:v>44929</c:v>
                </c:pt>
                <c:pt idx="991">
                  <c:v>44928</c:v>
                </c:pt>
                <c:pt idx="992">
                  <c:v>44927</c:v>
                </c:pt>
                <c:pt idx="993">
                  <c:v>44926</c:v>
                </c:pt>
                <c:pt idx="994">
                  <c:v>44925</c:v>
                </c:pt>
                <c:pt idx="995">
                  <c:v>44924</c:v>
                </c:pt>
                <c:pt idx="996">
                  <c:v>44923</c:v>
                </c:pt>
                <c:pt idx="997">
                  <c:v>44922</c:v>
                </c:pt>
                <c:pt idx="998">
                  <c:v>44921</c:v>
                </c:pt>
                <c:pt idx="999">
                  <c:v>44920</c:v>
                </c:pt>
                <c:pt idx="1000">
                  <c:v>44919</c:v>
                </c:pt>
                <c:pt idx="1001">
                  <c:v>44918</c:v>
                </c:pt>
                <c:pt idx="1002">
                  <c:v>44917</c:v>
                </c:pt>
                <c:pt idx="1003">
                  <c:v>44916</c:v>
                </c:pt>
                <c:pt idx="1004">
                  <c:v>44915</c:v>
                </c:pt>
                <c:pt idx="1005">
                  <c:v>44914</c:v>
                </c:pt>
                <c:pt idx="1006">
                  <c:v>44913</c:v>
                </c:pt>
                <c:pt idx="1007">
                  <c:v>44912</c:v>
                </c:pt>
                <c:pt idx="1008">
                  <c:v>44911</c:v>
                </c:pt>
                <c:pt idx="1009">
                  <c:v>44910</c:v>
                </c:pt>
                <c:pt idx="1010">
                  <c:v>44909</c:v>
                </c:pt>
                <c:pt idx="1011">
                  <c:v>44908</c:v>
                </c:pt>
                <c:pt idx="1012">
                  <c:v>44907</c:v>
                </c:pt>
                <c:pt idx="1013">
                  <c:v>44906</c:v>
                </c:pt>
                <c:pt idx="1014">
                  <c:v>44905</c:v>
                </c:pt>
                <c:pt idx="1015">
                  <c:v>44904</c:v>
                </c:pt>
                <c:pt idx="1016">
                  <c:v>44903</c:v>
                </c:pt>
                <c:pt idx="1017">
                  <c:v>44902</c:v>
                </c:pt>
                <c:pt idx="1018">
                  <c:v>44901</c:v>
                </c:pt>
                <c:pt idx="1019">
                  <c:v>44900</c:v>
                </c:pt>
                <c:pt idx="1020">
                  <c:v>44899</c:v>
                </c:pt>
                <c:pt idx="1021">
                  <c:v>44898</c:v>
                </c:pt>
                <c:pt idx="1022">
                  <c:v>44897</c:v>
                </c:pt>
                <c:pt idx="1023">
                  <c:v>44896</c:v>
                </c:pt>
                <c:pt idx="1024">
                  <c:v>44895</c:v>
                </c:pt>
                <c:pt idx="1025">
                  <c:v>44894</c:v>
                </c:pt>
                <c:pt idx="1026">
                  <c:v>44893</c:v>
                </c:pt>
                <c:pt idx="1027">
                  <c:v>44892</c:v>
                </c:pt>
                <c:pt idx="1028">
                  <c:v>44891</c:v>
                </c:pt>
                <c:pt idx="1029">
                  <c:v>44890</c:v>
                </c:pt>
                <c:pt idx="1030">
                  <c:v>44889</c:v>
                </c:pt>
                <c:pt idx="1031">
                  <c:v>44888</c:v>
                </c:pt>
                <c:pt idx="1032">
                  <c:v>44887</c:v>
                </c:pt>
                <c:pt idx="1033">
                  <c:v>44886</c:v>
                </c:pt>
                <c:pt idx="1034">
                  <c:v>44885</c:v>
                </c:pt>
                <c:pt idx="1035">
                  <c:v>44884</c:v>
                </c:pt>
                <c:pt idx="1036">
                  <c:v>44883</c:v>
                </c:pt>
                <c:pt idx="1037">
                  <c:v>44882</c:v>
                </c:pt>
                <c:pt idx="1038">
                  <c:v>44881</c:v>
                </c:pt>
                <c:pt idx="1039">
                  <c:v>44880</c:v>
                </c:pt>
                <c:pt idx="1040">
                  <c:v>44879</c:v>
                </c:pt>
                <c:pt idx="1041">
                  <c:v>44878</c:v>
                </c:pt>
                <c:pt idx="1042">
                  <c:v>44877</c:v>
                </c:pt>
                <c:pt idx="1043">
                  <c:v>44876</c:v>
                </c:pt>
                <c:pt idx="1044">
                  <c:v>44875</c:v>
                </c:pt>
              </c:numCache>
            </c:numRef>
          </c:cat>
          <c:val>
            <c:numRef>
              <c:f>'Stock Data'!$AN$4:$AN$1048</c:f>
              <c:numCache>
                <c:formatCode>#,##0.00_);\(#,##0.00\)</c:formatCode>
                <c:ptCount val="1045"/>
                <c:pt idx="0">
                  <c:v>459.11</c:v>
                </c:pt>
                <c:pt idx="1">
                  <c:v>459.11</c:v>
                </c:pt>
                <c:pt idx="2">
                  <c:v>463.9</c:v>
                </c:pt>
                <c:pt idx="3">
                  <c:v>463.9</c:v>
                </c:pt>
                <c:pt idx="4">
                  <c:v>463.9</c:v>
                </c:pt>
                <c:pt idx="5">
                  <c:v>456.85</c:v>
                </c:pt>
                <c:pt idx="6">
                  <c:v>449.06</c:v>
                </c:pt>
                <c:pt idx="7">
                  <c:v>452.5</c:v>
                </c:pt>
                <c:pt idx="8">
                  <c:v>455.63</c:v>
                </c:pt>
                <c:pt idx="9">
                  <c:v>455.63</c:v>
                </c:pt>
                <c:pt idx="10">
                  <c:v>455.63</c:v>
                </c:pt>
                <c:pt idx="11">
                  <c:v>455.63</c:v>
                </c:pt>
                <c:pt idx="12">
                  <c:v>456.18</c:v>
                </c:pt>
                <c:pt idx="13">
                  <c:v>454.47</c:v>
                </c:pt>
                <c:pt idx="14">
                  <c:v>455.46</c:v>
                </c:pt>
                <c:pt idx="15">
                  <c:v>447.72</c:v>
                </c:pt>
                <c:pt idx="16">
                  <c:v>446.2</c:v>
                </c:pt>
                <c:pt idx="17">
                  <c:v>446.2</c:v>
                </c:pt>
                <c:pt idx="18">
                  <c:v>446.2</c:v>
                </c:pt>
                <c:pt idx="19">
                  <c:v>447.2</c:v>
                </c:pt>
                <c:pt idx="20">
                  <c:v>446</c:v>
                </c:pt>
                <c:pt idx="21">
                  <c:v>441.1</c:v>
                </c:pt>
                <c:pt idx="22">
                  <c:v>440.64</c:v>
                </c:pt>
                <c:pt idx="23">
                  <c:v>437.56</c:v>
                </c:pt>
                <c:pt idx="24">
                  <c:v>437.56</c:v>
                </c:pt>
                <c:pt idx="25">
                  <c:v>437.56</c:v>
                </c:pt>
                <c:pt idx="26">
                  <c:v>437.32</c:v>
                </c:pt>
                <c:pt idx="27">
                  <c:v>442.57</c:v>
                </c:pt>
                <c:pt idx="28">
                  <c:v>431.56</c:v>
                </c:pt>
                <c:pt idx="29">
                  <c:v>426.26</c:v>
                </c:pt>
                <c:pt idx="30">
                  <c:v>425.63</c:v>
                </c:pt>
                <c:pt idx="31">
                  <c:v>425.63</c:v>
                </c:pt>
                <c:pt idx="32">
                  <c:v>425.63</c:v>
                </c:pt>
                <c:pt idx="33">
                  <c:v>430.75</c:v>
                </c:pt>
                <c:pt idx="34">
                  <c:v>434.85</c:v>
                </c:pt>
                <c:pt idx="35">
                  <c:v>428.24</c:v>
                </c:pt>
                <c:pt idx="36">
                  <c:v>423.7</c:v>
                </c:pt>
                <c:pt idx="37">
                  <c:v>421.01</c:v>
                </c:pt>
                <c:pt idx="38">
                  <c:v>421.01</c:v>
                </c:pt>
                <c:pt idx="39">
                  <c:v>421.01</c:v>
                </c:pt>
                <c:pt idx="40">
                  <c:v>420.98</c:v>
                </c:pt>
                <c:pt idx="41">
                  <c:v>418.68</c:v>
                </c:pt>
                <c:pt idx="42">
                  <c:v>420.13</c:v>
                </c:pt>
                <c:pt idx="43">
                  <c:v>421.34</c:v>
                </c:pt>
                <c:pt idx="44">
                  <c:v>421.17</c:v>
                </c:pt>
                <c:pt idx="45">
                  <c:v>421.17</c:v>
                </c:pt>
                <c:pt idx="46">
                  <c:v>421.17</c:v>
                </c:pt>
                <c:pt idx="47">
                  <c:v>420.55</c:v>
                </c:pt>
                <c:pt idx="48">
                  <c:v>419.39</c:v>
                </c:pt>
                <c:pt idx="49">
                  <c:v>410.74</c:v>
                </c:pt>
                <c:pt idx="50">
                  <c:v>460.53</c:v>
                </c:pt>
                <c:pt idx="51">
                  <c:v>463.96</c:v>
                </c:pt>
                <c:pt idx="52">
                  <c:v>463.96</c:v>
                </c:pt>
                <c:pt idx="53">
                  <c:v>463.96</c:v>
                </c:pt>
                <c:pt idx="54">
                  <c:v>469.2</c:v>
                </c:pt>
                <c:pt idx="55">
                  <c:v>471.47</c:v>
                </c:pt>
                <c:pt idx="56">
                  <c:v>470.12</c:v>
                </c:pt>
                <c:pt idx="57">
                  <c:v>473.57</c:v>
                </c:pt>
                <c:pt idx="58">
                  <c:v>467.51</c:v>
                </c:pt>
                <c:pt idx="59">
                  <c:v>467.51</c:v>
                </c:pt>
                <c:pt idx="60">
                  <c:v>467.51</c:v>
                </c:pt>
                <c:pt idx="61">
                  <c:v>464.31</c:v>
                </c:pt>
                <c:pt idx="62">
                  <c:v>463.06</c:v>
                </c:pt>
                <c:pt idx="63">
                  <c:v>463.01</c:v>
                </c:pt>
                <c:pt idx="64">
                  <c:v>469.06</c:v>
                </c:pt>
                <c:pt idx="65">
                  <c:v>462.52</c:v>
                </c:pt>
                <c:pt idx="66">
                  <c:v>462.52</c:v>
                </c:pt>
                <c:pt idx="67">
                  <c:v>462.52</c:v>
                </c:pt>
                <c:pt idx="68">
                  <c:v>462.52</c:v>
                </c:pt>
                <c:pt idx="69">
                  <c:v>462.55</c:v>
                </c:pt>
                <c:pt idx="70">
                  <c:v>465.94</c:v>
                </c:pt>
                <c:pt idx="71">
                  <c:v>463.14</c:v>
                </c:pt>
                <c:pt idx="72">
                  <c:v>458.59</c:v>
                </c:pt>
                <c:pt idx="73">
                  <c:v>458.59</c:v>
                </c:pt>
                <c:pt idx="74">
                  <c:v>458.59</c:v>
                </c:pt>
                <c:pt idx="75">
                  <c:v>457.9</c:v>
                </c:pt>
                <c:pt idx="76">
                  <c:v>458.39</c:v>
                </c:pt>
                <c:pt idx="77">
                  <c:v>460.2</c:v>
                </c:pt>
                <c:pt idx="78">
                  <c:v>472.46</c:v>
                </c:pt>
                <c:pt idx="79">
                  <c:v>470.56</c:v>
                </c:pt>
                <c:pt idx="80">
                  <c:v>470.56</c:v>
                </c:pt>
                <c:pt idx="81">
                  <c:v>470.56</c:v>
                </c:pt>
                <c:pt idx="82">
                  <c:v>468.6</c:v>
                </c:pt>
                <c:pt idx="83">
                  <c:v>468.6</c:v>
                </c:pt>
                <c:pt idx="84">
                  <c:v>479.34</c:v>
                </c:pt>
                <c:pt idx="85">
                  <c:v>467.06</c:v>
                </c:pt>
                <c:pt idx="86">
                  <c:v>486.45</c:v>
                </c:pt>
                <c:pt idx="87">
                  <c:v>486.45</c:v>
                </c:pt>
                <c:pt idx="88">
                  <c:v>486.45</c:v>
                </c:pt>
                <c:pt idx="89">
                  <c:v>469.27</c:v>
                </c:pt>
                <c:pt idx="90">
                  <c:v>456.6</c:v>
                </c:pt>
                <c:pt idx="91">
                  <c:v>476.9</c:v>
                </c:pt>
                <c:pt idx="92">
                  <c:v>480.83</c:v>
                </c:pt>
                <c:pt idx="93">
                  <c:v>481.69</c:v>
                </c:pt>
                <c:pt idx="94">
                  <c:v>481.69</c:v>
                </c:pt>
                <c:pt idx="95">
                  <c:v>481.69</c:v>
                </c:pt>
                <c:pt idx="96">
                  <c:v>478.03</c:v>
                </c:pt>
                <c:pt idx="97">
                  <c:v>482.21</c:v>
                </c:pt>
                <c:pt idx="98">
                  <c:v>480.17</c:v>
                </c:pt>
                <c:pt idx="99">
                  <c:v>478.82</c:v>
                </c:pt>
                <c:pt idx="100">
                  <c:v>482.38</c:v>
                </c:pt>
                <c:pt idx="101">
                  <c:v>482.38</c:v>
                </c:pt>
                <c:pt idx="102">
                  <c:v>482.38</c:v>
                </c:pt>
                <c:pt idx="103">
                  <c:v>473.69</c:v>
                </c:pt>
                <c:pt idx="104">
                  <c:v>469.98</c:v>
                </c:pt>
                <c:pt idx="105">
                  <c:v>476.85</c:v>
                </c:pt>
                <c:pt idx="106">
                  <c:v>468.88</c:v>
                </c:pt>
                <c:pt idx="107">
                  <c:v>468.88</c:v>
                </c:pt>
                <c:pt idx="108">
                  <c:v>468.88</c:v>
                </c:pt>
                <c:pt idx="109">
                  <c:v>468.88</c:v>
                </c:pt>
                <c:pt idx="110">
                  <c:v>470.45</c:v>
                </c:pt>
                <c:pt idx="111">
                  <c:v>470.28</c:v>
                </c:pt>
                <c:pt idx="112">
                  <c:v>475.82</c:v>
                </c:pt>
                <c:pt idx="113">
                  <c:v>473.06</c:v>
                </c:pt>
                <c:pt idx="114">
                  <c:v>468.32</c:v>
                </c:pt>
                <c:pt idx="115">
                  <c:v>468.32</c:v>
                </c:pt>
                <c:pt idx="116">
                  <c:v>468.32</c:v>
                </c:pt>
                <c:pt idx="117">
                  <c:v>465.14</c:v>
                </c:pt>
                <c:pt idx="118">
                  <c:v>449.18</c:v>
                </c:pt>
                <c:pt idx="119">
                  <c:v>459.83</c:v>
                </c:pt>
                <c:pt idx="120">
                  <c:v>473.16</c:v>
                </c:pt>
                <c:pt idx="121">
                  <c:v>473.52</c:v>
                </c:pt>
                <c:pt idx="122">
                  <c:v>473.52</c:v>
                </c:pt>
                <c:pt idx="123">
                  <c:v>473.52</c:v>
                </c:pt>
                <c:pt idx="124">
                  <c:v>474.53</c:v>
                </c:pt>
                <c:pt idx="125">
                  <c:v>471.32</c:v>
                </c:pt>
                <c:pt idx="126">
                  <c:v>468.21</c:v>
                </c:pt>
                <c:pt idx="127">
                  <c:v>471.56</c:v>
                </c:pt>
                <c:pt idx="128">
                  <c:v>472.8</c:v>
                </c:pt>
                <c:pt idx="129">
                  <c:v>472.8</c:v>
                </c:pt>
                <c:pt idx="130">
                  <c:v>472.8</c:v>
                </c:pt>
                <c:pt idx="131">
                  <c:v>477.72</c:v>
                </c:pt>
                <c:pt idx="132">
                  <c:v>477.75</c:v>
                </c:pt>
                <c:pt idx="133">
                  <c:v>475.88</c:v>
                </c:pt>
                <c:pt idx="134">
                  <c:v>476.29</c:v>
                </c:pt>
                <c:pt idx="135">
                  <c:v>477.64</c:v>
                </c:pt>
                <c:pt idx="136">
                  <c:v>477.64</c:v>
                </c:pt>
                <c:pt idx="137">
                  <c:v>477.64</c:v>
                </c:pt>
                <c:pt idx="138">
                  <c:v>466.81</c:v>
                </c:pt>
                <c:pt idx="139">
                  <c:v>463.55</c:v>
                </c:pt>
                <c:pt idx="140">
                  <c:v>462.08</c:v>
                </c:pt>
                <c:pt idx="141">
                  <c:v>458.33</c:v>
                </c:pt>
                <c:pt idx="142">
                  <c:v>464.08</c:v>
                </c:pt>
                <c:pt idx="143">
                  <c:v>464.08</c:v>
                </c:pt>
                <c:pt idx="144">
                  <c:v>464.08</c:v>
                </c:pt>
                <c:pt idx="145">
                  <c:v>464.08</c:v>
                </c:pt>
                <c:pt idx="146">
                  <c:v>477.08</c:v>
                </c:pt>
                <c:pt idx="147">
                  <c:v>469.58</c:v>
                </c:pt>
                <c:pt idx="148">
                  <c:v>475.34</c:v>
                </c:pt>
                <c:pt idx="149">
                  <c:v>474.9</c:v>
                </c:pt>
                <c:pt idx="150">
                  <c:v>474.9</c:v>
                </c:pt>
                <c:pt idx="151">
                  <c:v>474.9</c:v>
                </c:pt>
                <c:pt idx="152">
                  <c:v>463.7</c:v>
                </c:pt>
                <c:pt idx="153">
                  <c:v>462.24</c:v>
                </c:pt>
                <c:pt idx="154">
                  <c:v>443.36</c:v>
                </c:pt>
                <c:pt idx="155">
                  <c:v>430.82</c:v>
                </c:pt>
                <c:pt idx="156">
                  <c:v>432.15</c:v>
                </c:pt>
                <c:pt idx="157">
                  <c:v>432.15</c:v>
                </c:pt>
                <c:pt idx="158">
                  <c:v>432.15</c:v>
                </c:pt>
                <c:pt idx="159">
                  <c:v>454.78</c:v>
                </c:pt>
                <c:pt idx="160">
                  <c:v>452.87</c:v>
                </c:pt>
                <c:pt idx="161">
                  <c:v>448.64</c:v>
                </c:pt>
                <c:pt idx="162">
                  <c:v>446.71</c:v>
                </c:pt>
                <c:pt idx="163">
                  <c:v>441.49</c:v>
                </c:pt>
                <c:pt idx="164">
                  <c:v>441.49</c:v>
                </c:pt>
                <c:pt idx="165">
                  <c:v>441.49</c:v>
                </c:pt>
                <c:pt idx="166">
                  <c:v>442.28</c:v>
                </c:pt>
                <c:pt idx="167">
                  <c:v>445.17</c:v>
                </c:pt>
                <c:pt idx="168">
                  <c:v>442.07</c:v>
                </c:pt>
                <c:pt idx="169">
                  <c:v>434.98</c:v>
                </c:pt>
                <c:pt idx="170">
                  <c:v>439.7</c:v>
                </c:pt>
                <c:pt idx="171">
                  <c:v>439.7</c:v>
                </c:pt>
                <c:pt idx="172">
                  <c:v>439.7</c:v>
                </c:pt>
                <c:pt idx="173">
                  <c:v>466.74</c:v>
                </c:pt>
                <c:pt idx="174">
                  <c:v>470.55</c:v>
                </c:pt>
                <c:pt idx="175">
                  <c:v>469.28</c:v>
                </c:pt>
                <c:pt idx="176">
                  <c:v>467.61</c:v>
                </c:pt>
                <c:pt idx="177">
                  <c:v>466.17</c:v>
                </c:pt>
                <c:pt idx="178">
                  <c:v>466.17</c:v>
                </c:pt>
                <c:pt idx="179">
                  <c:v>466.17</c:v>
                </c:pt>
                <c:pt idx="180">
                  <c:v>467.93</c:v>
                </c:pt>
                <c:pt idx="181">
                  <c:v>461.5</c:v>
                </c:pt>
                <c:pt idx="182">
                  <c:v>468.88</c:v>
                </c:pt>
                <c:pt idx="183">
                  <c:v>479.17</c:v>
                </c:pt>
                <c:pt idx="184">
                  <c:v>473.65</c:v>
                </c:pt>
                <c:pt idx="185">
                  <c:v>473.65</c:v>
                </c:pt>
                <c:pt idx="186">
                  <c:v>473.65</c:v>
                </c:pt>
                <c:pt idx="187">
                  <c:v>461.5</c:v>
                </c:pt>
                <c:pt idx="188">
                  <c:v>460.42</c:v>
                </c:pt>
                <c:pt idx="189">
                  <c:v>448.82</c:v>
                </c:pt>
                <c:pt idx="190">
                  <c:v>451.94</c:v>
                </c:pt>
                <c:pt idx="191">
                  <c:v>450.37</c:v>
                </c:pt>
                <c:pt idx="192">
                  <c:v>450.37</c:v>
                </c:pt>
                <c:pt idx="193">
                  <c:v>450.37</c:v>
                </c:pt>
                <c:pt idx="194">
                  <c:v>446.46</c:v>
                </c:pt>
                <c:pt idx="195">
                  <c:v>441.5</c:v>
                </c:pt>
                <c:pt idx="196">
                  <c:v>448.46</c:v>
                </c:pt>
                <c:pt idx="197">
                  <c:v>440.27</c:v>
                </c:pt>
                <c:pt idx="198">
                  <c:v>440.72</c:v>
                </c:pt>
                <c:pt idx="199">
                  <c:v>440.72</c:v>
                </c:pt>
                <c:pt idx="200">
                  <c:v>440.72</c:v>
                </c:pt>
                <c:pt idx="201">
                  <c:v>436.29</c:v>
                </c:pt>
                <c:pt idx="202">
                  <c:v>432.95</c:v>
                </c:pt>
                <c:pt idx="203">
                  <c:v>428.54</c:v>
                </c:pt>
                <c:pt idx="204">
                  <c:v>423.19</c:v>
                </c:pt>
                <c:pt idx="205">
                  <c:v>423.19</c:v>
                </c:pt>
                <c:pt idx="206">
                  <c:v>423.19</c:v>
                </c:pt>
                <c:pt idx="207">
                  <c:v>423.19</c:v>
                </c:pt>
                <c:pt idx="208">
                  <c:v>434.72</c:v>
                </c:pt>
                <c:pt idx="209">
                  <c:v>441.97</c:v>
                </c:pt>
                <c:pt idx="210">
                  <c:v>449.36</c:v>
                </c:pt>
                <c:pt idx="211">
                  <c:v>448.22</c:v>
                </c:pt>
                <c:pt idx="212">
                  <c:v>444.39</c:v>
                </c:pt>
                <c:pt idx="213">
                  <c:v>444.39</c:v>
                </c:pt>
                <c:pt idx="214">
                  <c:v>444.39</c:v>
                </c:pt>
                <c:pt idx="215">
                  <c:v>448.52</c:v>
                </c:pt>
                <c:pt idx="216">
                  <c:v>449.87</c:v>
                </c:pt>
                <c:pt idx="217">
                  <c:v>453.68</c:v>
                </c:pt>
                <c:pt idx="218">
                  <c:v>455.42</c:v>
                </c:pt>
                <c:pt idx="219">
                  <c:v>462.95</c:v>
                </c:pt>
                <c:pt idx="220">
                  <c:v>462.95</c:v>
                </c:pt>
                <c:pt idx="221">
                  <c:v>462.95</c:v>
                </c:pt>
                <c:pt idx="222">
                  <c:v>459.65</c:v>
                </c:pt>
                <c:pt idx="223">
                  <c:v>454.36</c:v>
                </c:pt>
                <c:pt idx="224">
                  <c:v>457.45</c:v>
                </c:pt>
                <c:pt idx="225">
                  <c:v>503.69</c:v>
                </c:pt>
                <c:pt idx="226">
                  <c:v>496.96</c:v>
                </c:pt>
                <c:pt idx="227">
                  <c:v>496.96</c:v>
                </c:pt>
                <c:pt idx="228">
                  <c:v>496.96</c:v>
                </c:pt>
                <c:pt idx="229">
                  <c:v>497.28</c:v>
                </c:pt>
                <c:pt idx="230">
                  <c:v>499.34</c:v>
                </c:pt>
                <c:pt idx="231">
                  <c:v>506.29</c:v>
                </c:pt>
                <c:pt idx="232">
                  <c:v>490.32</c:v>
                </c:pt>
                <c:pt idx="233">
                  <c:v>490.32</c:v>
                </c:pt>
                <c:pt idx="234">
                  <c:v>490.32</c:v>
                </c:pt>
                <c:pt idx="235">
                  <c:v>490.32</c:v>
                </c:pt>
                <c:pt idx="236">
                  <c:v>486.86</c:v>
                </c:pt>
                <c:pt idx="237">
                  <c:v>483.97</c:v>
                </c:pt>
                <c:pt idx="238">
                  <c:v>484.46</c:v>
                </c:pt>
                <c:pt idx="239">
                  <c:v>483.16</c:v>
                </c:pt>
                <c:pt idx="240">
                  <c:v>468.05</c:v>
                </c:pt>
                <c:pt idx="241">
                  <c:v>468.05</c:v>
                </c:pt>
                <c:pt idx="242">
                  <c:v>468.05</c:v>
                </c:pt>
                <c:pt idx="243">
                  <c:v>468.85</c:v>
                </c:pt>
                <c:pt idx="244">
                  <c:v>468.85</c:v>
                </c:pt>
                <c:pt idx="245">
                  <c:v>463.96</c:v>
                </c:pt>
                <c:pt idx="246">
                  <c:v>466</c:v>
                </c:pt>
                <c:pt idx="247">
                  <c:v>481.82</c:v>
                </c:pt>
                <c:pt idx="248">
                  <c:v>481.82</c:v>
                </c:pt>
                <c:pt idx="249">
                  <c:v>481.82</c:v>
                </c:pt>
                <c:pt idx="250">
                  <c:v>482.25</c:v>
                </c:pt>
                <c:pt idx="251">
                  <c:v>485.94</c:v>
                </c:pt>
                <c:pt idx="252">
                  <c:v>485.94</c:v>
                </c:pt>
                <c:pt idx="253">
                  <c:v>483.37</c:v>
                </c:pt>
                <c:pt idx="254">
                  <c:v>488.97</c:v>
                </c:pt>
                <c:pt idx="255">
                  <c:v>488.97</c:v>
                </c:pt>
                <c:pt idx="256">
                  <c:v>488.97</c:v>
                </c:pt>
                <c:pt idx="257">
                  <c:v>489.98</c:v>
                </c:pt>
                <c:pt idx="258">
                  <c:v>488.13</c:v>
                </c:pt>
                <c:pt idx="259">
                  <c:v>488.13</c:v>
                </c:pt>
                <c:pt idx="260">
                  <c:v>486.49</c:v>
                </c:pt>
                <c:pt idx="261">
                  <c:v>489.02</c:v>
                </c:pt>
                <c:pt idx="262">
                  <c:v>489.02</c:v>
                </c:pt>
                <c:pt idx="263">
                  <c:v>489.02</c:v>
                </c:pt>
                <c:pt idx="264">
                  <c:v>479.66</c:v>
                </c:pt>
                <c:pt idx="265">
                  <c:v>482.94</c:v>
                </c:pt>
                <c:pt idx="266">
                  <c:v>490.61</c:v>
                </c:pt>
                <c:pt idx="267">
                  <c:v>491.65</c:v>
                </c:pt>
                <c:pt idx="268">
                  <c:v>494.65</c:v>
                </c:pt>
                <c:pt idx="269">
                  <c:v>494.65</c:v>
                </c:pt>
                <c:pt idx="270">
                  <c:v>494.65</c:v>
                </c:pt>
                <c:pt idx="271">
                  <c:v>496.58</c:v>
                </c:pt>
                <c:pt idx="272">
                  <c:v>504.24</c:v>
                </c:pt>
                <c:pt idx="273">
                  <c:v>512.94000000000005</c:v>
                </c:pt>
                <c:pt idx="274">
                  <c:v>510.01</c:v>
                </c:pt>
                <c:pt idx="275">
                  <c:v>513.03</c:v>
                </c:pt>
                <c:pt idx="276">
                  <c:v>513.03</c:v>
                </c:pt>
                <c:pt idx="277">
                  <c:v>513.03</c:v>
                </c:pt>
                <c:pt idx="278">
                  <c:v>517.48</c:v>
                </c:pt>
                <c:pt idx="279">
                  <c:v>517.5</c:v>
                </c:pt>
                <c:pt idx="280">
                  <c:v>517</c:v>
                </c:pt>
                <c:pt idx="281">
                  <c:v>520.34</c:v>
                </c:pt>
                <c:pt idx="282">
                  <c:v>529.41</c:v>
                </c:pt>
                <c:pt idx="283">
                  <c:v>529.41</c:v>
                </c:pt>
                <c:pt idx="284">
                  <c:v>529.41</c:v>
                </c:pt>
                <c:pt idx="285">
                  <c:v>525.75</c:v>
                </c:pt>
                <c:pt idx="286">
                  <c:v>525.75</c:v>
                </c:pt>
                <c:pt idx="287">
                  <c:v>521.45000000000005</c:v>
                </c:pt>
                <c:pt idx="288">
                  <c:v>521.89</c:v>
                </c:pt>
                <c:pt idx="289">
                  <c:v>542.22</c:v>
                </c:pt>
                <c:pt idx="290">
                  <c:v>542.22</c:v>
                </c:pt>
                <c:pt idx="291">
                  <c:v>542.22</c:v>
                </c:pt>
                <c:pt idx="292">
                  <c:v>542.01</c:v>
                </c:pt>
                <c:pt idx="293">
                  <c:v>534.73</c:v>
                </c:pt>
                <c:pt idx="294">
                  <c:v>533.26</c:v>
                </c:pt>
                <c:pt idx="295">
                  <c:v>530.96</c:v>
                </c:pt>
                <c:pt idx="296">
                  <c:v>534.83000000000004</c:v>
                </c:pt>
                <c:pt idx="297">
                  <c:v>534.83000000000004</c:v>
                </c:pt>
                <c:pt idx="298">
                  <c:v>534.83000000000004</c:v>
                </c:pt>
                <c:pt idx="299">
                  <c:v>538.99</c:v>
                </c:pt>
                <c:pt idx="300">
                  <c:v>557.73</c:v>
                </c:pt>
                <c:pt idx="301">
                  <c:v>565.96</c:v>
                </c:pt>
                <c:pt idx="302">
                  <c:v>570.58000000000004</c:v>
                </c:pt>
                <c:pt idx="303">
                  <c:v>564.55999999999995</c:v>
                </c:pt>
                <c:pt idx="304">
                  <c:v>564.55999999999995</c:v>
                </c:pt>
                <c:pt idx="305">
                  <c:v>564.55999999999995</c:v>
                </c:pt>
                <c:pt idx="306">
                  <c:v>551.84</c:v>
                </c:pt>
                <c:pt idx="307">
                  <c:v>551.82000000000005</c:v>
                </c:pt>
                <c:pt idx="308">
                  <c:v>546.75</c:v>
                </c:pt>
                <c:pt idx="309">
                  <c:v>543.1</c:v>
                </c:pt>
                <c:pt idx="310">
                  <c:v>545.35</c:v>
                </c:pt>
                <c:pt idx="311">
                  <c:v>545.35</c:v>
                </c:pt>
                <c:pt idx="312">
                  <c:v>545.35</c:v>
                </c:pt>
                <c:pt idx="313">
                  <c:v>546.04999999999995</c:v>
                </c:pt>
                <c:pt idx="314">
                  <c:v>545.94000000000005</c:v>
                </c:pt>
                <c:pt idx="315">
                  <c:v>546.79999999999995</c:v>
                </c:pt>
                <c:pt idx="316">
                  <c:v>555.16999999999996</c:v>
                </c:pt>
                <c:pt idx="317">
                  <c:v>562.29</c:v>
                </c:pt>
                <c:pt idx="318">
                  <c:v>562.29</c:v>
                </c:pt>
                <c:pt idx="319">
                  <c:v>562.29</c:v>
                </c:pt>
                <c:pt idx="320">
                  <c:v>564.21</c:v>
                </c:pt>
                <c:pt idx="321">
                  <c:v>571.1</c:v>
                </c:pt>
                <c:pt idx="322">
                  <c:v>576.98</c:v>
                </c:pt>
                <c:pt idx="323">
                  <c:v>614.61</c:v>
                </c:pt>
                <c:pt idx="324">
                  <c:v>611.80999999999995</c:v>
                </c:pt>
                <c:pt idx="325">
                  <c:v>611.80999999999995</c:v>
                </c:pt>
                <c:pt idx="326">
                  <c:v>611.80999999999995</c:v>
                </c:pt>
                <c:pt idx="327">
                  <c:v>609.62</c:v>
                </c:pt>
                <c:pt idx="328">
                  <c:v>612.83000000000004</c:v>
                </c:pt>
                <c:pt idx="329">
                  <c:v>605</c:v>
                </c:pt>
                <c:pt idx="330">
                  <c:v>610.87</c:v>
                </c:pt>
                <c:pt idx="331">
                  <c:v>604.16999999999996</c:v>
                </c:pt>
                <c:pt idx="332">
                  <c:v>604.16999999999996</c:v>
                </c:pt>
                <c:pt idx="333">
                  <c:v>604.16999999999996</c:v>
                </c:pt>
                <c:pt idx="334">
                  <c:v>597.49</c:v>
                </c:pt>
                <c:pt idx="335">
                  <c:v>605.11</c:v>
                </c:pt>
                <c:pt idx="336">
                  <c:v>608.04999999999995</c:v>
                </c:pt>
                <c:pt idx="337">
                  <c:v>605.54</c:v>
                </c:pt>
                <c:pt idx="338">
                  <c:v>605.13</c:v>
                </c:pt>
                <c:pt idx="339">
                  <c:v>605.13</c:v>
                </c:pt>
                <c:pt idx="340">
                  <c:v>605.13</c:v>
                </c:pt>
                <c:pt idx="341">
                  <c:v>605.82000000000005</c:v>
                </c:pt>
                <c:pt idx="342">
                  <c:v>603.20000000000005</c:v>
                </c:pt>
                <c:pt idx="343">
                  <c:v>605.86</c:v>
                </c:pt>
                <c:pt idx="344">
                  <c:v>584.55999999999995</c:v>
                </c:pt>
                <c:pt idx="345">
                  <c:v>582.36</c:v>
                </c:pt>
                <c:pt idx="346">
                  <c:v>582.36</c:v>
                </c:pt>
                <c:pt idx="347">
                  <c:v>582.36</c:v>
                </c:pt>
                <c:pt idx="348">
                  <c:v>577.4</c:v>
                </c:pt>
                <c:pt idx="349">
                  <c:v>577.94000000000005</c:v>
                </c:pt>
                <c:pt idx="350">
                  <c:v>578.63</c:v>
                </c:pt>
                <c:pt idx="351">
                  <c:v>580.51</c:v>
                </c:pt>
                <c:pt idx="352">
                  <c:v>571.91999999999996</c:v>
                </c:pt>
                <c:pt idx="353">
                  <c:v>571.91999999999996</c:v>
                </c:pt>
                <c:pt idx="354">
                  <c:v>571.91999999999996</c:v>
                </c:pt>
                <c:pt idx="355">
                  <c:v>565.17999999999995</c:v>
                </c:pt>
                <c:pt idx="356">
                  <c:v>565.49</c:v>
                </c:pt>
                <c:pt idx="357">
                  <c:v>567.01</c:v>
                </c:pt>
                <c:pt idx="358">
                  <c:v>572.91999999999996</c:v>
                </c:pt>
                <c:pt idx="359">
                  <c:v>569.91</c:v>
                </c:pt>
                <c:pt idx="360">
                  <c:v>569.91</c:v>
                </c:pt>
                <c:pt idx="361">
                  <c:v>569.91</c:v>
                </c:pt>
                <c:pt idx="362">
                  <c:v>568.27</c:v>
                </c:pt>
                <c:pt idx="363">
                  <c:v>566.96</c:v>
                </c:pt>
                <c:pt idx="364">
                  <c:v>572.19000000000005</c:v>
                </c:pt>
                <c:pt idx="365">
                  <c:v>576.57000000000005</c:v>
                </c:pt>
                <c:pt idx="366">
                  <c:v>566.63</c:v>
                </c:pt>
                <c:pt idx="367">
                  <c:v>566.63</c:v>
                </c:pt>
                <c:pt idx="368">
                  <c:v>566.63</c:v>
                </c:pt>
                <c:pt idx="369">
                  <c:v>568.59</c:v>
                </c:pt>
                <c:pt idx="370">
                  <c:v>574.78</c:v>
                </c:pt>
                <c:pt idx="371">
                  <c:v>567.22</c:v>
                </c:pt>
                <c:pt idx="372">
                  <c:v>568.1</c:v>
                </c:pt>
                <c:pt idx="373">
                  <c:v>568.1</c:v>
                </c:pt>
                <c:pt idx="374">
                  <c:v>568.1</c:v>
                </c:pt>
                <c:pt idx="375">
                  <c:v>568.1</c:v>
                </c:pt>
                <c:pt idx="376">
                  <c:v>566.85</c:v>
                </c:pt>
                <c:pt idx="377">
                  <c:v>563.98</c:v>
                </c:pt>
                <c:pt idx="378">
                  <c:v>560.41</c:v>
                </c:pt>
                <c:pt idx="379">
                  <c:v>558.1</c:v>
                </c:pt>
                <c:pt idx="380">
                  <c:v>555.01</c:v>
                </c:pt>
                <c:pt idx="381">
                  <c:v>555.01</c:v>
                </c:pt>
                <c:pt idx="382">
                  <c:v>555.01</c:v>
                </c:pt>
                <c:pt idx="383">
                  <c:v>557.03</c:v>
                </c:pt>
                <c:pt idx="384">
                  <c:v>553.76</c:v>
                </c:pt>
                <c:pt idx="385">
                  <c:v>557.01</c:v>
                </c:pt>
                <c:pt idx="386">
                  <c:v>558.39</c:v>
                </c:pt>
                <c:pt idx="387">
                  <c:v>560.13</c:v>
                </c:pt>
                <c:pt idx="388">
                  <c:v>560.13</c:v>
                </c:pt>
                <c:pt idx="389">
                  <c:v>560.13</c:v>
                </c:pt>
                <c:pt idx="390">
                  <c:v>560.29</c:v>
                </c:pt>
                <c:pt idx="391">
                  <c:v>563.22</c:v>
                </c:pt>
                <c:pt idx="392">
                  <c:v>559.41999999999996</c:v>
                </c:pt>
                <c:pt idx="393">
                  <c:v>556.91</c:v>
                </c:pt>
                <c:pt idx="394">
                  <c:v>551.58000000000004</c:v>
                </c:pt>
                <c:pt idx="395">
                  <c:v>551.58000000000004</c:v>
                </c:pt>
                <c:pt idx="396">
                  <c:v>551.58000000000004</c:v>
                </c:pt>
                <c:pt idx="397">
                  <c:v>551.62</c:v>
                </c:pt>
                <c:pt idx="398">
                  <c:v>548.51</c:v>
                </c:pt>
                <c:pt idx="399">
                  <c:v>541.55999999999995</c:v>
                </c:pt>
                <c:pt idx="400">
                  <c:v>545.38</c:v>
                </c:pt>
                <c:pt idx="401">
                  <c:v>548.77</c:v>
                </c:pt>
                <c:pt idx="402">
                  <c:v>548.77</c:v>
                </c:pt>
                <c:pt idx="403">
                  <c:v>548.77</c:v>
                </c:pt>
                <c:pt idx="404">
                  <c:v>548.86</c:v>
                </c:pt>
                <c:pt idx="405">
                  <c:v>541.91999999999996</c:v>
                </c:pt>
                <c:pt idx="406">
                  <c:v>537.66</c:v>
                </c:pt>
                <c:pt idx="407">
                  <c:v>527.64</c:v>
                </c:pt>
                <c:pt idx="408">
                  <c:v>524.79999999999995</c:v>
                </c:pt>
                <c:pt idx="409">
                  <c:v>524.79999999999995</c:v>
                </c:pt>
                <c:pt idx="410">
                  <c:v>524.79999999999995</c:v>
                </c:pt>
                <c:pt idx="411">
                  <c:v>521.4</c:v>
                </c:pt>
                <c:pt idx="412">
                  <c:v>515.20000000000005</c:v>
                </c:pt>
                <c:pt idx="413">
                  <c:v>501.29</c:v>
                </c:pt>
                <c:pt idx="414">
                  <c:v>474.59</c:v>
                </c:pt>
                <c:pt idx="415">
                  <c:v>474.92</c:v>
                </c:pt>
                <c:pt idx="416">
                  <c:v>474.92</c:v>
                </c:pt>
                <c:pt idx="417">
                  <c:v>474.92</c:v>
                </c:pt>
                <c:pt idx="418">
                  <c:v>476</c:v>
                </c:pt>
                <c:pt idx="419">
                  <c:v>476.07</c:v>
                </c:pt>
                <c:pt idx="420">
                  <c:v>468.58</c:v>
                </c:pt>
                <c:pt idx="421">
                  <c:v>463.88</c:v>
                </c:pt>
                <c:pt idx="422">
                  <c:v>463.73</c:v>
                </c:pt>
                <c:pt idx="423">
                  <c:v>463.73</c:v>
                </c:pt>
                <c:pt idx="424">
                  <c:v>463.73</c:v>
                </c:pt>
                <c:pt idx="425">
                  <c:v>460.38</c:v>
                </c:pt>
                <c:pt idx="426">
                  <c:v>461.01</c:v>
                </c:pt>
                <c:pt idx="427">
                  <c:v>460.3</c:v>
                </c:pt>
                <c:pt idx="428">
                  <c:v>461.76</c:v>
                </c:pt>
                <c:pt idx="429">
                  <c:v>462.16</c:v>
                </c:pt>
                <c:pt idx="430">
                  <c:v>462.16</c:v>
                </c:pt>
                <c:pt idx="431">
                  <c:v>462.16</c:v>
                </c:pt>
                <c:pt idx="432">
                  <c:v>466.03</c:v>
                </c:pt>
                <c:pt idx="433">
                  <c:v>466.03</c:v>
                </c:pt>
                <c:pt idx="434">
                  <c:v>465.7</c:v>
                </c:pt>
                <c:pt idx="435">
                  <c:v>466.44</c:v>
                </c:pt>
                <c:pt idx="436">
                  <c:v>467.1</c:v>
                </c:pt>
                <c:pt idx="437">
                  <c:v>467.1</c:v>
                </c:pt>
                <c:pt idx="438">
                  <c:v>467.1</c:v>
                </c:pt>
                <c:pt idx="439">
                  <c:v>467.13</c:v>
                </c:pt>
                <c:pt idx="440">
                  <c:v>466.99</c:v>
                </c:pt>
                <c:pt idx="441">
                  <c:v>468.07</c:v>
                </c:pt>
                <c:pt idx="442">
                  <c:v>471.51</c:v>
                </c:pt>
                <c:pt idx="443">
                  <c:v>467.6</c:v>
                </c:pt>
                <c:pt idx="444">
                  <c:v>467.6</c:v>
                </c:pt>
                <c:pt idx="445">
                  <c:v>467.6</c:v>
                </c:pt>
                <c:pt idx="446">
                  <c:v>466.34</c:v>
                </c:pt>
                <c:pt idx="447">
                  <c:v>460</c:v>
                </c:pt>
                <c:pt idx="448">
                  <c:v>460</c:v>
                </c:pt>
                <c:pt idx="449">
                  <c:v>459.01</c:v>
                </c:pt>
                <c:pt idx="450">
                  <c:v>458.34</c:v>
                </c:pt>
                <c:pt idx="451">
                  <c:v>458.34</c:v>
                </c:pt>
                <c:pt idx="452">
                  <c:v>458.34</c:v>
                </c:pt>
                <c:pt idx="453">
                  <c:v>458.56</c:v>
                </c:pt>
                <c:pt idx="454">
                  <c:v>459.11</c:v>
                </c:pt>
                <c:pt idx="455">
                  <c:v>462.8</c:v>
                </c:pt>
                <c:pt idx="456">
                  <c:v>467.46</c:v>
                </c:pt>
                <c:pt idx="457">
                  <c:v>470.13</c:v>
                </c:pt>
                <c:pt idx="458">
                  <c:v>470.13</c:v>
                </c:pt>
                <c:pt idx="459">
                  <c:v>470.13</c:v>
                </c:pt>
                <c:pt idx="460">
                  <c:v>468.62</c:v>
                </c:pt>
                <c:pt idx="461">
                  <c:v>465.23</c:v>
                </c:pt>
                <c:pt idx="462">
                  <c:v>468.89</c:v>
                </c:pt>
                <c:pt idx="463">
                  <c:v>467.6</c:v>
                </c:pt>
                <c:pt idx="464">
                  <c:v>470.34</c:v>
                </c:pt>
                <c:pt idx="465">
                  <c:v>470.34</c:v>
                </c:pt>
                <c:pt idx="466">
                  <c:v>470.34</c:v>
                </c:pt>
                <c:pt idx="467">
                  <c:v>460.94</c:v>
                </c:pt>
                <c:pt idx="468">
                  <c:v>452.72</c:v>
                </c:pt>
                <c:pt idx="469">
                  <c:v>458.48</c:v>
                </c:pt>
                <c:pt idx="470">
                  <c:v>467.35</c:v>
                </c:pt>
                <c:pt idx="471">
                  <c:v>467.35</c:v>
                </c:pt>
                <c:pt idx="472">
                  <c:v>467.35</c:v>
                </c:pt>
                <c:pt idx="473">
                  <c:v>467.35</c:v>
                </c:pt>
                <c:pt idx="474">
                  <c:v>467.08</c:v>
                </c:pt>
                <c:pt idx="475">
                  <c:v>469.71</c:v>
                </c:pt>
                <c:pt idx="476">
                  <c:v>468.31</c:v>
                </c:pt>
                <c:pt idx="477">
                  <c:v>467.08</c:v>
                </c:pt>
                <c:pt idx="478">
                  <c:v>466.2</c:v>
                </c:pt>
                <c:pt idx="479">
                  <c:v>466.2</c:v>
                </c:pt>
                <c:pt idx="480">
                  <c:v>466.2</c:v>
                </c:pt>
                <c:pt idx="481">
                  <c:v>464.83</c:v>
                </c:pt>
                <c:pt idx="482">
                  <c:v>464.08</c:v>
                </c:pt>
                <c:pt idx="483">
                  <c:v>467.18</c:v>
                </c:pt>
                <c:pt idx="484">
                  <c:v>470.56</c:v>
                </c:pt>
                <c:pt idx="485">
                  <c:v>468.88</c:v>
                </c:pt>
                <c:pt idx="486">
                  <c:v>468.88</c:v>
                </c:pt>
                <c:pt idx="487">
                  <c:v>468.88</c:v>
                </c:pt>
                <c:pt idx="488">
                  <c:v>468.39</c:v>
                </c:pt>
                <c:pt idx="489">
                  <c:v>466.16</c:v>
                </c:pt>
                <c:pt idx="490">
                  <c:v>466.68</c:v>
                </c:pt>
                <c:pt idx="491">
                  <c:v>462.78</c:v>
                </c:pt>
                <c:pt idx="492">
                  <c:v>461.91</c:v>
                </c:pt>
                <c:pt idx="493">
                  <c:v>461.91</c:v>
                </c:pt>
                <c:pt idx="494">
                  <c:v>461.91</c:v>
                </c:pt>
                <c:pt idx="495">
                  <c:v>463.2</c:v>
                </c:pt>
                <c:pt idx="496">
                  <c:v>461.73</c:v>
                </c:pt>
                <c:pt idx="497">
                  <c:v>464.93</c:v>
                </c:pt>
                <c:pt idx="498">
                  <c:v>467.55</c:v>
                </c:pt>
                <c:pt idx="499">
                  <c:v>461.29</c:v>
                </c:pt>
                <c:pt idx="500">
                  <c:v>461.29</c:v>
                </c:pt>
                <c:pt idx="501">
                  <c:v>461.29</c:v>
                </c:pt>
                <c:pt idx="502">
                  <c:v>464.78</c:v>
                </c:pt>
                <c:pt idx="503">
                  <c:v>459.14</c:v>
                </c:pt>
                <c:pt idx="504">
                  <c:v>460.08</c:v>
                </c:pt>
                <c:pt idx="505">
                  <c:v>461.33</c:v>
                </c:pt>
                <c:pt idx="506">
                  <c:v>463.87</c:v>
                </c:pt>
                <c:pt idx="507">
                  <c:v>463.87</c:v>
                </c:pt>
                <c:pt idx="508">
                  <c:v>463.87</c:v>
                </c:pt>
                <c:pt idx="509">
                  <c:v>456.09</c:v>
                </c:pt>
                <c:pt idx="510">
                  <c:v>456.05</c:v>
                </c:pt>
                <c:pt idx="511">
                  <c:v>454.31</c:v>
                </c:pt>
                <c:pt idx="512">
                  <c:v>453.08</c:v>
                </c:pt>
                <c:pt idx="513">
                  <c:v>450.4</c:v>
                </c:pt>
                <c:pt idx="514">
                  <c:v>450.4</c:v>
                </c:pt>
                <c:pt idx="515">
                  <c:v>450.4</c:v>
                </c:pt>
                <c:pt idx="516">
                  <c:v>452.32</c:v>
                </c:pt>
                <c:pt idx="517">
                  <c:v>451.71</c:v>
                </c:pt>
                <c:pt idx="518">
                  <c:v>447.57</c:v>
                </c:pt>
                <c:pt idx="519">
                  <c:v>452.38</c:v>
                </c:pt>
                <c:pt idx="520">
                  <c:v>455.38</c:v>
                </c:pt>
                <c:pt idx="521">
                  <c:v>455.38</c:v>
                </c:pt>
                <c:pt idx="522">
                  <c:v>455.38</c:v>
                </c:pt>
                <c:pt idx="523">
                  <c:v>454.04</c:v>
                </c:pt>
                <c:pt idx="524">
                  <c:v>447.9</c:v>
                </c:pt>
                <c:pt idx="525">
                  <c:v>453.24</c:v>
                </c:pt>
                <c:pt idx="526">
                  <c:v>452.79</c:v>
                </c:pt>
                <c:pt idx="527">
                  <c:v>454.87</c:v>
                </c:pt>
                <c:pt idx="528">
                  <c:v>454.87</c:v>
                </c:pt>
                <c:pt idx="529">
                  <c:v>454.87</c:v>
                </c:pt>
                <c:pt idx="530">
                  <c:v>454.87</c:v>
                </c:pt>
                <c:pt idx="531">
                  <c:v>456.78</c:v>
                </c:pt>
                <c:pt idx="532">
                  <c:v>445.99</c:v>
                </c:pt>
                <c:pt idx="533">
                  <c:v>446.31</c:v>
                </c:pt>
                <c:pt idx="534">
                  <c:v>445.88</c:v>
                </c:pt>
                <c:pt idx="535">
                  <c:v>445.88</c:v>
                </c:pt>
                <c:pt idx="536">
                  <c:v>445.88</c:v>
                </c:pt>
                <c:pt idx="537">
                  <c:v>443.16</c:v>
                </c:pt>
                <c:pt idx="538">
                  <c:v>440.41</c:v>
                </c:pt>
                <c:pt idx="539">
                  <c:v>437.19</c:v>
                </c:pt>
                <c:pt idx="540">
                  <c:v>433.2</c:v>
                </c:pt>
                <c:pt idx="541">
                  <c:v>435.82</c:v>
                </c:pt>
                <c:pt idx="542">
                  <c:v>435.82</c:v>
                </c:pt>
                <c:pt idx="543">
                  <c:v>435.82</c:v>
                </c:pt>
                <c:pt idx="544">
                  <c:v>435.77</c:v>
                </c:pt>
                <c:pt idx="545">
                  <c:v>434.6</c:v>
                </c:pt>
                <c:pt idx="546">
                  <c:v>434.91</c:v>
                </c:pt>
                <c:pt idx="547">
                  <c:v>434.75</c:v>
                </c:pt>
                <c:pt idx="548">
                  <c:v>432.9</c:v>
                </c:pt>
                <c:pt idx="549">
                  <c:v>432.9</c:v>
                </c:pt>
                <c:pt idx="550">
                  <c:v>432.9</c:v>
                </c:pt>
                <c:pt idx="551">
                  <c:v>429.99</c:v>
                </c:pt>
                <c:pt idx="552">
                  <c:v>433.48</c:v>
                </c:pt>
                <c:pt idx="553">
                  <c:v>431.98</c:v>
                </c:pt>
                <c:pt idx="554">
                  <c:v>431.94</c:v>
                </c:pt>
                <c:pt idx="555">
                  <c:v>426.46</c:v>
                </c:pt>
                <c:pt idx="556">
                  <c:v>426.46</c:v>
                </c:pt>
                <c:pt idx="557">
                  <c:v>426.46</c:v>
                </c:pt>
                <c:pt idx="558">
                  <c:v>428.24</c:v>
                </c:pt>
                <c:pt idx="559">
                  <c:v>432.48</c:v>
                </c:pt>
                <c:pt idx="560">
                  <c:v>430.43</c:v>
                </c:pt>
                <c:pt idx="561">
                  <c:v>429.18</c:v>
                </c:pt>
                <c:pt idx="562">
                  <c:v>431.12</c:v>
                </c:pt>
                <c:pt idx="563">
                  <c:v>431.12</c:v>
                </c:pt>
                <c:pt idx="564">
                  <c:v>431.12</c:v>
                </c:pt>
                <c:pt idx="565">
                  <c:v>428.89</c:v>
                </c:pt>
                <c:pt idx="566">
                  <c:v>427.55</c:v>
                </c:pt>
                <c:pt idx="567">
                  <c:v>424.27</c:v>
                </c:pt>
                <c:pt idx="568">
                  <c:v>424.07</c:v>
                </c:pt>
                <c:pt idx="569">
                  <c:v>424.07</c:v>
                </c:pt>
                <c:pt idx="570">
                  <c:v>424.07</c:v>
                </c:pt>
                <c:pt idx="571">
                  <c:v>424.07</c:v>
                </c:pt>
                <c:pt idx="572">
                  <c:v>423.12</c:v>
                </c:pt>
                <c:pt idx="573">
                  <c:v>418.19</c:v>
                </c:pt>
                <c:pt idx="574">
                  <c:v>426.52</c:v>
                </c:pt>
                <c:pt idx="575">
                  <c:v>428.07</c:v>
                </c:pt>
                <c:pt idx="576">
                  <c:v>426.5</c:v>
                </c:pt>
                <c:pt idx="577">
                  <c:v>426.5</c:v>
                </c:pt>
                <c:pt idx="578">
                  <c:v>426.5</c:v>
                </c:pt>
                <c:pt idx="579">
                  <c:v>427</c:v>
                </c:pt>
                <c:pt idx="580">
                  <c:v>430.1</c:v>
                </c:pt>
                <c:pt idx="581">
                  <c:v>426.95</c:v>
                </c:pt>
                <c:pt idx="582">
                  <c:v>421.7</c:v>
                </c:pt>
                <c:pt idx="583">
                  <c:v>425.97</c:v>
                </c:pt>
                <c:pt idx="584">
                  <c:v>425.97</c:v>
                </c:pt>
                <c:pt idx="585">
                  <c:v>425.97</c:v>
                </c:pt>
                <c:pt idx="586">
                  <c:v>429.77</c:v>
                </c:pt>
                <c:pt idx="587">
                  <c:v>429.41</c:v>
                </c:pt>
                <c:pt idx="588">
                  <c:v>431.68</c:v>
                </c:pt>
                <c:pt idx="589">
                  <c:v>428.01</c:v>
                </c:pt>
                <c:pt idx="590">
                  <c:v>429.91</c:v>
                </c:pt>
                <c:pt idx="591">
                  <c:v>429.91</c:v>
                </c:pt>
                <c:pt idx="592">
                  <c:v>429.91</c:v>
                </c:pt>
                <c:pt idx="593">
                  <c:v>431.04</c:v>
                </c:pt>
                <c:pt idx="594">
                  <c:v>431.65</c:v>
                </c:pt>
                <c:pt idx="595">
                  <c:v>439.67</c:v>
                </c:pt>
                <c:pt idx="596">
                  <c:v>458.76</c:v>
                </c:pt>
                <c:pt idx="597">
                  <c:v>457.76</c:v>
                </c:pt>
                <c:pt idx="598">
                  <c:v>457.76</c:v>
                </c:pt>
                <c:pt idx="599">
                  <c:v>457.76</c:v>
                </c:pt>
                <c:pt idx="600">
                  <c:v>459.57</c:v>
                </c:pt>
                <c:pt idx="601">
                  <c:v>456.47</c:v>
                </c:pt>
                <c:pt idx="602">
                  <c:v>457.84</c:v>
                </c:pt>
                <c:pt idx="603">
                  <c:v>463.18</c:v>
                </c:pt>
                <c:pt idx="604">
                  <c:v>463.18</c:v>
                </c:pt>
                <c:pt idx="605">
                  <c:v>463.18</c:v>
                </c:pt>
                <c:pt idx="606">
                  <c:v>463.18</c:v>
                </c:pt>
                <c:pt idx="607">
                  <c:v>453.13</c:v>
                </c:pt>
                <c:pt idx="608">
                  <c:v>455.4</c:v>
                </c:pt>
                <c:pt idx="609">
                  <c:v>456.29</c:v>
                </c:pt>
                <c:pt idx="610">
                  <c:v>458.6</c:v>
                </c:pt>
                <c:pt idx="611">
                  <c:v>456.5</c:v>
                </c:pt>
                <c:pt idx="612">
                  <c:v>456.5</c:v>
                </c:pt>
                <c:pt idx="613">
                  <c:v>456.5</c:v>
                </c:pt>
                <c:pt idx="614">
                  <c:v>457.87</c:v>
                </c:pt>
                <c:pt idx="615">
                  <c:v>459.12</c:v>
                </c:pt>
                <c:pt idx="616">
                  <c:v>456.12</c:v>
                </c:pt>
                <c:pt idx="617">
                  <c:v>453.24</c:v>
                </c:pt>
                <c:pt idx="618">
                  <c:v>453.24</c:v>
                </c:pt>
                <c:pt idx="619">
                  <c:v>453.24</c:v>
                </c:pt>
                <c:pt idx="620">
                  <c:v>453.24</c:v>
                </c:pt>
                <c:pt idx="621">
                  <c:v>451.23</c:v>
                </c:pt>
                <c:pt idx="622">
                  <c:v>448.97</c:v>
                </c:pt>
                <c:pt idx="623">
                  <c:v>450.18</c:v>
                </c:pt>
                <c:pt idx="624">
                  <c:v>448.22</c:v>
                </c:pt>
                <c:pt idx="625">
                  <c:v>448.22</c:v>
                </c:pt>
                <c:pt idx="626">
                  <c:v>448.22</c:v>
                </c:pt>
                <c:pt idx="627">
                  <c:v>448.22</c:v>
                </c:pt>
                <c:pt idx="628">
                  <c:v>448.02</c:v>
                </c:pt>
                <c:pt idx="629">
                  <c:v>442.6</c:v>
                </c:pt>
                <c:pt idx="630">
                  <c:v>447.79</c:v>
                </c:pt>
                <c:pt idx="631">
                  <c:v>446.91</c:v>
                </c:pt>
                <c:pt idx="632">
                  <c:v>441.81</c:v>
                </c:pt>
                <c:pt idx="633">
                  <c:v>441.81</c:v>
                </c:pt>
                <c:pt idx="634">
                  <c:v>441.81</c:v>
                </c:pt>
                <c:pt idx="635">
                  <c:v>445.27</c:v>
                </c:pt>
                <c:pt idx="636">
                  <c:v>451.44</c:v>
                </c:pt>
                <c:pt idx="637">
                  <c:v>451.63</c:v>
                </c:pt>
                <c:pt idx="638">
                  <c:v>451.26</c:v>
                </c:pt>
                <c:pt idx="639">
                  <c:v>448.02</c:v>
                </c:pt>
                <c:pt idx="640">
                  <c:v>448.02</c:v>
                </c:pt>
                <c:pt idx="641">
                  <c:v>448.02</c:v>
                </c:pt>
                <c:pt idx="642">
                  <c:v>447.11</c:v>
                </c:pt>
                <c:pt idx="643">
                  <c:v>449.41</c:v>
                </c:pt>
                <c:pt idx="644">
                  <c:v>446.24</c:v>
                </c:pt>
                <c:pt idx="645">
                  <c:v>450.69</c:v>
                </c:pt>
                <c:pt idx="646">
                  <c:v>449.41</c:v>
                </c:pt>
                <c:pt idx="647">
                  <c:v>449.41</c:v>
                </c:pt>
                <c:pt idx="648">
                  <c:v>449.41</c:v>
                </c:pt>
                <c:pt idx="649">
                  <c:v>447.77</c:v>
                </c:pt>
                <c:pt idx="650">
                  <c:v>445.01</c:v>
                </c:pt>
                <c:pt idx="651">
                  <c:v>448.27</c:v>
                </c:pt>
                <c:pt idx="652">
                  <c:v>445.49</c:v>
                </c:pt>
                <c:pt idx="653">
                  <c:v>452.01</c:v>
                </c:pt>
                <c:pt idx="654">
                  <c:v>452.01</c:v>
                </c:pt>
                <c:pt idx="655">
                  <c:v>452.01</c:v>
                </c:pt>
                <c:pt idx="656">
                  <c:v>450.4</c:v>
                </c:pt>
                <c:pt idx="657">
                  <c:v>450.4</c:v>
                </c:pt>
                <c:pt idx="658">
                  <c:v>448.15</c:v>
                </c:pt>
                <c:pt idx="659">
                  <c:v>443.81</c:v>
                </c:pt>
                <c:pt idx="660">
                  <c:v>444.68</c:v>
                </c:pt>
                <c:pt idx="661">
                  <c:v>444.68</c:v>
                </c:pt>
                <c:pt idx="662">
                  <c:v>444.68</c:v>
                </c:pt>
                <c:pt idx="663">
                  <c:v>445.59</c:v>
                </c:pt>
                <c:pt idx="664">
                  <c:v>445.14</c:v>
                </c:pt>
                <c:pt idx="665">
                  <c:v>444.22</c:v>
                </c:pt>
                <c:pt idx="666">
                  <c:v>445.03</c:v>
                </c:pt>
                <c:pt idx="667">
                  <c:v>444.87</c:v>
                </c:pt>
                <c:pt idx="668">
                  <c:v>444.87</c:v>
                </c:pt>
                <c:pt idx="669">
                  <c:v>444.87</c:v>
                </c:pt>
                <c:pt idx="670">
                  <c:v>442.46</c:v>
                </c:pt>
                <c:pt idx="671">
                  <c:v>444.66</c:v>
                </c:pt>
                <c:pt idx="672">
                  <c:v>450.15</c:v>
                </c:pt>
                <c:pt idx="673">
                  <c:v>451.16</c:v>
                </c:pt>
                <c:pt idx="674">
                  <c:v>453.34</c:v>
                </c:pt>
                <c:pt idx="675">
                  <c:v>453.34</c:v>
                </c:pt>
                <c:pt idx="676">
                  <c:v>453.34</c:v>
                </c:pt>
                <c:pt idx="677">
                  <c:v>458.04</c:v>
                </c:pt>
                <c:pt idx="678">
                  <c:v>452.38</c:v>
                </c:pt>
                <c:pt idx="679">
                  <c:v>454.64</c:v>
                </c:pt>
                <c:pt idx="680">
                  <c:v>445.84</c:v>
                </c:pt>
                <c:pt idx="681">
                  <c:v>443.39</c:v>
                </c:pt>
                <c:pt idx="682">
                  <c:v>443.39</c:v>
                </c:pt>
                <c:pt idx="683">
                  <c:v>443.39</c:v>
                </c:pt>
                <c:pt idx="684">
                  <c:v>445.97</c:v>
                </c:pt>
                <c:pt idx="685">
                  <c:v>447.69</c:v>
                </c:pt>
                <c:pt idx="686">
                  <c:v>440.9</c:v>
                </c:pt>
                <c:pt idx="687">
                  <c:v>446.16</c:v>
                </c:pt>
                <c:pt idx="688">
                  <c:v>444.17</c:v>
                </c:pt>
                <c:pt idx="689">
                  <c:v>444.17</c:v>
                </c:pt>
                <c:pt idx="690">
                  <c:v>444.17</c:v>
                </c:pt>
                <c:pt idx="691">
                  <c:v>449.18</c:v>
                </c:pt>
                <c:pt idx="692">
                  <c:v>446.07</c:v>
                </c:pt>
                <c:pt idx="693">
                  <c:v>441.13</c:v>
                </c:pt>
                <c:pt idx="694">
                  <c:v>440.41</c:v>
                </c:pt>
                <c:pt idx="695">
                  <c:v>441.06</c:v>
                </c:pt>
                <c:pt idx="696">
                  <c:v>441.06</c:v>
                </c:pt>
                <c:pt idx="697">
                  <c:v>441.06</c:v>
                </c:pt>
                <c:pt idx="698">
                  <c:v>434.14</c:v>
                </c:pt>
                <c:pt idx="699">
                  <c:v>436.65</c:v>
                </c:pt>
                <c:pt idx="700">
                  <c:v>435.1</c:v>
                </c:pt>
                <c:pt idx="701">
                  <c:v>436.53</c:v>
                </c:pt>
                <c:pt idx="702">
                  <c:v>400.73</c:v>
                </c:pt>
                <c:pt idx="703">
                  <c:v>400.73</c:v>
                </c:pt>
                <c:pt idx="704">
                  <c:v>400.73</c:v>
                </c:pt>
                <c:pt idx="705">
                  <c:v>397.35</c:v>
                </c:pt>
                <c:pt idx="706">
                  <c:v>401.33</c:v>
                </c:pt>
                <c:pt idx="707">
                  <c:v>403.83</c:v>
                </c:pt>
                <c:pt idx="708">
                  <c:v>407.82</c:v>
                </c:pt>
                <c:pt idx="709">
                  <c:v>408.96</c:v>
                </c:pt>
                <c:pt idx="710">
                  <c:v>408.96</c:v>
                </c:pt>
                <c:pt idx="711">
                  <c:v>408.96</c:v>
                </c:pt>
                <c:pt idx="712">
                  <c:v>410.96</c:v>
                </c:pt>
                <c:pt idx="713">
                  <c:v>408.72</c:v>
                </c:pt>
                <c:pt idx="714">
                  <c:v>408.75</c:v>
                </c:pt>
                <c:pt idx="715">
                  <c:v>412.9</c:v>
                </c:pt>
                <c:pt idx="716">
                  <c:v>413.65</c:v>
                </c:pt>
                <c:pt idx="717">
                  <c:v>413.65</c:v>
                </c:pt>
                <c:pt idx="718">
                  <c:v>413.65</c:v>
                </c:pt>
                <c:pt idx="719">
                  <c:v>417.54</c:v>
                </c:pt>
                <c:pt idx="720">
                  <c:v>426.95</c:v>
                </c:pt>
                <c:pt idx="721">
                  <c:v>425.31</c:v>
                </c:pt>
                <c:pt idx="722">
                  <c:v>429.86</c:v>
                </c:pt>
                <c:pt idx="723">
                  <c:v>424.05</c:v>
                </c:pt>
                <c:pt idx="724">
                  <c:v>424.05</c:v>
                </c:pt>
                <c:pt idx="725">
                  <c:v>424.05</c:v>
                </c:pt>
                <c:pt idx="726">
                  <c:v>425.89</c:v>
                </c:pt>
                <c:pt idx="727">
                  <c:v>420.99</c:v>
                </c:pt>
                <c:pt idx="728">
                  <c:v>417.83</c:v>
                </c:pt>
                <c:pt idx="729">
                  <c:v>420.66</c:v>
                </c:pt>
                <c:pt idx="730">
                  <c:v>423.09</c:v>
                </c:pt>
                <c:pt idx="731">
                  <c:v>423.09</c:v>
                </c:pt>
                <c:pt idx="732">
                  <c:v>423.09</c:v>
                </c:pt>
                <c:pt idx="733">
                  <c:v>425.94</c:v>
                </c:pt>
                <c:pt idx="734">
                  <c:v>423.94</c:v>
                </c:pt>
                <c:pt idx="735">
                  <c:v>445.19</c:v>
                </c:pt>
                <c:pt idx="736">
                  <c:v>448.18</c:v>
                </c:pt>
                <c:pt idx="737">
                  <c:v>448.18</c:v>
                </c:pt>
                <c:pt idx="738">
                  <c:v>448.18</c:v>
                </c:pt>
                <c:pt idx="739">
                  <c:v>448.18</c:v>
                </c:pt>
                <c:pt idx="740">
                  <c:v>448.35</c:v>
                </c:pt>
                <c:pt idx="741">
                  <c:v>452.41</c:v>
                </c:pt>
                <c:pt idx="742">
                  <c:v>448.4</c:v>
                </c:pt>
                <c:pt idx="743">
                  <c:v>452.32</c:v>
                </c:pt>
                <c:pt idx="744">
                  <c:v>451.09</c:v>
                </c:pt>
                <c:pt idx="745">
                  <c:v>451.09</c:v>
                </c:pt>
                <c:pt idx="746">
                  <c:v>451.09</c:v>
                </c:pt>
                <c:pt idx="747">
                  <c:v>452.55</c:v>
                </c:pt>
                <c:pt idx="748">
                  <c:v>454.57</c:v>
                </c:pt>
                <c:pt idx="749">
                  <c:v>452.94</c:v>
                </c:pt>
                <c:pt idx="750">
                  <c:v>451.49</c:v>
                </c:pt>
                <c:pt idx="751">
                  <c:v>450.06</c:v>
                </c:pt>
                <c:pt idx="752">
                  <c:v>450.06</c:v>
                </c:pt>
                <c:pt idx="753">
                  <c:v>450.06</c:v>
                </c:pt>
                <c:pt idx="754">
                  <c:v>446.68</c:v>
                </c:pt>
                <c:pt idx="755">
                  <c:v>445.13</c:v>
                </c:pt>
                <c:pt idx="756">
                  <c:v>443.58</c:v>
                </c:pt>
                <c:pt idx="757">
                  <c:v>450.08</c:v>
                </c:pt>
                <c:pt idx="758">
                  <c:v>454.05</c:v>
                </c:pt>
                <c:pt idx="759">
                  <c:v>454.05</c:v>
                </c:pt>
                <c:pt idx="760">
                  <c:v>454.05</c:v>
                </c:pt>
                <c:pt idx="761">
                  <c:v>450.05</c:v>
                </c:pt>
                <c:pt idx="762">
                  <c:v>452.81</c:v>
                </c:pt>
                <c:pt idx="763">
                  <c:v>449.47</c:v>
                </c:pt>
                <c:pt idx="764">
                  <c:v>449.78</c:v>
                </c:pt>
                <c:pt idx="765">
                  <c:v>445.72</c:v>
                </c:pt>
                <c:pt idx="766">
                  <c:v>445.72</c:v>
                </c:pt>
                <c:pt idx="767">
                  <c:v>445.72</c:v>
                </c:pt>
                <c:pt idx="768">
                  <c:v>447.92</c:v>
                </c:pt>
                <c:pt idx="769">
                  <c:v>448.56</c:v>
                </c:pt>
                <c:pt idx="770">
                  <c:v>451.28</c:v>
                </c:pt>
                <c:pt idx="771">
                  <c:v>446.37</c:v>
                </c:pt>
                <c:pt idx="772">
                  <c:v>449</c:v>
                </c:pt>
                <c:pt idx="773">
                  <c:v>449</c:v>
                </c:pt>
                <c:pt idx="774">
                  <c:v>449</c:v>
                </c:pt>
                <c:pt idx="775">
                  <c:v>448.64</c:v>
                </c:pt>
                <c:pt idx="776">
                  <c:v>452.81</c:v>
                </c:pt>
                <c:pt idx="777">
                  <c:v>454.15</c:v>
                </c:pt>
                <c:pt idx="778">
                  <c:v>456.8</c:v>
                </c:pt>
                <c:pt idx="779">
                  <c:v>454.76</c:v>
                </c:pt>
                <c:pt idx="780">
                  <c:v>454.76</c:v>
                </c:pt>
                <c:pt idx="781">
                  <c:v>454.76</c:v>
                </c:pt>
                <c:pt idx="782">
                  <c:v>456.01</c:v>
                </c:pt>
                <c:pt idx="783">
                  <c:v>451.51</c:v>
                </c:pt>
                <c:pt idx="784">
                  <c:v>455.7</c:v>
                </c:pt>
                <c:pt idx="785">
                  <c:v>469.97</c:v>
                </c:pt>
                <c:pt idx="786">
                  <c:v>464.31</c:v>
                </c:pt>
                <c:pt idx="787">
                  <c:v>464.31</c:v>
                </c:pt>
                <c:pt idx="788">
                  <c:v>464.31</c:v>
                </c:pt>
                <c:pt idx="789">
                  <c:v>466.38</c:v>
                </c:pt>
                <c:pt idx="790">
                  <c:v>461.96</c:v>
                </c:pt>
                <c:pt idx="791">
                  <c:v>466.29</c:v>
                </c:pt>
                <c:pt idx="792">
                  <c:v>460.38</c:v>
                </c:pt>
                <c:pt idx="793">
                  <c:v>458.71</c:v>
                </c:pt>
                <c:pt idx="794">
                  <c:v>458.71</c:v>
                </c:pt>
                <c:pt idx="795">
                  <c:v>458.71</c:v>
                </c:pt>
                <c:pt idx="796">
                  <c:v>461.64</c:v>
                </c:pt>
                <c:pt idx="797">
                  <c:v>462.76</c:v>
                </c:pt>
                <c:pt idx="798">
                  <c:v>462.58</c:v>
                </c:pt>
                <c:pt idx="799">
                  <c:v>462.58</c:v>
                </c:pt>
                <c:pt idx="800">
                  <c:v>460.38</c:v>
                </c:pt>
                <c:pt idx="801">
                  <c:v>460.38</c:v>
                </c:pt>
                <c:pt idx="802">
                  <c:v>460.38</c:v>
                </c:pt>
                <c:pt idx="803">
                  <c:v>457.44</c:v>
                </c:pt>
                <c:pt idx="804">
                  <c:v>449.66</c:v>
                </c:pt>
                <c:pt idx="805">
                  <c:v>453.15</c:v>
                </c:pt>
                <c:pt idx="806">
                  <c:v>452.8</c:v>
                </c:pt>
                <c:pt idx="807">
                  <c:v>459.36</c:v>
                </c:pt>
                <c:pt idx="808">
                  <c:v>459.36</c:v>
                </c:pt>
                <c:pt idx="809">
                  <c:v>459.36</c:v>
                </c:pt>
                <c:pt idx="810">
                  <c:v>463.43</c:v>
                </c:pt>
                <c:pt idx="811">
                  <c:v>466.04</c:v>
                </c:pt>
                <c:pt idx="812">
                  <c:v>458.38</c:v>
                </c:pt>
                <c:pt idx="813">
                  <c:v>459.17</c:v>
                </c:pt>
                <c:pt idx="814">
                  <c:v>459.17</c:v>
                </c:pt>
                <c:pt idx="815">
                  <c:v>459.17</c:v>
                </c:pt>
                <c:pt idx="816">
                  <c:v>459.17</c:v>
                </c:pt>
                <c:pt idx="817">
                  <c:v>455.95</c:v>
                </c:pt>
                <c:pt idx="818">
                  <c:v>452.55</c:v>
                </c:pt>
                <c:pt idx="819">
                  <c:v>452.37</c:v>
                </c:pt>
                <c:pt idx="820">
                  <c:v>459.87</c:v>
                </c:pt>
                <c:pt idx="821">
                  <c:v>462.69</c:v>
                </c:pt>
                <c:pt idx="822">
                  <c:v>462.69</c:v>
                </c:pt>
                <c:pt idx="823">
                  <c:v>462.69</c:v>
                </c:pt>
                <c:pt idx="824">
                  <c:v>464.17</c:v>
                </c:pt>
                <c:pt idx="825">
                  <c:v>461.75</c:v>
                </c:pt>
                <c:pt idx="826">
                  <c:v>458.63</c:v>
                </c:pt>
                <c:pt idx="827">
                  <c:v>454.69</c:v>
                </c:pt>
                <c:pt idx="828">
                  <c:v>454.49</c:v>
                </c:pt>
                <c:pt idx="829">
                  <c:v>454.49</c:v>
                </c:pt>
                <c:pt idx="830">
                  <c:v>454.49</c:v>
                </c:pt>
                <c:pt idx="831">
                  <c:v>449.67</c:v>
                </c:pt>
                <c:pt idx="832">
                  <c:v>444.01</c:v>
                </c:pt>
                <c:pt idx="833">
                  <c:v>447.97</c:v>
                </c:pt>
                <c:pt idx="834">
                  <c:v>448.45</c:v>
                </c:pt>
                <c:pt idx="835">
                  <c:v>448.45</c:v>
                </c:pt>
                <c:pt idx="836">
                  <c:v>448.45</c:v>
                </c:pt>
                <c:pt idx="837">
                  <c:v>448.45</c:v>
                </c:pt>
                <c:pt idx="838">
                  <c:v>442.83</c:v>
                </c:pt>
                <c:pt idx="839">
                  <c:v>452.72</c:v>
                </c:pt>
                <c:pt idx="840">
                  <c:v>452.63</c:v>
                </c:pt>
                <c:pt idx="841">
                  <c:v>454.72</c:v>
                </c:pt>
                <c:pt idx="842">
                  <c:v>454.49</c:v>
                </c:pt>
                <c:pt idx="843">
                  <c:v>454.49</c:v>
                </c:pt>
                <c:pt idx="844">
                  <c:v>454.49</c:v>
                </c:pt>
                <c:pt idx="845">
                  <c:v>455.75</c:v>
                </c:pt>
                <c:pt idx="846">
                  <c:v>457.3</c:v>
                </c:pt>
                <c:pt idx="847">
                  <c:v>447.73</c:v>
                </c:pt>
                <c:pt idx="848">
                  <c:v>451.92</c:v>
                </c:pt>
                <c:pt idx="849">
                  <c:v>450.79</c:v>
                </c:pt>
                <c:pt idx="850">
                  <c:v>450.79</c:v>
                </c:pt>
                <c:pt idx="851">
                  <c:v>450.79</c:v>
                </c:pt>
                <c:pt idx="852">
                  <c:v>450.69</c:v>
                </c:pt>
                <c:pt idx="853">
                  <c:v>453.15</c:v>
                </c:pt>
                <c:pt idx="854">
                  <c:v>452.04</c:v>
                </c:pt>
                <c:pt idx="855">
                  <c:v>450.96</c:v>
                </c:pt>
                <c:pt idx="856">
                  <c:v>455.54</c:v>
                </c:pt>
                <c:pt idx="857">
                  <c:v>455.54</c:v>
                </c:pt>
                <c:pt idx="858">
                  <c:v>455.54</c:v>
                </c:pt>
                <c:pt idx="859">
                  <c:v>451.93</c:v>
                </c:pt>
                <c:pt idx="860">
                  <c:v>453.07</c:v>
                </c:pt>
                <c:pt idx="861">
                  <c:v>458.89</c:v>
                </c:pt>
                <c:pt idx="862">
                  <c:v>469.43</c:v>
                </c:pt>
                <c:pt idx="863">
                  <c:v>464.45</c:v>
                </c:pt>
                <c:pt idx="864">
                  <c:v>464.45</c:v>
                </c:pt>
                <c:pt idx="865">
                  <c:v>464.45</c:v>
                </c:pt>
                <c:pt idx="866">
                  <c:v>465</c:v>
                </c:pt>
                <c:pt idx="867">
                  <c:v>461.62</c:v>
                </c:pt>
                <c:pt idx="868">
                  <c:v>475.58</c:v>
                </c:pt>
                <c:pt idx="869">
                  <c:v>480.92</c:v>
                </c:pt>
                <c:pt idx="870">
                  <c:v>482.55</c:v>
                </c:pt>
                <c:pt idx="871">
                  <c:v>482.55</c:v>
                </c:pt>
                <c:pt idx="872">
                  <c:v>482.55</c:v>
                </c:pt>
                <c:pt idx="873">
                  <c:v>490.6</c:v>
                </c:pt>
                <c:pt idx="874">
                  <c:v>495.16</c:v>
                </c:pt>
                <c:pt idx="875">
                  <c:v>501.41</c:v>
                </c:pt>
                <c:pt idx="876">
                  <c:v>489.64</c:v>
                </c:pt>
                <c:pt idx="877">
                  <c:v>487.99</c:v>
                </c:pt>
                <c:pt idx="878">
                  <c:v>487.99</c:v>
                </c:pt>
                <c:pt idx="879">
                  <c:v>487.99</c:v>
                </c:pt>
                <c:pt idx="880">
                  <c:v>492.14</c:v>
                </c:pt>
                <c:pt idx="881">
                  <c:v>488.1</c:v>
                </c:pt>
                <c:pt idx="882">
                  <c:v>487.84</c:v>
                </c:pt>
                <c:pt idx="883">
                  <c:v>496.75</c:v>
                </c:pt>
                <c:pt idx="884">
                  <c:v>490.17</c:v>
                </c:pt>
                <c:pt idx="885">
                  <c:v>490.17</c:v>
                </c:pt>
                <c:pt idx="886">
                  <c:v>490.17</c:v>
                </c:pt>
                <c:pt idx="887">
                  <c:v>490.17</c:v>
                </c:pt>
                <c:pt idx="888">
                  <c:v>489.99</c:v>
                </c:pt>
                <c:pt idx="889">
                  <c:v>488.54</c:v>
                </c:pt>
                <c:pt idx="890">
                  <c:v>486.62</c:v>
                </c:pt>
                <c:pt idx="891">
                  <c:v>472.73</c:v>
                </c:pt>
                <c:pt idx="892">
                  <c:v>472.73</c:v>
                </c:pt>
                <c:pt idx="893">
                  <c:v>472.73</c:v>
                </c:pt>
                <c:pt idx="894">
                  <c:v>473.18</c:v>
                </c:pt>
                <c:pt idx="895">
                  <c:v>474.19</c:v>
                </c:pt>
                <c:pt idx="896">
                  <c:v>471.44</c:v>
                </c:pt>
                <c:pt idx="897">
                  <c:v>473.39</c:v>
                </c:pt>
                <c:pt idx="898">
                  <c:v>474.54</c:v>
                </c:pt>
                <c:pt idx="899">
                  <c:v>474.54</c:v>
                </c:pt>
                <c:pt idx="900">
                  <c:v>474.54</c:v>
                </c:pt>
                <c:pt idx="901">
                  <c:v>467.9</c:v>
                </c:pt>
                <c:pt idx="902">
                  <c:v>468.9</c:v>
                </c:pt>
                <c:pt idx="903">
                  <c:v>474.76</c:v>
                </c:pt>
                <c:pt idx="904">
                  <c:v>475.7</c:v>
                </c:pt>
                <c:pt idx="905">
                  <c:v>465.87</c:v>
                </c:pt>
                <c:pt idx="906">
                  <c:v>465.87</c:v>
                </c:pt>
                <c:pt idx="907">
                  <c:v>465.87</c:v>
                </c:pt>
                <c:pt idx="908">
                  <c:v>473.24</c:v>
                </c:pt>
                <c:pt idx="909">
                  <c:v>473.31</c:v>
                </c:pt>
                <c:pt idx="910">
                  <c:v>478.87</c:v>
                </c:pt>
                <c:pt idx="911">
                  <c:v>477.33</c:v>
                </c:pt>
                <c:pt idx="912">
                  <c:v>475.5</c:v>
                </c:pt>
                <c:pt idx="913">
                  <c:v>475.5</c:v>
                </c:pt>
                <c:pt idx="914">
                  <c:v>475.5</c:v>
                </c:pt>
                <c:pt idx="915">
                  <c:v>475.85</c:v>
                </c:pt>
                <c:pt idx="916">
                  <c:v>479.5</c:v>
                </c:pt>
                <c:pt idx="917">
                  <c:v>478.66</c:v>
                </c:pt>
                <c:pt idx="918">
                  <c:v>480.17</c:v>
                </c:pt>
                <c:pt idx="919">
                  <c:v>477.89</c:v>
                </c:pt>
                <c:pt idx="920">
                  <c:v>477.89</c:v>
                </c:pt>
                <c:pt idx="921">
                  <c:v>477.89</c:v>
                </c:pt>
                <c:pt idx="922">
                  <c:v>478.31</c:v>
                </c:pt>
                <c:pt idx="923">
                  <c:v>474.33</c:v>
                </c:pt>
                <c:pt idx="924">
                  <c:v>474.26</c:v>
                </c:pt>
                <c:pt idx="925">
                  <c:v>479.49</c:v>
                </c:pt>
                <c:pt idx="926">
                  <c:v>480.4</c:v>
                </c:pt>
                <c:pt idx="927">
                  <c:v>480.4</c:v>
                </c:pt>
                <c:pt idx="928">
                  <c:v>480.4</c:v>
                </c:pt>
                <c:pt idx="929">
                  <c:v>479.08</c:v>
                </c:pt>
                <c:pt idx="930">
                  <c:v>479.53</c:v>
                </c:pt>
                <c:pt idx="931">
                  <c:v>479.19</c:v>
                </c:pt>
                <c:pt idx="932">
                  <c:v>475.63</c:v>
                </c:pt>
                <c:pt idx="933">
                  <c:v>475.63</c:v>
                </c:pt>
                <c:pt idx="934">
                  <c:v>475.63</c:v>
                </c:pt>
                <c:pt idx="935">
                  <c:v>475.63</c:v>
                </c:pt>
                <c:pt idx="936">
                  <c:v>471.25</c:v>
                </c:pt>
                <c:pt idx="937">
                  <c:v>480.51</c:v>
                </c:pt>
                <c:pt idx="938">
                  <c:v>481.58</c:v>
                </c:pt>
                <c:pt idx="939">
                  <c:v>481.97</c:v>
                </c:pt>
                <c:pt idx="940">
                  <c:v>480.83</c:v>
                </c:pt>
                <c:pt idx="941">
                  <c:v>480.83</c:v>
                </c:pt>
                <c:pt idx="942">
                  <c:v>480.83</c:v>
                </c:pt>
                <c:pt idx="943">
                  <c:v>470.09</c:v>
                </c:pt>
                <c:pt idx="944">
                  <c:v>469.65</c:v>
                </c:pt>
                <c:pt idx="945">
                  <c:v>468.33</c:v>
                </c:pt>
                <c:pt idx="946">
                  <c:v>469.1</c:v>
                </c:pt>
                <c:pt idx="947">
                  <c:v>459.08</c:v>
                </c:pt>
                <c:pt idx="948">
                  <c:v>459.08</c:v>
                </c:pt>
                <c:pt idx="949">
                  <c:v>459.08</c:v>
                </c:pt>
                <c:pt idx="950">
                  <c:v>457.19</c:v>
                </c:pt>
                <c:pt idx="951">
                  <c:v>462.25</c:v>
                </c:pt>
                <c:pt idx="952">
                  <c:v>463.26</c:v>
                </c:pt>
                <c:pt idx="953">
                  <c:v>460.59</c:v>
                </c:pt>
                <c:pt idx="954">
                  <c:v>459.6</c:v>
                </c:pt>
                <c:pt idx="955">
                  <c:v>459.6</c:v>
                </c:pt>
                <c:pt idx="956">
                  <c:v>459.6</c:v>
                </c:pt>
                <c:pt idx="957">
                  <c:v>459.81</c:v>
                </c:pt>
                <c:pt idx="958">
                  <c:v>454.16</c:v>
                </c:pt>
                <c:pt idx="959">
                  <c:v>449.23</c:v>
                </c:pt>
                <c:pt idx="960">
                  <c:v>441.28</c:v>
                </c:pt>
                <c:pt idx="961">
                  <c:v>443.28</c:v>
                </c:pt>
                <c:pt idx="962">
                  <c:v>443.28</c:v>
                </c:pt>
                <c:pt idx="963">
                  <c:v>443.28</c:v>
                </c:pt>
                <c:pt idx="964">
                  <c:v>439.31</c:v>
                </c:pt>
                <c:pt idx="965">
                  <c:v>441.27</c:v>
                </c:pt>
                <c:pt idx="966">
                  <c:v>447.16</c:v>
                </c:pt>
                <c:pt idx="967">
                  <c:v>449.83</c:v>
                </c:pt>
                <c:pt idx="968">
                  <c:v>449.83</c:v>
                </c:pt>
                <c:pt idx="969">
                  <c:v>449.83</c:v>
                </c:pt>
                <c:pt idx="970">
                  <c:v>449.83</c:v>
                </c:pt>
                <c:pt idx="971">
                  <c:v>461.74</c:v>
                </c:pt>
                <c:pt idx="972">
                  <c:v>463</c:v>
                </c:pt>
                <c:pt idx="973">
                  <c:v>462.29</c:v>
                </c:pt>
                <c:pt idx="974">
                  <c:v>458.99</c:v>
                </c:pt>
                <c:pt idx="975">
                  <c:v>473.24</c:v>
                </c:pt>
                <c:pt idx="976">
                  <c:v>473.24</c:v>
                </c:pt>
                <c:pt idx="977">
                  <c:v>473.24</c:v>
                </c:pt>
                <c:pt idx="978">
                  <c:v>477.07</c:v>
                </c:pt>
                <c:pt idx="979">
                  <c:v>476.5</c:v>
                </c:pt>
                <c:pt idx="980">
                  <c:v>477.53</c:v>
                </c:pt>
                <c:pt idx="981">
                  <c:v>486.49</c:v>
                </c:pt>
                <c:pt idx="982">
                  <c:v>486.49</c:v>
                </c:pt>
                <c:pt idx="983">
                  <c:v>486.49</c:v>
                </c:pt>
                <c:pt idx="984">
                  <c:v>486.49</c:v>
                </c:pt>
                <c:pt idx="985">
                  <c:v>487.05</c:v>
                </c:pt>
                <c:pt idx="986">
                  <c:v>483.22</c:v>
                </c:pt>
                <c:pt idx="987">
                  <c:v>485.5</c:v>
                </c:pt>
                <c:pt idx="988">
                  <c:v>483.29</c:v>
                </c:pt>
                <c:pt idx="989">
                  <c:v>483.29</c:v>
                </c:pt>
                <c:pt idx="990">
                  <c:v>483.29</c:v>
                </c:pt>
                <c:pt idx="991">
                  <c:v>483.29</c:v>
                </c:pt>
                <c:pt idx="992">
                  <c:v>479.3</c:v>
                </c:pt>
                <c:pt idx="993">
                  <c:v>487.65</c:v>
                </c:pt>
                <c:pt idx="994">
                  <c:v>486.15</c:v>
                </c:pt>
                <c:pt idx="995">
                  <c:v>481.79</c:v>
                </c:pt>
                <c:pt idx="996">
                  <c:v>481.79</c:v>
                </c:pt>
                <c:pt idx="997">
                  <c:v>481.79</c:v>
                </c:pt>
                <c:pt idx="998">
                  <c:v>481.79</c:v>
                </c:pt>
                <c:pt idx="999">
                  <c:v>478.79</c:v>
                </c:pt>
                <c:pt idx="1000">
                  <c:v>485.19</c:v>
                </c:pt>
                <c:pt idx="1001">
                  <c:v>480.22</c:v>
                </c:pt>
                <c:pt idx="1002">
                  <c:v>486.32</c:v>
                </c:pt>
                <c:pt idx="1003">
                  <c:v>483.58</c:v>
                </c:pt>
                <c:pt idx="1004">
                  <c:v>483.58</c:v>
                </c:pt>
                <c:pt idx="1005">
                  <c:v>483.58</c:v>
                </c:pt>
                <c:pt idx="1006">
                  <c:v>485.38</c:v>
                </c:pt>
                <c:pt idx="1007">
                  <c:v>481.2</c:v>
                </c:pt>
                <c:pt idx="1008">
                  <c:v>484</c:v>
                </c:pt>
                <c:pt idx="1009">
                  <c:v>490.67</c:v>
                </c:pt>
                <c:pt idx="1010">
                  <c:v>496.23</c:v>
                </c:pt>
                <c:pt idx="1011">
                  <c:v>496.23</c:v>
                </c:pt>
                <c:pt idx="1012">
                  <c:v>496.23</c:v>
                </c:pt>
                <c:pt idx="1013">
                  <c:v>483.69</c:v>
                </c:pt>
                <c:pt idx="1014">
                  <c:v>485.19</c:v>
                </c:pt>
                <c:pt idx="1015">
                  <c:v>484.1</c:v>
                </c:pt>
                <c:pt idx="1016">
                  <c:v>483.21</c:v>
                </c:pt>
                <c:pt idx="1017">
                  <c:v>483.46</c:v>
                </c:pt>
                <c:pt idx="1018">
                  <c:v>483.46</c:v>
                </c:pt>
                <c:pt idx="1019">
                  <c:v>483.46</c:v>
                </c:pt>
                <c:pt idx="1020">
                  <c:v>481.07</c:v>
                </c:pt>
                <c:pt idx="1021">
                  <c:v>481.07</c:v>
                </c:pt>
                <c:pt idx="1022">
                  <c:v>479.5</c:v>
                </c:pt>
                <c:pt idx="1023">
                  <c:v>480.94</c:v>
                </c:pt>
                <c:pt idx="1024">
                  <c:v>476.82</c:v>
                </c:pt>
                <c:pt idx="1025">
                  <c:v>476.82</c:v>
                </c:pt>
                <c:pt idx="1026">
                  <c:v>476.82</c:v>
                </c:pt>
                <c:pt idx="1027">
                  <c:v>472.77</c:v>
                </c:pt>
                <c:pt idx="1028">
                  <c:v>466.24</c:v>
                </c:pt>
                <c:pt idx="1029">
                  <c:v>467.25</c:v>
                </c:pt>
                <c:pt idx="1030">
                  <c:v>462.04</c:v>
                </c:pt>
                <c:pt idx="1031">
                  <c:v>463.86</c:v>
                </c:pt>
                <c:pt idx="1032">
                  <c:v>463.86</c:v>
                </c:pt>
                <c:pt idx="1033">
                  <c:v>463.86</c:v>
                </c:pt>
                <c:pt idx="1034">
                  <c:v>490.77</c:v>
                </c:pt>
                <c:pt idx="1035">
                  <c:v>485.18</c:v>
                </c:pt>
                <c:pt idx="1036">
                  <c:v>494.12</c:v>
                </c:pt>
                <c:pt idx="1037">
                  <c:v>488.63</c:v>
                </c:pt>
                <c:pt idx="1038">
                  <c:v>481.67</c:v>
                </c:pt>
                <c:pt idx="1039">
                  <c:v>481.67</c:v>
                </c:pt>
                <c:pt idx="1040">
                  <c:v>481.67</c:v>
                </c:pt>
                <c:pt idx="1041">
                  <c:v>484.82</c:v>
                </c:pt>
                <c:pt idx="1042">
                  <c:v>482.06</c:v>
                </c:pt>
                <c:pt idx="1043">
                  <c:v>485.63</c:v>
                </c:pt>
                <c:pt idx="1044">
                  <c:v>486.68</c:v>
                </c:pt>
              </c:numCache>
            </c:numRef>
          </c:val>
          <c:smooth val="0"/>
          <c:extLst>
            <c:ext xmlns:c16="http://schemas.microsoft.com/office/drawing/2014/chart" uri="{C3380CC4-5D6E-409C-BE32-E72D297353CC}">
              <c16:uniqueId val="{00000001-D1DC-4E4A-A246-46D1BC992423}"/>
            </c:ext>
          </c:extLst>
        </c:ser>
        <c:dLbls>
          <c:showLegendKey val="0"/>
          <c:showVal val="0"/>
          <c:showCatName val="0"/>
          <c:showSerName val="0"/>
          <c:showPercent val="0"/>
          <c:showBubbleSize val="0"/>
        </c:dLbls>
        <c:marker val="1"/>
        <c:smooth val="0"/>
        <c:axId val="33539583"/>
        <c:axId val="33533343"/>
      </c:lineChart>
      <c:dateAx>
        <c:axId val="33469023"/>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33476223"/>
        <c:crosses val="autoZero"/>
        <c:auto val="1"/>
        <c:lblOffset val="100"/>
        <c:baseTimeUnit val="days"/>
      </c:dateAx>
      <c:valAx>
        <c:axId val="33476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33469023"/>
        <c:crosses val="autoZero"/>
        <c:crossBetween val="between"/>
      </c:valAx>
      <c:valAx>
        <c:axId val="33533343"/>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33539583"/>
        <c:crosses val="max"/>
        <c:crossBetween val="between"/>
      </c:valAx>
      <c:dateAx>
        <c:axId val="33539583"/>
        <c:scaling>
          <c:orientation val="minMax"/>
        </c:scaling>
        <c:delete val="1"/>
        <c:axPos val="b"/>
        <c:numFmt formatCode="m/d/yy;@" sourceLinked="1"/>
        <c:majorTickMark val="out"/>
        <c:minorTickMark val="none"/>
        <c:tickLblPos val="nextTo"/>
        <c:crossAx val="33533343"/>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49352580927384"/>
          <c:y val="0.14155876348789734"/>
          <c:w val="0.46233792650918637"/>
          <c:h val="0.7863269174686498"/>
        </c:manualLayout>
      </c:layout>
      <c:radarChart>
        <c:radarStyle val="filled"/>
        <c:varyColors val="0"/>
        <c:ser>
          <c:idx val="0"/>
          <c:order val="0"/>
          <c:spPr>
            <a:solidFill>
              <a:srgbClr val="7B1314"/>
            </a:solidFill>
            <a:ln>
              <a:noFill/>
            </a:ln>
            <a:effectLst/>
          </c:spPr>
          <c:cat>
            <c:strRef>
              <c:f>Industry!$O$32:$O$36</c:f>
              <c:strCache>
                <c:ptCount val="5"/>
                <c:pt idx="0">
                  <c:v>Rivalry Among Existing Competitors</c:v>
                </c:pt>
                <c:pt idx="1">
                  <c:v>Threat of New Entrants</c:v>
                </c:pt>
                <c:pt idx="2">
                  <c:v>Threat of Substitutes</c:v>
                </c:pt>
                <c:pt idx="3">
                  <c:v>Bargaining Power of Customers</c:v>
                </c:pt>
                <c:pt idx="4">
                  <c:v>Bargaining Power of Suppliers</c:v>
                </c:pt>
              </c:strCache>
            </c:strRef>
          </c:cat>
          <c:val>
            <c:numRef>
              <c:f>Industry!$R$32:$R$36</c:f>
              <c:numCache>
                <c:formatCode>General</c:formatCode>
                <c:ptCount val="5"/>
                <c:pt idx="0">
                  <c:v>7</c:v>
                </c:pt>
                <c:pt idx="1">
                  <c:v>1</c:v>
                </c:pt>
                <c:pt idx="2">
                  <c:v>4</c:v>
                </c:pt>
                <c:pt idx="3">
                  <c:v>9</c:v>
                </c:pt>
                <c:pt idx="4">
                  <c:v>3</c:v>
                </c:pt>
              </c:numCache>
            </c:numRef>
          </c:val>
          <c:extLst>
            <c:ext xmlns:c16="http://schemas.microsoft.com/office/drawing/2014/chart" uri="{C3380CC4-5D6E-409C-BE32-E72D297353CC}">
              <c16:uniqueId val="{00000000-9C6F-43F2-8467-1824FEFC1A17}"/>
            </c:ext>
          </c:extLst>
        </c:ser>
        <c:dLbls>
          <c:showLegendKey val="0"/>
          <c:showVal val="0"/>
          <c:showCatName val="0"/>
          <c:showSerName val="0"/>
          <c:showPercent val="0"/>
          <c:showBubbleSize val="0"/>
        </c:dLbls>
        <c:axId val="936468056"/>
        <c:axId val="936462480"/>
      </c:radarChart>
      <c:catAx>
        <c:axId val="936468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936462480"/>
        <c:crosses val="autoZero"/>
        <c:auto val="1"/>
        <c:lblAlgn val="ctr"/>
        <c:lblOffset val="100"/>
        <c:noMultiLvlLbl val="0"/>
      </c:catAx>
      <c:valAx>
        <c:axId val="936462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64680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011471037341324E-2"/>
          <c:y val="9.4264761848210116E-2"/>
          <c:w val="0.90807390123367093"/>
          <c:h val="0.65465561310556841"/>
        </c:manualLayout>
      </c:layout>
      <c:lineChart>
        <c:grouping val="standard"/>
        <c:varyColors val="0"/>
        <c:ser>
          <c:idx val="0"/>
          <c:order val="0"/>
          <c:tx>
            <c:strRef>
              <c:f>'Stock Data'!$U$4</c:f>
              <c:strCache>
                <c:ptCount val="1"/>
                <c:pt idx="0">
                  <c:v>LMT US Equity</c:v>
                </c:pt>
              </c:strCache>
            </c:strRef>
          </c:tx>
          <c:spPr>
            <a:ln w="28575" cap="rnd">
              <a:solidFill>
                <a:schemeClr val="accent1"/>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Data'!$U$5:$U$159</c:f>
              <c:numCache>
                <c:formatCode>General</c:formatCode>
                <c:ptCount val="155"/>
                <c:pt idx="0">
                  <c:v>1.1319857907639965</c:v>
                </c:pt>
                <c:pt idx="1">
                  <c:v>1.1319857907639965</c:v>
                </c:pt>
                <c:pt idx="2">
                  <c:v>1.1393906038925301</c:v>
                </c:pt>
                <c:pt idx="3">
                  <c:v>1.1034672537149148</c:v>
                </c:pt>
                <c:pt idx="4">
                  <c:v>1.0796017411317356</c:v>
                </c:pt>
                <c:pt idx="5">
                  <c:v>1.0712963426227047</c:v>
                </c:pt>
                <c:pt idx="6">
                  <c:v>1.0510081553009456</c:v>
                </c:pt>
                <c:pt idx="7">
                  <c:v>1.0275178866263071</c:v>
                </c:pt>
                <c:pt idx="8">
                  <c:v>1.1760644418872266</c:v>
                </c:pt>
                <c:pt idx="9">
                  <c:v>1.1582778806224046</c:v>
                </c:pt>
                <c:pt idx="10">
                  <c:v>1.1656076449692299</c:v>
                </c:pt>
                <c:pt idx="11">
                  <c:v>1.1512483114024115</c:v>
                </c:pt>
                <c:pt idx="12">
                  <c:v>1.1991294341321859</c:v>
                </c:pt>
                <c:pt idx="13">
                  <c:v>1.1930254665532596</c:v>
                </c:pt>
                <c:pt idx="14">
                  <c:v>1.2012057837594436</c:v>
                </c:pt>
                <c:pt idx="15">
                  <c:v>1.1929003852504128</c:v>
                </c:pt>
                <c:pt idx="16">
                  <c:v>1.1903237104117677</c:v>
                </c:pt>
                <c:pt idx="17">
                  <c:v>1.1503227097613449</c:v>
                </c:pt>
                <c:pt idx="18">
                  <c:v>1.1712863361184769</c:v>
                </c:pt>
                <c:pt idx="19">
                  <c:v>1.1904738079751838</c:v>
                </c:pt>
                <c:pt idx="20">
                  <c:v>1.1559513683894531</c:v>
                </c:pt>
                <c:pt idx="21">
                  <c:v>1.1747135638164807</c:v>
                </c:pt>
                <c:pt idx="22">
                  <c:v>1.1091209286035923</c:v>
                </c:pt>
                <c:pt idx="23">
                  <c:v>1.1223295141842198</c:v>
                </c:pt>
                <c:pt idx="24">
                  <c:v>1.1058938309901436</c:v>
                </c:pt>
                <c:pt idx="25">
                  <c:v>1.1739630759993995</c:v>
                </c:pt>
                <c:pt idx="26">
                  <c:v>1.1729624255766247</c:v>
                </c:pt>
                <c:pt idx="27">
                  <c:v>1.1227798068744683</c:v>
                </c:pt>
                <c:pt idx="28">
                  <c:v>1.121879221493971</c:v>
                </c:pt>
                <c:pt idx="29">
                  <c:v>1.0720468304397859</c:v>
                </c:pt>
                <c:pt idx="30">
                  <c:v>1.1241306849452144</c:v>
                </c:pt>
                <c:pt idx="31">
                  <c:v>1.1349377095111823</c:v>
                </c:pt>
                <c:pt idx="32">
                  <c:v>1.1443688397458347</c:v>
                </c:pt>
                <c:pt idx="33">
                  <c:v>1.2665482563666384</c:v>
                </c:pt>
                <c:pt idx="34">
                  <c:v>1.2119377595437033</c:v>
                </c:pt>
                <c:pt idx="35">
                  <c:v>1.1606544253764945</c:v>
                </c:pt>
                <c:pt idx="36">
                  <c:v>1.2156401661079701</c:v>
                </c:pt>
                <c:pt idx="37">
                  <c:v>1.2211187271726622</c:v>
                </c:pt>
                <c:pt idx="38">
                  <c:v>1.2273227597938661</c:v>
                </c:pt>
                <c:pt idx="39">
                  <c:v>1.2831840696452694</c:v>
                </c:pt>
                <c:pt idx="40">
                  <c:v>1.2933406714364337</c:v>
                </c:pt>
                <c:pt idx="41">
                  <c:v>1.3044729073898034</c:v>
                </c:pt>
                <c:pt idx="42">
                  <c:v>1.3340171111222294</c:v>
                </c:pt>
                <c:pt idx="43">
                  <c:v>1.4158202831840696</c:v>
                </c:pt>
                <c:pt idx="44">
                  <c:v>1.3677640466303096</c:v>
                </c:pt>
                <c:pt idx="45">
                  <c:v>1.3678891279331564</c:v>
                </c:pt>
                <c:pt idx="46">
                  <c:v>1.4433882023315154</c:v>
                </c:pt>
                <c:pt idx="47">
                  <c:v>1.5134837644468904</c:v>
                </c:pt>
                <c:pt idx="48">
                  <c:v>1.5211137239205481</c:v>
                </c:pt>
                <c:pt idx="49">
                  <c:v>1.5156351628558562</c:v>
                </c:pt>
                <c:pt idx="50">
                  <c:v>1.4475158853254615</c:v>
                </c:pt>
                <c:pt idx="51">
                  <c:v>1.4184469905438535</c:v>
                </c:pt>
                <c:pt idx="52">
                  <c:v>1.4314054135187873</c:v>
                </c:pt>
                <c:pt idx="53">
                  <c:v>1.4189723320158103</c:v>
                </c:pt>
                <c:pt idx="54">
                  <c:v>1.401936258568069</c:v>
                </c:pt>
                <c:pt idx="55">
                  <c:v>1.3934307299744833</c:v>
                </c:pt>
                <c:pt idx="56">
                  <c:v>1.3994596487717015</c:v>
                </c:pt>
                <c:pt idx="57">
                  <c:v>1.3547806073948065</c:v>
                </c:pt>
                <c:pt idx="58">
                  <c:v>1.3450242657727522</c:v>
                </c:pt>
                <c:pt idx="59">
                  <c:v>1.2540401260819534</c:v>
                </c:pt>
                <c:pt idx="60">
                  <c:v>1.1722119377595437</c:v>
                </c:pt>
                <c:pt idx="61">
                  <c:v>1.1514984740081053</c:v>
                </c:pt>
                <c:pt idx="62">
                  <c:v>1.165007254715565</c:v>
                </c:pt>
                <c:pt idx="63">
                  <c:v>1.1709361084705059</c:v>
                </c:pt>
                <c:pt idx="64">
                  <c:v>1.1507479861910241</c:v>
                </c:pt>
                <c:pt idx="65">
                  <c:v>1.1577525391504477</c:v>
                </c:pt>
                <c:pt idx="66">
                  <c:v>1.1729874418371942</c:v>
                </c:pt>
                <c:pt idx="67">
                  <c:v>1.14694551458448</c:v>
                </c:pt>
                <c:pt idx="68">
                  <c:v>1.1715364987241708</c:v>
                </c:pt>
                <c:pt idx="69">
                  <c:v>1.1687096612798318</c:v>
                </c:pt>
                <c:pt idx="70">
                  <c:v>1.1674588482513635</c:v>
                </c:pt>
                <c:pt idx="71">
                  <c:v>1.1630810026517235</c:v>
                </c:pt>
                <c:pt idx="72">
                  <c:v>1.150948116275579</c:v>
                </c:pt>
                <c:pt idx="73">
                  <c:v>1.1365137339270526</c:v>
                </c:pt>
                <c:pt idx="74">
                  <c:v>1.1196527743032971</c:v>
                </c:pt>
                <c:pt idx="75">
                  <c:v>1.1338369940461299</c:v>
                </c:pt>
                <c:pt idx="76">
                  <c:v>1.1157002051333367</c:v>
                </c:pt>
                <c:pt idx="77">
                  <c:v>1.093685895832291</c:v>
                </c:pt>
                <c:pt idx="78">
                  <c:v>1.0879821884224747</c:v>
                </c:pt>
                <c:pt idx="79">
                  <c:v>1.0806524240756492</c:v>
                </c:pt>
                <c:pt idx="80">
                  <c:v>1.0767749036873968</c:v>
                </c:pt>
                <c:pt idx="81">
                  <c:v>1.0613648871766648</c:v>
                </c:pt>
                <c:pt idx="82">
                  <c:v>1.066993545804773</c:v>
                </c:pt>
                <c:pt idx="83">
                  <c:v>1.0680692450092559</c:v>
                </c:pt>
                <c:pt idx="84">
                  <c:v>1.079901936258568</c:v>
                </c:pt>
                <c:pt idx="85">
                  <c:v>1.0998899284534949</c:v>
                </c:pt>
                <c:pt idx="86">
                  <c:v>1.1453444739080401</c:v>
                </c:pt>
                <c:pt idx="87">
                  <c:v>1.1414669535197879</c:v>
                </c:pt>
                <c:pt idx="88">
                  <c:v>1.1410416770901086</c:v>
                </c:pt>
                <c:pt idx="89">
                  <c:v>1.1261820183119027</c:v>
                </c:pt>
                <c:pt idx="90">
                  <c:v>1.1202031320358232</c:v>
                </c:pt>
                <c:pt idx="91">
                  <c:v>1.1298093760944614</c:v>
                </c:pt>
                <c:pt idx="92">
                  <c:v>1.1163256116475708</c:v>
                </c:pt>
                <c:pt idx="93">
                  <c:v>1.121403912543153</c:v>
                </c:pt>
                <c:pt idx="94">
                  <c:v>1.1211037174163205</c:v>
                </c:pt>
                <c:pt idx="95">
                  <c:v>1.1112723270125582</c:v>
                </c:pt>
                <c:pt idx="96">
                  <c:v>1.1261069695301946</c:v>
                </c:pt>
                <c:pt idx="97">
                  <c:v>1.1373392705258418</c:v>
                </c:pt>
                <c:pt idx="98">
                  <c:v>1.1029669285035273</c:v>
                </c:pt>
                <c:pt idx="99">
                  <c:v>1.1035423024966227</c:v>
                </c:pt>
                <c:pt idx="100">
                  <c:v>1.0884574973732928</c:v>
                </c:pt>
                <c:pt idx="101">
                  <c:v>1.0102316505728723</c:v>
                </c:pt>
                <c:pt idx="102">
                  <c:v>1.0225396507730025</c:v>
                </c:pt>
                <c:pt idx="103">
                  <c:v>1.0639665782758794</c:v>
                </c:pt>
                <c:pt idx="104">
                  <c:v>1.0452544153699905</c:v>
                </c:pt>
                <c:pt idx="105">
                  <c:v>1.113698904287787</c:v>
                </c:pt>
                <c:pt idx="106">
                  <c:v>1.1217291239305547</c:v>
                </c:pt>
                <c:pt idx="107">
                  <c:v>1.1330865062290489</c:v>
                </c:pt>
                <c:pt idx="108">
                  <c:v>1.1096712863361184</c:v>
                </c:pt>
                <c:pt idx="109">
                  <c:v>1.1244058638114776</c:v>
                </c:pt>
                <c:pt idx="110">
                  <c:v>1.1289338069745334</c:v>
                </c:pt>
                <c:pt idx="111">
                  <c:v>1.1361134737579426</c:v>
                </c:pt>
                <c:pt idx="112">
                  <c:v>1.139990994146195</c:v>
                </c:pt>
                <c:pt idx="113">
                  <c:v>1.1664832140891579</c:v>
                </c:pt>
                <c:pt idx="114">
                  <c:v>1.1336118477010055</c:v>
                </c:pt>
                <c:pt idx="115">
                  <c:v>1.1336118477010055</c:v>
                </c:pt>
                <c:pt idx="116">
                  <c:v>1.1466953519787861</c:v>
                </c:pt>
                <c:pt idx="117">
                  <c:v>1.1316605793765948</c:v>
                </c:pt>
                <c:pt idx="118">
                  <c:v>1.1473207584930205</c:v>
                </c:pt>
                <c:pt idx="119">
                  <c:v>1.120653424726072</c:v>
                </c:pt>
                <c:pt idx="120">
                  <c:v>1.1323110021513985</c:v>
                </c:pt>
                <c:pt idx="121">
                  <c:v>1.1200530344724071</c:v>
                </c:pt>
                <c:pt idx="122">
                  <c:v>1.1308350427778056</c:v>
                </c:pt>
                <c:pt idx="123">
                  <c:v>1.1479711812678239</c:v>
                </c:pt>
                <c:pt idx="124">
                  <c:v>1.1897233201581028</c:v>
                </c:pt>
                <c:pt idx="125">
                  <c:v>1.2543403212087858</c:v>
                </c:pt>
                <c:pt idx="126">
                  <c:v>1.2203932556161503</c:v>
                </c:pt>
                <c:pt idx="127">
                  <c:v>1.2221443938560064</c:v>
                </c:pt>
                <c:pt idx="128">
                  <c:v>1.1793665882823836</c:v>
                </c:pt>
                <c:pt idx="129">
                  <c:v>1.1876719867914143</c:v>
                </c:pt>
                <c:pt idx="130">
                  <c:v>1.1979536698854256</c:v>
                </c:pt>
                <c:pt idx="131">
                  <c:v>1.1974283284134688</c:v>
                </c:pt>
                <c:pt idx="132">
                  <c:v>1.1864211737629458</c:v>
                </c:pt>
                <c:pt idx="133">
                  <c:v>1.1987541902236454</c:v>
                </c:pt>
                <c:pt idx="134">
                  <c:v>1.2047330764997248</c:v>
                </c:pt>
                <c:pt idx="135">
                  <c:v>1.1715865312453093</c:v>
                </c:pt>
                <c:pt idx="136">
                  <c:v>1.1589032871366387</c:v>
                </c:pt>
                <c:pt idx="137">
                  <c:v>1.1238054735578127</c:v>
                </c:pt>
                <c:pt idx="138">
                  <c:v>1.118627107619953</c:v>
                </c:pt>
                <c:pt idx="139">
                  <c:v>1.1564767098614099</c:v>
                </c:pt>
                <c:pt idx="140">
                  <c:v>1.1946014909691298</c:v>
                </c:pt>
                <c:pt idx="141">
                  <c:v>1.2145394506429179</c:v>
                </c:pt>
                <c:pt idx="142">
                  <c:v>1.2161655075799269</c:v>
                </c:pt>
                <c:pt idx="143">
                  <c:v>1.2013308650622905</c:v>
                </c:pt>
                <c:pt idx="144">
                  <c:v>1.2107870115575123</c:v>
                </c:pt>
                <c:pt idx="145">
                  <c:v>1.2110371741632062</c:v>
                </c:pt>
                <c:pt idx="146">
                  <c:v>1.1995296943012959</c:v>
                </c:pt>
                <c:pt idx="147">
                  <c:v>1.1688847751038174</c:v>
                </c:pt>
                <c:pt idx="148">
                  <c:v>1.236103467253715</c:v>
                </c:pt>
                <c:pt idx="149">
                  <c:v>1.2148646620303196</c:v>
                </c:pt>
                <c:pt idx="150">
                  <c:v>1.1511232300995646</c:v>
                </c:pt>
                <c:pt idx="151">
                  <c:v>1.080302196427678</c:v>
                </c:pt>
                <c:pt idx="152">
                  <c:v>1.028318406964527</c:v>
                </c:pt>
                <c:pt idx="153">
                  <c:v>1.0159353579826889</c:v>
                </c:pt>
                <c:pt idx="154">
                  <c:v>1</c:v>
                </c:pt>
              </c:numCache>
            </c:numRef>
          </c:val>
          <c:smooth val="0"/>
          <c:extLst>
            <c:ext xmlns:c16="http://schemas.microsoft.com/office/drawing/2014/chart" uri="{C3380CC4-5D6E-409C-BE32-E72D297353CC}">
              <c16:uniqueId val="{00000000-FDC8-481D-BAD7-1015841AA028}"/>
            </c:ext>
          </c:extLst>
        </c:ser>
        <c:ser>
          <c:idx val="1"/>
          <c:order val="1"/>
          <c:tx>
            <c:strRef>
              <c:f>'Stock Data'!$V$4</c:f>
              <c:strCache>
                <c:ptCount val="1"/>
                <c:pt idx="0">
                  <c:v>NDX Index</c:v>
                </c:pt>
              </c:strCache>
            </c:strRef>
          </c:tx>
          <c:spPr>
            <a:ln w="19050" cap="rnd">
              <a:solidFill>
                <a:schemeClr val="accent3"/>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Data'!$V$5:$V$159</c:f>
              <c:numCache>
                <c:formatCode>General</c:formatCode>
                <c:ptCount val="155"/>
                <c:pt idx="0">
                  <c:v>2.0610029498525075</c:v>
                </c:pt>
                <c:pt idx="1">
                  <c:v>2.0610029498525075</c:v>
                </c:pt>
                <c:pt idx="2">
                  <c:v>2.0871018253598601</c:v>
                </c:pt>
                <c:pt idx="3">
                  <c:v>2.0746352607181673</c:v>
                </c:pt>
                <c:pt idx="4">
                  <c:v>2.1149510945505359</c:v>
                </c:pt>
                <c:pt idx="5">
                  <c:v>2.0421460731474705</c:v>
                </c:pt>
                <c:pt idx="6">
                  <c:v>2.0678510435380484</c:v>
                </c:pt>
                <c:pt idx="7">
                  <c:v>2.0461401290837715</c:v>
                </c:pt>
                <c:pt idx="8">
                  <c:v>2.0302606072703884</c:v>
                </c:pt>
                <c:pt idx="9">
                  <c:v>2.0140838822720517</c:v>
                </c:pt>
                <c:pt idx="10">
                  <c:v>1.9942014327855035</c:v>
                </c:pt>
                <c:pt idx="11">
                  <c:v>1.9686845432164481</c:v>
                </c:pt>
                <c:pt idx="12">
                  <c:v>1.926859626943465</c:v>
                </c:pt>
                <c:pt idx="13">
                  <c:v>1.9466294053718365</c:v>
                </c:pt>
                <c:pt idx="14">
                  <c:v>1.9218470956151441</c:v>
                </c:pt>
                <c:pt idx="15">
                  <c:v>1.899881562312862</c:v>
                </c:pt>
                <c:pt idx="16">
                  <c:v>1.8956568412180894</c:v>
                </c:pt>
                <c:pt idx="17">
                  <c:v>1.8806041652804579</c:v>
                </c:pt>
                <c:pt idx="18">
                  <c:v>1.7558364938895912</c:v>
                </c:pt>
                <c:pt idx="19">
                  <c:v>1.7339765342559941</c:v>
                </c:pt>
                <c:pt idx="20">
                  <c:v>1.621435003437798</c:v>
                </c:pt>
                <c:pt idx="21">
                  <c:v>1.6705684565395791</c:v>
                </c:pt>
                <c:pt idx="22">
                  <c:v>1.5162153170536963</c:v>
                </c:pt>
                <c:pt idx="23">
                  <c:v>1.7243480382371856</c:v>
                </c:pt>
                <c:pt idx="24">
                  <c:v>1.7998828930733917</c:v>
                </c:pt>
                <c:pt idx="25">
                  <c:v>1.7285124315212812</c:v>
                </c:pt>
                <c:pt idx="26">
                  <c:v>1.7190729034976822</c:v>
                </c:pt>
                <c:pt idx="27">
                  <c:v>1.8056229068245835</c:v>
                </c:pt>
                <c:pt idx="28">
                  <c:v>1.8708053319138553</c:v>
                </c:pt>
                <c:pt idx="29">
                  <c:v>1.966385876194912</c:v>
                </c:pt>
                <c:pt idx="30">
                  <c:v>1.9245920110009538</c:v>
                </c:pt>
                <c:pt idx="31">
                  <c:v>1.9133603921307691</c:v>
                </c:pt>
                <c:pt idx="32">
                  <c:v>1.9041444318761507</c:v>
                </c:pt>
                <c:pt idx="33">
                  <c:v>1.9133240180096256</c:v>
                </c:pt>
                <c:pt idx="34">
                  <c:v>1.8415427950406991</c:v>
                </c:pt>
                <c:pt idx="35">
                  <c:v>1.8784163949697252</c:v>
                </c:pt>
                <c:pt idx="36">
                  <c:v>1.8641444318761504</c:v>
                </c:pt>
                <c:pt idx="37">
                  <c:v>1.9338301505977333</c:v>
                </c:pt>
                <c:pt idx="38">
                  <c:v>1.9518779249007476</c:v>
                </c:pt>
                <c:pt idx="39">
                  <c:v>1.8957287022866902</c:v>
                </c:pt>
                <c:pt idx="40">
                  <c:v>1.8834094084769446</c:v>
                </c:pt>
                <c:pt idx="41">
                  <c:v>1.8562246323774039</c:v>
                </c:pt>
                <c:pt idx="42">
                  <c:v>1.8350823962561271</c:v>
                </c:pt>
                <c:pt idx="43">
                  <c:v>1.8693450440259942</c:v>
                </c:pt>
                <c:pt idx="44">
                  <c:v>1.7945270255284227</c:v>
                </c:pt>
                <c:pt idx="45">
                  <c:v>1.8231995919001043</c:v>
                </c:pt>
                <c:pt idx="46">
                  <c:v>1.8083837913367491</c:v>
                </c:pt>
                <c:pt idx="47">
                  <c:v>1.7885270698871074</c:v>
                </c:pt>
                <c:pt idx="48">
                  <c:v>1.7839093308492469</c:v>
                </c:pt>
                <c:pt idx="49">
                  <c:v>1.7542351453855878</c:v>
                </c:pt>
                <c:pt idx="50">
                  <c:v>1.7694537228025817</c:v>
                </c:pt>
                <c:pt idx="51">
                  <c:v>1.7239913944152419</c:v>
                </c:pt>
                <c:pt idx="52">
                  <c:v>1.6704717546077583</c:v>
                </c:pt>
                <c:pt idx="53">
                  <c:v>1.6819686384101846</c:v>
                </c:pt>
                <c:pt idx="54">
                  <c:v>1.7372209284272628</c:v>
                </c:pt>
                <c:pt idx="55">
                  <c:v>1.7494905405105685</c:v>
                </c:pt>
                <c:pt idx="56">
                  <c:v>1.6862004568944486</c:v>
                </c:pt>
                <c:pt idx="57">
                  <c:v>1.6038254929358793</c:v>
                </c:pt>
                <c:pt idx="58">
                  <c:v>1.667555614700468</c:v>
                </c:pt>
                <c:pt idx="59">
                  <c:v>1.7525530640761195</c:v>
                </c:pt>
                <c:pt idx="60">
                  <c:v>1.8097127775190189</c:v>
                </c:pt>
                <c:pt idx="61">
                  <c:v>1.8145381151995033</c:v>
                </c:pt>
                <c:pt idx="62">
                  <c:v>1.7754022223700845</c:v>
                </c:pt>
                <c:pt idx="63">
                  <c:v>1.7478324128906337</c:v>
                </c:pt>
                <c:pt idx="64">
                  <c:v>1.7662616718788122</c:v>
                </c:pt>
                <c:pt idx="65">
                  <c:v>1.7042766207554285</c:v>
                </c:pt>
                <c:pt idx="66">
                  <c:v>1.6550083172533103</c:v>
                </c:pt>
                <c:pt idx="67">
                  <c:v>1.6740470645640648</c:v>
                </c:pt>
                <c:pt idx="68">
                  <c:v>1.6602390933084925</c:v>
                </c:pt>
                <c:pt idx="69">
                  <c:v>1.6255479406480804</c:v>
                </c:pt>
                <c:pt idx="70">
                  <c:v>1.6050258389336174</c:v>
                </c:pt>
                <c:pt idx="71">
                  <c:v>1.5472921241155986</c:v>
                </c:pt>
                <c:pt idx="72">
                  <c:v>1.5500228447224256</c:v>
                </c:pt>
                <c:pt idx="73">
                  <c:v>1.5715093042340365</c:v>
                </c:pt>
                <c:pt idx="74">
                  <c:v>1.6119857165036486</c:v>
                </c:pt>
                <c:pt idx="75">
                  <c:v>1.6077166367245546</c:v>
                </c:pt>
                <c:pt idx="76">
                  <c:v>1.6155911903652938</c:v>
                </c:pt>
                <c:pt idx="77">
                  <c:v>1.599770222015215</c:v>
                </c:pt>
                <c:pt idx="78">
                  <c:v>1.6163523853882493</c:v>
                </c:pt>
                <c:pt idx="79">
                  <c:v>1.5878519307117349</c:v>
                </c:pt>
                <c:pt idx="80">
                  <c:v>1.5943442677490185</c:v>
                </c:pt>
                <c:pt idx="81">
                  <c:v>1.5566438219442411</c:v>
                </c:pt>
                <c:pt idx="82">
                  <c:v>1.5614629494089203</c:v>
                </c:pt>
                <c:pt idx="83">
                  <c:v>1.5590063654712001</c:v>
                </c:pt>
                <c:pt idx="84">
                  <c:v>1.5504877237341139</c:v>
                </c:pt>
                <c:pt idx="85">
                  <c:v>1.5440557145075076</c:v>
                </c:pt>
                <c:pt idx="86">
                  <c:v>1.4931763035908354</c:v>
                </c:pt>
                <c:pt idx="87">
                  <c:v>1.4796912635571229</c:v>
                </c:pt>
                <c:pt idx="88">
                  <c:v>1.4677348237851264</c:v>
                </c:pt>
                <c:pt idx="89">
                  <c:v>1.4974125579435313</c:v>
                </c:pt>
                <c:pt idx="90">
                  <c:v>1.4915030940182312</c:v>
                </c:pt>
                <c:pt idx="91">
                  <c:v>1.450906026127265</c:v>
                </c:pt>
                <c:pt idx="92">
                  <c:v>1.4086286512742032</c:v>
                </c:pt>
                <c:pt idx="93">
                  <c:v>1.4204032204404817</c:v>
                </c:pt>
                <c:pt idx="94">
                  <c:v>1.4135888393550249</c:v>
                </c:pt>
                <c:pt idx="95">
                  <c:v>1.4028407301439438</c:v>
                </c:pt>
                <c:pt idx="96">
                  <c:v>1.357022645108346</c:v>
                </c:pt>
                <c:pt idx="97">
                  <c:v>1.2783977643223103</c:v>
                </c:pt>
                <c:pt idx="98">
                  <c:v>1.3082130104021115</c:v>
                </c:pt>
                <c:pt idx="99">
                  <c:v>1.3415849357908045</c:v>
                </c:pt>
                <c:pt idx="100">
                  <c:v>1.3424286379665979</c:v>
                </c:pt>
                <c:pt idx="101">
                  <c:v>1.2922234790516114</c:v>
                </c:pt>
                <c:pt idx="102">
                  <c:v>1.2904677623261693</c:v>
                </c:pt>
                <c:pt idx="103">
                  <c:v>1.3477259520482623</c:v>
                </c:pt>
                <c:pt idx="104">
                  <c:v>1.356465500033269</c:v>
                </c:pt>
                <c:pt idx="105">
                  <c:v>1.3758502450817309</c:v>
                </c:pt>
                <c:pt idx="106">
                  <c:v>1.3641670548051543</c:v>
                </c:pt>
                <c:pt idx="107">
                  <c:v>1.322683700401446</c:v>
                </c:pt>
                <c:pt idx="108">
                  <c:v>1.334100738572094</c:v>
                </c:pt>
                <c:pt idx="109">
                  <c:v>1.3549848071506199</c:v>
                </c:pt>
                <c:pt idx="110">
                  <c:v>1.3944604875019406</c:v>
                </c:pt>
                <c:pt idx="111">
                  <c:v>1.3805682347461574</c:v>
                </c:pt>
                <c:pt idx="112">
                  <c:v>1.4054028877503493</c:v>
                </c:pt>
                <c:pt idx="113">
                  <c:v>1.341323219553308</c:v>
                </c:pt>
                <c:pt idx="114">
                  <c:v>1.3259618071727992</c:v>
                </c:pt>
                <c:pt idx="115">
                  <c:v>1.3259618071727992</c:v>
                </c:pt>
                <c:pt idx="116">
                  <c:v>1.3369840530529864</c:v>
                </c:pt>
                <c:pt idx="117">
                  <c:v>1.3219642025417526</c:v>
                </c:pt>
                <c:pt idx="118">
                  <c:v>1.2915554372657307</c:v>
                </c:pt>
                <c:pt idx="119">
                  <c:v>1.2735369396943685</c:v>
                </c:pt>
                <c:pt idx="120">
                  <c:v>1.2129917714640583</c:v>
                </c:pt>
                <c:pt idx="121">
                  <c:v>1.1911202785725377</c:v>
                </c:pt>
                <c:pt idx="122">
                  <c:v>1.1711677423647615</c:v>
                </c:pt>
                <c:pt idx="123">
                  <c:v>1.1634094084769446</c:v>
                </c:pt>
                <c:pt idx="124">
                  <c:v>1.1289382748907668</c:v>
                </c:pt>
                <c:pt idx="125">
                  <c:v>1.1614691596247255</c:v>
                </c:pt>
                <c:pt idx="126">
                  <c:v>1.150146161864839</c:v>
                </c:pt>
                <c:pt idx="127">
                  <c:v>1.1622037394370883</c:v>
                </c:pt>
                <c:pt idx="128">
                  <c:v>1.1187765874864151</c:v>
                </c:pt>
                <c:pt idx="129">
                  <c:v>1.1303870295207044</c:v>
                </c:pt>
                <c:pt idx="130">
                  <c:v>1.0823332667953069</c:v>
                </c:pt>
                <c:pt idx="131">
                  <c:v>1.0781085457005346</c:v>
                </c:pt>
                <c:pt idx="132">
                  <c:v>1.0683451992813895</c:v>
                </c:pt>
                <c:pt idx="133">
                  <c:v>1.0699580810433162</c:v>
                </c:pt>
                <c:pt idx="134">
                  <c:v>1.117030629671524</c:v>
                </c:pt>
                <c:pt idx="135">
                  <c:v>1.1292186217756781</c:v>
                </c:pt>
                <c:pt idx="136">
                  <c:v>1.0736513850999179</c:v>
                </c:pt>
                <c:pt idx="137">
                  <c:v>1.0510027280590857</c:v>
                </c:pt>
                <c:pt idx="138">
                  <c:v>1.0253234857054141</c:v>
                </c:pt>
                <c:pt idx="139">
                  <c:v>0.99414731519063149</c:v>
                </c:pt>
                <c:pt idx="140">
                  <c:v>0.96370483731452516</c:v>
                </c:pt>
                <c:pt idx="141">
                  <c:v>0.96014460931088785</c:v>
                </c:pt>
                <c:pt idx="142">
                  <c:v>0.98231596690842149</c:v>
                </c:pt>
                <c:pt idx="143">
                  <c:v>1.0498999711668551</c:v>
                </c:pt>
                <c:pt idx="144">
                  <c:v>1.0246581054405928</c:v>
                </c:pt>
                <c:pt idx="145">
                  <c:v>1.0205558143145474</c:v>
                </c:pt>
                <c:pt idx="146">
                  <c:v>1.0401969525583872</c:v>
                </c:pt>
                <c:pt idx="147">
                  <c:v>1.053177190764522</c:v>
                </c:pt>
                <c:pt idx="148">
                  <c:v>0.98116973850555589</c:v>
                </c:pt>
                <c:pt idx="149">
                  <c:v>1.001525938740657</c:v>
                </c:pt>
                <c:pt idx="150">
                  <c:v>1.035330804888327</c:v>
                </c:pt>
                <c:pt idx="151">
                  <c:v>0.98899815911460065</c:v>
                </c:pt>
                <c:pt idx="152">
                  <c:v>0.95738017610397674</c:v>
                </c:pt>
                <c:pt idx="153">
                  <c:v>1.0275724710005103</c:v>
                </c:pt>
                <c:pt idx="154">
                  <c:v>1</c:v>
                </c:pt>
              </c:numCache>
            </c:numRef>
          </c:val>
          <c:smooth val="0"/>
          <c:extLst>
            <c:ext xmlns:c16="http://schemas.microsoft.com/office/drawing/2014/chart" uri="{C3380CC4-5D6E-409C-BE32-E72D297353CC}">
              <c16:uniqueId val="{00000001-FDC8-481D-BAD7-1015841AA028}"/>
            </c:ext>
          </c:extLst>
        </c:ser>
        <c:ser>
          <c:idx val="2"/>
          <c:order val="2"/>
          <c:tx>
            <c:strRef>
              <c:f>'Stock Data'!$W$4</c:f>
              <c:strCache>
                <c:ptCount val="1"/>
                <c:pt idx="0">
                  <c:v>SXPARO Index</c:v>
                </c:pt>
              </c:strCache>
            </c:strRef>
          </c:tx>
          <c:spPr>
            <a:ln w="19050" cap="rnd">
              <a:solidFill>
                <a:schemeClr val="accent1">
                  <a:lumMod val="60000"/>
                  <a:lumOff val="40000"/>
                </a:schemeClr>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Data'!$W$5:$W$159</c:f>
              <c:numCache>
                <c:formatCode>General</c:formatCode>
                <c:ptCount val="155"/>
                <c:pt idx="0">
                  <c:v>3.3872842051017775</c:v>
                </c:pt>
                <c:pt idx="1">
                  <c:v>3.3559134243751609</c:v>
                </c:pt>
                <c:pt idx="2">
                  <c:v>3.3510564287554754</c:v>
                </c:pt>
                <c:pt idx="3">
                  <c:v>3.323280082452976</c:v>
                </c:pt>
                <c:pt idx="4">
                  <c:v>3.3417289358412776</c:v>
                </c:pt>
                <c:pt idx="5">
                  <c:v>3.3934939448595722</c:v>
                </c:pt>
                <c:pt idx="6">
                  <c:v>3.3435454779695957</c:v>
                </c:pt>
                <c:pt idx="7">
                  <c:v>3.3419866013913939</c:v>
                </c:pt>
                <c:pt idx="8">
                  <c:v>3.3748518423086828</c:v>
                </c:pt>
                <c:pt idx="9">
                  <c:v>3.3475264107188867</c:v>
                </c:pt>
                <c:pt idx="10">
                  <c:v>3.2347848492656532</c:v>
                </c:pt>
                <c:pt idx="11">
                  <c:v>3.1917418191187834</c:v>
                </c:pt>
                <c:pt idx="12">
                  <c:v>3.1902602422056172</c:v>
                </c:pt>
                <c:pt idx="13">
                  <c:v>3.1675083741303784</c:v>
                </c:pt>
                <c:pt idx="14">
                  <c:v>3.3139654728162844</c:v>
                </c:pt>
                <c:pt idx="15">
                  <c:v>3.2446792063901055</c:v>
                </c:pt>
                <c:pt idx="16">
                  <c:v>3.1374001545993297</c:v>
                </c:pt>
                <c:pt idx="17">
                  <c:v>2.9939319762947689</c:v>
                </c:pt>
                <c:pt idx="18">
                  <c:v>2.9896933779953616</c:v>
                </c:pt>
                <c:pt idx="19">
                  <c:v>2.8033110023189898</c:v>
                </c:pt>
                <c:pt idx="20">
                  <c:v>2.6783818603452718</c:v>
                </c:pt>
                <c:pt idx="21">
                  <c:v>2.759907240401958</c:v>
                </c:pt>
                <c:pt idx="22">
                  <c:v>2.591522803401185</c:v>
                </c:pt>
                <c:pt idx="23">
                  <c:v>2.9030791033238854</c:v>
                </c:pt>
                <c:pt idx="24">
                  <c:v>2.9472945117237823</c:v>
                </c:pt>
                <c:pt idx="25">
                  <c:v>3.0062741561453228</c:v>
                </c:pt>
                <c:pt idx="26">
                  <c:v>2.7665421283174436</c:v>
                </c:pt>
                <c:pt idx="27">
                  <c:v>2.8593017263591856</c:v>
                </c:pt>
                <c:pt idx="28">
                  <c:v>2.5550888946147898</c:v>
                </c:pt>
                <c:pt idx="29">
                  <c:v>2.6050244782272607</c:v>
                </c:pt>
                <c:pt idx="30">
                  <c:v>2.4178819891780465</c:v>
                </c:pt>
                <c:pt idx="31">
                  <c:v>2.3965343983509406</c:v>
                </c:pt>
                <c:pt idx="32">
                  <c:v>2.3767843339345527</c:v>
                </c:pt>
                <c:pt idx="33">
                  <c:v>2.3297346044833804</c:v>
                </c:pt>
                <c:pt idx="34">
                  <c:v>2.2387528987374385</c:v>
                </c:pt>
                <c:pt idx="35">
                  <c:v>2.2206905436743107</c:v>
                </c:pt>
                <c:pt idx="36">
                  <c:v>2.1961479000257667</c:v>
                </c:pt>
                <c:pt idx="37">
                  <c:v>2.1896547281628442</c:v>
                </c:pt>
                <c:pt idx="38">
                  <c:v>2.2136949239886627</c:v>
                </c:pt>
                <c:pt idx="39">
                  <c:v>2.1859443442411748</c:v>
                </c:pt>
                <c:pt idx="40">
                  <c:v>2.2715923730997165</c:v>
                </c:pt>
                <c:pt idx="41">
                  <c:v>2.1582452976037101</c:v>
                </c:pt>
                <c:pt idx="42">
                  <c:v>2.1508245297603708</c:v>
                </c:pt>
                <c:pt idx="43">
                  <c:v>2.194898222107704</c:v>
                </c:pt>
                <c:pt idx="44">
                  <c:v>2.1271064158721975</c:v>
                </c:pt>
                <c:pt idx="45">
                  <c:v>2.1076784333934553</c:v>
                </c:pt>
                <c:pt idx="46">
                  <c:v>2.1333161556299922</c:v>
                </c:pt>
                <c:pt idx="47">
                  <c:v>2.0682684875032207</c:v>
                </c:pt>
                <c:pt idx="48">
                  <c:v>2.0167224942025253</c:v>
                </c:pt>
                <c:pt idx="49">
                  <c:v>2.0385725328523576</c:v>
                </c:pt>
                <c:pt idx="50">
                  <c:v>2.0623164132955423</c:v>
                </c:pt>
                <c:pt idx="51">
                  <c:v>1.9820407111569183</c:v>
                </c:pt>
                <c:pt idx="52">
                  <c:v>1.9772610152022674</c:v>
                </c:pt>
                <c:pt idx="53">
                  <c:v>1.9930172635918577</c:v>
                </c:pt>
                <c:pt idx="54">
                  <c:v>2.0479644421540839</c:v>
                </c:pt>
                <c:pt idx="55">
                  <c:v>2.0290646740530791</c:v>
                </c:pt>
                <c:pt idx="56">
                  <c:v>2.0118010821953103</c:v>
                </c:pt>
                <c:pt idx="57">
                  <c:v>1.9430172635918577</c:v>
                </c:pt>
                <c:pt idx="58">
                  <c:v>2.0021643906209738</c:v>
                </c:pt>
                <c:pt idx="59">
                  <c:v>1.9982607575367171</c:v>
                </c:pt>
                <c:pt idx="60">
                  <c:v>2.016104096882247</c:v>
                </c:pt>
                <c:pt idx="61">
                  <c:v>1.9848234990981704</c:v>
                </c:pt>
                <c:pt idx="62">
                  <c:v>1.9662844627673279</c:v>
                </c:pt>
                <c:pt idx="63">
                  <c:v>2.0034656016490593</c:v>
                </c:pt>
                <c:pt idx="64">
                  <c:v>2.0607833032723524</c:v>
                </c:pt>
                <c:pt idx="65">
                  <c:v>2.1085544962638494</c:v>
                </c:pt>
                <c:pt idx="66">
                  <c:v>2.1177145065704712</c:v>
                </c:pt>
                <c:pt idx="67">
                  <c:v>2.1428626642617878</c:v>
                </c:pt>
                <c:pt idx="68">
                  <c:v>2.1398479773254313</c:v>
                </c:pt>
                <c:pt idx="69">
                  <c:v>2.0914326204586442</c:v>
                </c:pt>
                <c:pt idx="70">
                  <c:v>2.0911105385209994</c:v>
                </c:pt>
                <c:pt idx="71">
                  <c:v>2.0528729708837927</c:v>
                </c:pt>
                <c:pt idx="72">
                  <c:v>2.0947951558876579</c:v>
                </c:pt>
                <c:pt idx="73">
                  <c:v>2.0655372326719914</c:v>
                </c:pt>
                <c:pt idx="74">
                  <c:v>2.0686807523834063</c:v>
                </c:pt>
                <c:pt idx="75">
                  <c:v>2.1150863179592889</c:v>
                </c:pt>
                <c:pt idx="76">
                  <c:v>2.1542257150219015</c:v>
                </c:pt>
                <c:pt idx="77">
                  <c:v>2.0737309971656788</c:v>
                </c:pt>
                <c:pt idx="78">
                  <c:v>1.9770935325946919</c:v>
                </c:pt>
                <c:pt idx="79">
                  <c:v>1.9821953104869876</c:v>
                </c:pt>
                <c:pt idx="80">
                  <c:v>1.8911234217985056</c:v>
                </c:pt>
                <c:pt idx="81">
                  <c:v>1.8613244009275958</c:v>
                </c:pt>
                <c:pt idx="82">
                  <c:v>1.7923473331615563</c:v>
                </c:pt>
                <c:pt idx="83">
                  <c:v>1.8027312548312289</c:v>
                </c:pt>
                <c:pt idx="84">
                  <c:v>1.7743751610409686</c:v>
                </c:pt>
                <c:pt idx="85">
                  <c:v>1.7444473073950011</c:v>
                </c:pt>
                <c:pt idx="86">
                  <c:v>1.7403761917031693</c:v>
                </c:pt>
                <c:pt idx="87">
                  <c:v>1.7</c:v>
                </c:pt>
                <c:pt idx="88">
                  <c:v>1.6605642875547539</c:v>
                </c:pt>
                <c:pt idx="89">
                  <c:v>1.6378253027570213</c:v>
                </c:pt>
                <c:pt idx="90">
                  <c:v>1.6378253027570213</c:v>
                </c:pt>
                <c:pt idx="91">
                  <c:v>1.6655501159494974</c:v>
                </c:pt>
                <c:pt idx="92">
                  <c:v>1.611388817315125</c:v>
                </c:pt>
                <c:pt idx="93">
                  <c:v>1.5864339087863952</c:v>
                </c:pt>
                <c:pt idx="94">
                  <c:v>1.5820535944344241</c:v>
                </c:pt>
                <c:pt idx="95">
                  <c:v>1.5622777634630249</c:v>
                </c:pt>
                <c:pt idx="96">
                  <c:v>1.5239500128832775</c:v>
                </c:pt>
                <c:pt idx="97">
                  <c:v>1.5012496779180622</c:v>
                </c:pt>
                <c:pt idx="98">
                  <c:v>1.489371296057717</c:v>
                </c:pt>
                <c:pt idx="99">
                  <c:v>1.5129476938933262</c:v>
                </c:pt>
                <c:pt idx="100">
                  <c:v>1.4857639783560936</c:v>
                </c:pt>
                <c:pt idx="101">
                  <c:v>1.4487116722494202</c:v>
                </c:pt>
                <c:pt idx="102">
                  <c:v>1.460731770162329</c:v>
                </c:pt>
                <c:pt idx="103">
                  <c:v>1.5210126256119554</c:v>
                </c:pt>
                <c:pt idx="104">
                  <c:v>1.5155758825045091</c:v>
                </c:pt>
                <c:pt idx="105">
                  <c:v>1.5256377222365369</c:v>
                </c:pt>
                <c:pt idx="106">
                  <c:v>1.5132568925534655</c:v>
                </c:pt>
                <c:pt idx="107">
                  <c:v>1.4742463282659106</c:v>
                </c:pt>
                <c:pt idx="108">
                  <c:v>1.4939190930172634</c:v>
                </c:pt>
                <c:pt idx="109">
                  <c:v>1.5158850811646483</c:v>
                </c:pt>
                <c:pt idx="110">
                  <c:v>1.4837928368977067</c:v>
                </c:pt>
                <c:pt idx="111">
                  <c:v>1.4532208193764493</c:v>
                </c:pt>
                <c:pt idx="112">
                  <c:v>1.450115949497552</c:v>
                </c:pt>
                <c:pt idx="113">
                  <c:v>1.4269389332646223</c:v>
                </c:pt>
                <c:pt idx="114">
                  <c:v>1.4364596753414067</c:v>
                </c:pt>
                <c:pt idx="115">
                  <c:v>1.4262818861118267</c:v>
                </c:pt>
                <c:pt idx="116">
                  <c:v>1.4678175727905178</c:v>
                </c:pt>
                <c:pt idx="117">
                  <c:v>1.4402215923730997</c:v>
                </c:pt>
                <c:pt idx="118">
                  <c:v>1.408709095593919</c:v>
                </c:pt>
                <c:pt idx="119">
                  <c:v>1.400257665550116</c:v>
                </c:pt>
                <c:pt idx="120">
                  <c:v>1.4292321566606543</c:v>
                </c:pt>
                <c:pt idx="121">
                  <c:v>1.4483509404792578</c:v>
                </c:pt>
                <c:pt idx="122">
                  <c:v>1.4185261530533366</c:v>
                </c:pt>
                <c:pt idx="123">
                  <c:v>1.4391265137851068</c:v>
                </c:pt>
                <c:pt idx="124">
                  <c:v>1.4590698273640812</c:v>
                </c:pt>
                <c:pt idx="125">
                  <c:v>1.4716439062097397</c:v>
                </c:pt>
                <c:pt idx="126">
                  <c:v>1.4379541355320795</c:v>
                </c:pt>
                <c:pt idx="127">
                  <c:v>1.4279438289100745</c:v>
                </c:pt>
                <c:pt idx="128">
                  <c:v>1.3971270291162072</c:v>
                </c:pt>
                <c:pt idx="129">
                  <c:v>1.3902731254831229</c:v>
                </c:pt>
                <c:pt idx="130">
                  <c:v>1.3946147900025765</c:v>
                </c:pt>
                <c:pt idx="131">
                  <c:v>1.3958387013656275</c:v>
                </c:pt>
                <c:pt idx="132">
                  <c:v>1.3818989951043545</c:v>
                </c:pt>
                <c:pt idx="133">
                  <c:v>1.360371038392167</c:v>
                </c:pt>
                <c:pt idx="134">
                  <c:v>1.297062612728678</c:v>
                </c:pt>
                <c:pt idx="135">
                  <c:v>1.2588508116464827</c:v>
                </c:pt>
                <c:pt idx="136">
                  <c:v>1.2817057459417676</c:v>
                </c:pt>
                <c:pt idx="137">
                  <c:v>1.3073305849007988</c:v>
                </c:pt>
                <c:pt idx="138">
                  <c:v>1.271437773769647</c:v>
                </c:pt>
                <c:pt idx="139">
                  <c:v>1.2374774542643647</c:v>
                </c:pt>
                <c:pt idx="140">
                  <c:v>1.2280468951301211</c:v>
                </c:pt>
                <c:pt idx="141">
                  <c:v>1.2155243493944858</c:v>
                </c:pt>
                <c:pt idx="142">
                  <c:v>1.1996392682298376</c:v>
                </c:pt>
                <c:pt idx="143">
                  <c:v>1.2129605771708323</c:v>
                </c:pt>
                <c:pt idx="144">
                  <c:v>1.203684617366658</c:v>
                </c:pt>
                <c:pt idx="145">
                  <c:v>1.1877222365369748</c:v>
                </c:pt>
                <c:pt idx="146">
                  <c:v>1.1981061582066477</c:v>
                </c:pt>
                <c:pt idx="147">
                  <c:v>1.1622906467405307</c:v>
                </c:pt>
                <c:pt idx="148">
                  <c:v>1.1724426694150991</c:v>
                </c:pt>
                <c:pt idx="149">
                  <c:v>1.1844885338830198</c:v>
                </c:pt>
                <c:pt idx="150">
                  <c:v>1.1276990466374646</c:v>
                </c:pt>
                <c:pt idx="151">
                  <c:v>1.0924632826591085</c:v>
                </c:pt>
                <c:pt idx="152">
                  <c:v>1.0452847204328781</c:v>
                </c:pt>
                <c:pt idx="153">
                  <c:v>1.0508760628703941</c:v>
                </c:pt>
                <c:pt idx="154">
                  <c:v>1</c:v>
                </c:pt>
              </c:numCache>
            </c:numRef>
          </c:val>
          <c:smooth val="0"/>
          <c:extLst>
            <c:ext xmlns:c16="http://schemas.microsoft.com/office/drawing/2014/chart" uri="{C3380CC4-5D6E-409C-BE32-E72D297353CC}">
              <c16:uniqueId val="{00000002-FDC8-481D-BAD7-1015841AA028}"/>
            </c:ext>
          </c:extLst>
        </c:ser>
        <c:dLbls>
          <c:showLegendKey val="0"/>
          <c:showVal val="0"/>
          <c:showCatName val="0"/>
          <c:showSerName val="0"/>
          <c:showPercent val="0"/>
          <c:showBubbleSize val="0"/>
        </c:dLbls>
        <c:smooth val="0"/>
        <c:axId val="1007329848"/>
        <c:axId val="1007330176"/>
      </c:lineChart>
      <c:dateAx>
        <c:axId val="1007329848"/>
        <c:scaling>
          <c:orientation val="minMax"/>
        </c:scaling>
        <c:delete val="0"/>
        <c:axPos val="b"/>
        <c:numFmt formatCode="[$-409]mmmmm\-yy;@"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crossAx val="1007330176"/>
        <c:crosses val="autoZero"/>
        <c:auto val="1"/>
        <c:lblOffset val="100"/>
        <c:baseTimeUnit val="days"/>
      </c:dateAx>
      <c:valAx>
        <c:axId val="1007330176"/>
        <c:scaling>
          <c:orientation val="minMax"/>
          <c:min val="0.8"/>
        </c:scaling>
        <c:delete val="0"/>
        <c:axPos val="l"/>
        <c:majorGridlines>
          <c:spPr>
            <a:ln w="381" cap="flat" cmpd="sng" algn="ctr">
              <a:solidFill>
                <a:schemeClr val="bg1">
                  <a:lumMod val="95000"/>
                </a:schemeClr>
              </a:solidFill>
              <a:round/>
            </a:ln>
            <a:effectLst/>
          </c:spPr>
        </c:majorGridlines>
        <c:numFmt formatCode="0.0\x"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crossAx val="1007329848"/>
        <c:crosses val="autoZero"/>
        <c:crossBetween val="between"/>
      </c:valAx>
      <c:spPr>
        <a:noFill/>
        <a:ln>
          <a:noFill/>
        </a:ln>
        <a:effectLst/>
      </c:spPr>
    </c:plotArea>
    <c:legend>
      <c:legendPos val="b"/>
      <c:layout>
        <c:manualLayout>
          <c:xMode val="edge"/>
          <c:yMode val="edge"/>
          <c:x val="0.1907301633466815"/>
          <c:y val="0.87846323471858223"/>
          <c:w val="0.61853944889233592"/>
          <c:h val="0.11296724147703503"/>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6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Industry!$C$33</c:f>
              <c:strCache>
                <c:ptCount val="1"/>
                <c:pt idx="0">
                  <c:v>Revenue (USD Bn, 2024)</c:v>
                </c:pt>
              </c:strCache>
            </c:strRef>
          </c:tx>
          <c:spPr>
            <a:solidFill>
              <a:srgbClr val="801414"/>
            </a:solidFill>
            <a:ln>
              <a:noFill/>
            </a:ln>
            <a:effectLst/>
          </c:spPr>
          <c:invertIfNegative val="0"/>
          <c:cat>
            <c:strRef>
              <c:f>Industry!$B$34:$B$38</c:f>
              <c:strCache>
                <c:ptCount val="5"/>
                <c:pt idx="0">
                  <c:v>Lockheed Martin</c:v>
                </c:pt>
                <c:pt idx="1">
                  <c:v>Raytheon (RTX)</c:v>
                </c:pt>
                <c:pt idx="2">
                  <c:v>Northrop Grumman</c:v>
                </c:pt>
                <c:pt idx="3">
                  <c:v>Boeing Defense (BDS)</c:v>
                </c:pt>
                <c:pt idx="4">
                  <c:v>BAE Systems</c:v>
                </c:pt>
              </c:strCache>
            </c:strRef>
          </c:cat>
          <c:val>
            <c:numRef>
              <c:f>Industry!$C$34:$C$38</c:f>
              <c:numCache>
                <c:formatCode>General</c:formatCode>
                <c:ptCount val="5"/>
                <c:pt idx="0">
                  <c:v>71</c:v>
                </c:pt>
                <c:pt idx="1">
                  <c:v>66</c:v>
                </c:pt>
                <c:pt idx="2">
                  <c:v>38</c:v>
                </c:pt>
                <c:pt idx="3">
                  <c:v>28</c:v>
                </c:pt>
                <c:pt idx="4">
                  <c:v>27</c:v>
                </c:pt>
              </c:numCache>
            </c:numRef>
          </c:val>
          <c:extLst>
            <c:ext xmlns:c16="http://schemas.microsoft.com/office/drawing/2014/chart" uri="{C3380CC4-5D6E-409C-BE32-E72D297353CC}">
              <c16:uniqueId val="{00000000-C6A0-4A91-97E3-F59AD618DA5A}"/>
            </c:ext>
          </c:extLst>
        </c:ser>
        <c:dLbls>
          <c:showLegendKey val="0"/>
          <c:showVal val="0"/>
          <c:showCatName val="0"/>
          <c:showSerName val="0"/>
          <c:showPercent val="0"/>
          <c:showBubbleSize val="0"/>
        </c:dLbls>
        <c:gapWidth val="72"/>
        <c:overlap val="-27"/>
        <c:axId val="533129224"/>
        <c:axId val="362479624"/>
      </c:barChart>
      <c:catAx>
        <c:axId val="533129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79624"/>
        <c:crosses val="autoZero"/>
        <c:auto val="1"/>
        <c:lblAlgn val="ctr"/>
        <c:lblOffset val="100"/>
        <c:noMultiLvlLbl val="0"/>
      </c:catAx>
      <c:valAx>
        <c:axId val="36247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29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797071418704242E-2"/>
          <c:y val="4.9986635641795125E-2"/>
          <c:w val="0.97440585716259154"/>
          <c:h val="0.72233157419973981"/>
        </c:manualLayout>
      </c:layout>
      <c:lineChart>
        <c:grouping val="standard"/>
        <c:varyColors val="0"/>
        <c:ser>
          <c:idx val="0"/>
          <c:order val="0"/>
          <c:tx>
            <c:strRef>
              <c:f>Inputs!$B$135</c:f>
              <c:strCache>
                <c:ptCount val="1"/>
                <c:pt idx="0">
                  <c:v>LOCKHEED MARTIN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Inputs!$P$135:$W$135</c:f>
              <c:numCache>
                <c:formatCode>General</c:formatCode>
                <c:ptCount val="8"/>
                <c:pt idx="0">
                  <c:v>5.8351281024819858E-3</c:v>
                </c:pt>
                <c:pt idx="1">
                  <c:v>5.4272906513894567E-3</c:v>
                </c:pt>
                <c:pt idx="2">
                  <c:v>5.1053634722129345E-3</c:v>
                </c:pt>
                <c:pt idx="3">
                  <c:v>4.7335239609774E-3</c:v>
                </c:pt>
                <c:pt idx="4">
                  <c:v>4.6393860748165381E-3</c:v>
                </c:pt>
                <c:pt idx="5">
                  <c:v>4.8157280552861307E-3</c:v>
                </c:pt>
                <c:pt idx="6">
                  <c:v>4.5726717082772194E-3</c:v>
                </c:pt>
                <c:pt idx="7">
                  <c:v>4.144405500893825E-3</c:v>
                </c:pt>
              </c:numCache>
            </c:numRef>
          </c:val>
          <c:smooth val="0"/>
          <c:extLst>
            <c:ext xmlns:c16="http://schemas.microsoft.com/office/drawing/2014/chart" uri="{C3380CC4-5D6E-409C-BE32-E72D297353CC}">
              <c16:uniqueId val="{00000000-1963-4974-94B4-575120D8A498}"/>
            </c:ext>
          </c:extLst>
        </c:ser>
        <c:ser>
          <c:idx val="1"/>
          <c:order val="1"/>
          <c:tx>
            <c:strRef>
              <c:f>Inputs!$B$136</c:f>
              <c:strCache>
                <c:ptCount val="1"/>
                <c:pt idx="0">
                  <c:v>RTX CORP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Inputs!$P$136:$W$136</c:f>
              <c:numCache>
                <c:formatCode>General</c:formatCode>
                <c:ptCount val="8"/>
                <c:pt idx="0">
                  <c:v>1.3209244432483348E-2</c:v>
                </c:pt>
                <c:pt idx="1">
                  <c:v>1.1975504127757478E-2</c:v>
                </c:pt>
                <c:pt idx="2">
                  <c:v>1.3406491874131734E-2</c:v>
                </c:pt>
                <c:pt idx="3">
                  <c:v>9.4821248696697127E-3</c:v>
                </c:pt>
                <c:pt idx="4">
                  <c:v>7.9269429086165112E-3</c:v>
                </c:pt>
                <c:pt idx="5">
                  <c:v>7.5543429644869846E-3</c:v>
                </c:pt>
                <c:pt idx="6">
                  <c:v>7.7249274521183986E-3</c:v>
                </c:pt>
                <c:pt idx="7">
                  <c:v>0</c:v>
                </c:pt>
              </c:numCache>
            </c:numRef>
          </c:val>
          <c:smooth val="0"/>
          <c:extLst>
            <c:ext xmlns:c16="http://schemas.microsoft.com/office/drawing/2014/chart" uri="{C3380CC4-5D6E-409C-BE32-E72D297353CC}">
              <c16:uniqueId val="{00000001-1963-4974-94B4-575120D8A498}"/>
            </c:ext>
          </c:extLst>
        </c:ser>
        <c:ser>
          <c:idx val="2"/>
          <c:order val="2"/>
          <c:tx>
            <c:strRef>
              <c:f>Inputs!$B$137</c:f>
              <c:strCache>
                <c:ptCount val="1"/>
                <c:pt idx="0">
                  <c:v>NORTHROP GRUMMAN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Inputs!$P$137:$W$137</c:f>
              <c:numCache>
                <c:formatCode>General</c:formatCode>
                <c:ptCount val="8"/>
                <c:pt idx="0">
                  <c:v>5.4194739270881399E-3</c:v>
                </c:pt>
                <c:pt idx="1">
                  <c:v>4.4583153347732178E-3</c:v>
                </c:pt>
                <c:pt idx="2">
                  <c:v>8.1463313731863721E-3</c:v>
                </c:pt>
                <c:pt idx="3">
                  <c:v>7.3018288540449465E-3</c:v>
                </c:pt>
                <c:pt idx="4">
                  <c:v>7.4822665208736372E-3</c:v>
                </c:pt>
                <c:pt idx="5">
                  <c:v>7.7126932954483364E-3</c:v>
                </c:pt>
                <c:pt idx="6">
                  <c:v>7.9055739373886484E-3</c:v>
                </c:pt>
                <c:pt idx="7">
                  <c:v>6.9384641629907642E-3</c:v>
                </c:pt>
              </c:numCache>
            </c:numRef>
          </c:val>
          <c:smooth val="0"/>
          <c:extLst>
            <c:ext xmlns:c16="http://schemas.microsoft.com/office/drawing/2014/chart" uri="{C3380CC4-5D6E-409C-BE32-E72D297353CC}">
              <c16:uniqueId val="{00000002-1963-4974-94B4-575120D8A498}"/>
            </c:ext>
          </c:extLst>
        </c:ser>
        <c:ser>
          <c:idx val="3"/>
          <c:order val="3"/>
          <c:tx>
            <c:strRef>
              <c:f>Inputs!$B$138</c:f>
              <c:strCache>
                <c:ptCount val="1"/>
                <c:pt idx="0">
                  <c:v>AEROVIRONMENT IN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Inputs!$P$138:$W$138</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3-1963-4974-94B4-575120D8A498}"/>
            </c:ext>
          </c:extLst>
        </c:ser>
        <c:ser>
          <c:idx val="4"/>
          <c:order val="4"/>
          <c:tx>
            <c:strRef>
              <c:f>Inputs!$B$139</c:f>
              <c:strCache>
                <c:ptCount val="1"/>
                <c:pt idx="0">
                  <c:v>LEONARDO DRS INC</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Inputs!$P$139:$W$139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4-1963-4974-94B4-575120D8A498}"/>
            </c:ext>
          </c:extLst>
        </c:ser>
        <c:ser>
          <c:idx val="5"/>
          <c:order val="5"/>
          <c:tx>
            <c:strRef>
              <c:f>Inputs!$B$140</c:f>
              <c:strCache>
                <c:ptCount val="1"/>
                <c:pt idx="0">
                  <c:v>CURTISS-WRIGHT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Inputs!$P$140:$W$140</c:f>
              <c:numCache>
                <c:formatCode>General</c:formatCode>
                <c:ptCount val="8"/>
                <c:pt idx="0">
                  <c:v>0</c:v>
                </c:pt>
                <c:pt idx="1">
                  <c:v>0</c:v>
                </c:pt>
                <c:pt idx="2">
                  <c:v>0</c:v>
                </c:pt>
                <c:pt idx="3">
                  <c:v>0</c:v>
                </c:pt>
                <c:pt idx="4">
                  <c:v>6.1075105419901819E-3</c:v>
                </c:pt>
                <c:pt idx="5">
                  <c:v>6.4285644450093361E-3</c:v>
                </c:pt>
                <c:pt idx="6">
                  <c:v>5.5191358039877372E-3</c:v>
                </c:pt>
                <c:pt idx="7">
                  <c:v>5.279077941130768E-3</c:v>
                </c:pt>
              </c:numCache>
            </c:numRef>
          </c:val>
          <c:smooth val="0"/>
          <c:extLst>
            <c:ext xmlns:c16="http://schemas.microsoft.com/office/drawing/2014/chart" uri="{C3380CC4-5D6E-409C-BE32-E72D297353CC}">
              <c16:uniqueId val="{00000005-1963-4974-94B4-575120D8A498}"/>
            </c:ext>
          </c:extLst>
        </c:ser>
        <c:dLbls>
          <c:showLegendKey val="0"/>
          <c:showVal val="0"/>
          <c:showCatName val="0"/>
          <c:showSerName val="0"/>
          <c:showPercent val="0"/>
          <c:showBubbleSize val="0"/>
        </c:dLbls>
        <c:marker val="1"/>
        <c:smooth val="0"/>
        <c:axId val="645154768"/>
        <c:axId val="645152800"/>
      </c:lineChart>
      <c:catAx>
        <c:axId val="6451547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645152800"/>
        <c:crosses val="autoZero"/>
        <c:auto val="1"/>
        <c:lblAlgn val="ctr"/>
        <c:lblOffset val="100"/>
        <c:noMultiLvlLbl val="0"/>
      </c:catAx>
      <c:valAx>
        <c:axId val="645152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54768"/>
        <c:crosses val="autoZero"/>
        <c:crossBetween val="between"/>
      </c:valAx>
      <c:spPr>
        <a:noFill/>
        <a:ln>
          <a:noFill/>
        </a:ln>
        <a:effectLst/>
      </c:spPr>
    </c:plotArea>
    <c:legend>
      <c:legendPos val="b"/>
      <c:layout>
        <c:manualLayout>
          <c:xMode val="edge"/>
          <c:yMode val="edge"/>
          <c:x val="0"/>
          <c:y val="0.87616839735403595"/>
          <c:w val="1"/>
          <c:h val="9.6566165023166672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797071418704242E-2"/>
          <c:y val="4.9986635641795125E-2"/>
          <c:w val="0.97440585716259154"/>
          <c:h val="0.72233157419973981"/>
        </c:manualLayout>
      </c:layout>
      <c:lineChart>
        <c:grouping val="standard"/>
        <c:varyColors val="0"/>
        <c:ser>
          <c:idx val="0"/>
          <c:order val="0"/>
          <c:tx>
            <c:strRef>
              <c:f>Inputs!$B$144</c:f>
              <c:strCache>
                <c:ptCount val="1"/>
                <c:pt idx="0">
                  <c:v>LOCKHEED MARTIN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Inputs!$P$144:$W$144</c:f>
              <c:numCache>
                <c:formatCode>General</c:formatCode>
                <c:ptCount val="8"/>
                <c:pt idx="0">
                  <c:v>6.0846277021617295E-2</c:v>
                </c:pt>
                <c:pt idx="1">
                  <c:v>5.7846248279453887E-2</c:v>
                </c:pt>
                <c:pt idx="2">
                  <c:v>5.3273256202768675E-2</c:v>
                </c:pt>
                <c:pt idx="3">
                  <c:v>4.9001957246398976E-2</c:v>
                </c:pt>
                <c:pt idx="4">
                  <c:v>4.7296849829962413E-2</c:v>
                </c:pt>
                <c:pt idx="5">
                  <c:v>4.8619210717749758E-2</c:v>
                </c:pt>
                <c:pt idx="6">
                  <c:v>4.6260081987835017E-2</c:v>
                </c:pt>
                <c:pt idx="7">
                  <c:v>4.3552355615613082E-2</c:v>
                </c:pt>
              </c:numCache>
            </c:numRef>
          </c:val>
          <c:smooth val="0"/>
          <c:extLst>
            <c:ext xmlns:c16="http://schemas.microsoft.com/office/drawing/2014/chart" uri="{C3380CC4-5D6E-409C-BE32-E72D297353CC}">
              <c16:uniqueId val="{00000000-6538-4B8D-A781-ADEA5CE732E8}"/>
            </c:ext>
          </c:extLst>
        </c:ser>
        <c:ser>
          <c:idx val="1"/>
          <c:order val="1"/>
          <c:tx>
            <c:strRef>
              <c:f>Inputs!$B$145</c:f>
              <c:strCache>
                <c:ptCount val="1"/>
                <c:pt idx="0">
                  <c:v>RTX CORP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Inputs!$P$145:$W$145</c:f>
              <c:numCache>
                <c:formatCode>General</c:formatCode>
                <c:ptCount val="8"/>
                <c:pt idx="0">
                  <c:v>8.8407118347574504E-2</c:v>
                </c:pt>
                <c:pt idx="1">
                  <c:v>6.9782409287078392E-2</c:v>
                </c:pt>
                <c:pt idx="2">
                  <c:v>0.13265011356369491</c:v>
                </c:pt>
                <c:pt idx="3">
                  <c:v>9.0803011292346303E-2</c:v>
                </c:pt>
                <c:pt idx="4">
                  <c:v>7.6360036031558678E-2</c:v>
                </c:pt>
                <c:pt idx="5">
                  <c:v>7.4130363479142439E-2</c:v>
                </c:pt>
                <c:pt idx="6">
                  <c:v>7.5207777132907716E-2</c:v>
                </c:pt>
                <c:pt idx="7">
                  <c:v>0</c:v>
                </c:pt>
              </c:numCache>
            </c:numRef>
          </c:val>
          <c:smooth val="0"/>
          <c:extLst>
            <c:ext xmlns:c16="http://schemas.microsoft.com/office/drawing/2014/chart" uri="{C3380CC4-5D6E-409C-BE32-E72D297353CC}">
              <c16:uniqueId val="{00000001-6538-4B8D-A781-ADEA5CE732E8}"/>
            </c:ext>
          </c:extLst>
        </c:ser>
        <c:ser>
          <c:idx val="2"/>
          <c:order val="2"/>
          <c:tx>
            <c:strRef>
              <c:f>Inputs!$B$146</c:f>
              <c:strCache>
                <c:ptCount val="1"/>
                <c:pt idx="0">
                  <c:v>NORTHROP GRUMMAN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Inputs!$P$146:$W$146</c:f>
              <c:numCache>
                <c:formatCode>General</c:formatCode>
                <c:ptCount val="8"/>
                <c:pt idx="0">
                  <c:v>6.8897861867405014E-2</c:v>
                </c:pt>
                <c:pt idx="1">
                  <c:v>5.74218308689151E-2</c:v>
                </c:pt>
                <c:pt idx="2">
                  <c:v>8.432847729086021E-2</c:v>
                </c:pt>
                <c:pt idx="3">
                  <c:v>7.4952036740128805E-2</c:v>
                </c:pt>
                <c:pt idx="4">
                  <c:v>7.9515238175344158E-2</c:v>
                </c:pt>
                <c:pt idx="5">
                  <c:v>7.875771815747773E-2</c:v>
                </c:pt>
                <c:pt idx="6">
                  <c:v>7.715780096716722E-2</c:v>
                </c:pt>
                <c:pt idx="7">
                  <c:v>7.1308702751443964E-2</c:v>
                </c:pt>
              </c:numCache>
            </c:numRef>
          </c:val>
          <c:smooth val="0"/>
          <c:extLst>
            <c:ext xmlns:c16="http://schemas.microsoft.com/office/drawing/2014/chart" uri="{C3380CC4-5D6E-409C-BE32-E72D297353CC}">
              <c16:uniqueId val="{00000002-6538-4B8D-A781-ADEA5CE732E8}"/>
            </c:ext>
          </c:extLst>
        </c:ser>
        <c:ser>
          <c:idx val="3"/>
          <c:order val="3"/>
          <c:tx>
            <c:strRef>
              <c:f>Inputs!$B$147</c:f>
              <c:strCache>
                <c:ptCount val="1"/>
                <c:pt idx="0">
                  <c:v>AEROVIRONMENT IN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Inputs!$P$147:$W$147</c:f>
              <c:numCache>
                <c:formatCode>General</c:formatCode>
                <c:ptCount val="8"/>
                <c:pt idx="0">
                  <c:v>0</c:v>
                </c:pt>
                <c:pt idx="1">
                  <c:v>0</c:v>
                </c:pt>
                <c:pt idx="2">
                  <c:v>0</c:v>
                </c:pt>
                <c:pt idx="3">
                  <c:v>0</c:v>
                </c:pt>
                <c:pt idx="4">
                  <c:v>1.5385706182643222E-2</c:v>
                </c:pt>
                <c:pt idx="5">
                  <c:v>1.9206608455304981E-2</c:v>
                </c:pt>
                <c:pt idx="6">
                  <c:v>1.6650139861174834E-2</c:v>
                </c:pt>
                <c:pt idx="7">
                  <c:v>1.2631153030472152E-2</c:v>
                </c:pt>
              </c:numCache>
            </c:numRef>
          </c:val>
          <c:smooth val="0"/>
          <c:extLst>
            <c:ext xmlns:c16="http://schemas.microsoft.com/office/drawing/2014/chart" uri="{C3380CC4-5D6E-409C-BE32-E72D297353CC}">
              <c16:uniqueId val="{00000003-6538-4B8D-A781-ADEA5CE732E8}"/>
            </c:ext>
          </c:extLst>
        </c:ser>
        <c:ser>
          <c:idx val="4"/>
          <c:order val="4"/>
          <c:tx>
            <c:strRef>
              <c:f>Inputs!$B$148</c:f>
              <c:strCache>
                <c:ptCount val="1"/>
                <c:pt idx="0">
                  <c:v>LEONARDO DRS INC</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Inputs!$P$148:$W$148</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4-6538-4B8D-A781-ADEA5CE732E8}"/>
            </c:ext>
          </c:extLst>
        </c:ser>
        <c:ser>
          <c:idx val="5"/>
          <c:order val="5"/>
          <c:tx>
            <c:strRef>
              <c:f>Inputs!$B$149</c:f>
              <c:strCache>
                <c:ptCount val="1"/>
                <c:pt idx="0">
                  <c:v>CURTISS-WRIGHT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Inputs!$P$149:$W$149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5-6538-4B8D-A781-ADEA5CE732E8}"/>
            </c:ext>
          </c:extLst>
        </c:ser>
        <c:dLbls>
          <c:showLegendKey val="0"/>
          <c:showVal val="0"/>
          <c:showCatName val="0"/>
          <c:showSerName val="0"/>
          <c:showPercent val="0"/>
          <c:showBubbleSize val="0"/>
        </c:dLbls>
        <c:marker val="1"/>
        <c:smooth val="0"/>
        <c:axId val="645154768"/>
        <c:axId val="645152800"/>
      </c:lineChart>
      <c:catAx>
        <c:axId val="6451547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645152800"/>
        <c:crosses val="autoZero"/>
        <c:auto val="1"/>
        <c:lblAlgn val="ctr"/>
        <c:lblOffset val="100"/>
        <c:noMultiLvlLbl val="0"/>
      </c:catAx>
      <c:valAx>
        <c:axId val="645152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54768"/>
        <c:crosses val="autoZero"/>
        <c:crossBetween val="between"/>
      </c:valAx>
      <c:spPr>
        <a:noFill/>
        <a:ln>
          <a:noFill/>
        </a:ln>
        <a:effectLst/>
      </c:spPr>
    </c:plotArea>
    <c:legend>
      <c:legendPos val="b"/>
      <c:layout>
        <c:manualLayout>
          <c:xMode val="edge"/>
          <c:yMode val="edge"/>
          <c:x val="0"/>
          <c:y val="0.87616839735403595"/>
          <c:w val="1"/>
          <c:h val="9.6566165023166672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797071418704242E-2"/>
          <c:y val="4.9986635641795125E-2"/>
          <c:w val="0.97440585716259154"/>
          <c:h val="0.72233157419973981"/>
        </c:manualLayout>
      </c:layout>
      <c:lineChart>
        <c:grouping val="standard"/>
        <c:varyColors val="0"/>
        <c:ser>
          <c:idx val="0"/>
          <c:order val="0"/>
          <c:tx>
            <c:strRef>
              <c:f>Inputs!$B$153</c:f>
              <c:strCache>
                <c:ptCount val="1"/>
                <c:pt idx="0">
                  <c:v>LOCKHEED MARTIN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Inputs!$P$153:$W$153</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0-CA57-4752-9501-BC58D601A18E}"/>
            </c:ext>
          </c:extLst>
        </c:ser>
        <c:ser>
          <c:idx val="1"/>
          <c:order val="1"/>
          <c:tx>
            <c:strRef>
              <c:f>Inputs!$B$154</c:f>
              <c:strCache>
                <c:ptCount val="1"/>
                <c:pt idx="0">
                  <c:v>RTX CORP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Inputs!$P$154:$W$154</c:f>
              <c:numCache>
                <c:formatCode>General</c:formatCode>
                <c:ptCount val="8"/>
                <c:pt idx="0">
                  <c:v>9.5202852721523248E-3</c:v>
                </c:pt>
                <c:pt idx="1">
                  <c:v>0</c:v>
                </c:pt>
                <c:pt idx="2">
                  <c:v>0</c:v>
                </c:pt>
                <c:pt idx="3">
                  <c:v>0</c:v>
                </c:pt>
                <c:pt idx="4">
                  <c:v>4.6095545753867179E-2</c:v>
                </c:pt>
                <c:pt idx="5">
                  <c:v>4.4160181292304021E-2</c:v>
                </c:pt>
                <c:pt idx="6">
                  <c:v>8.8467498549042373E-2</c:v>
                </c:pt>
                <c:pt idx="7">
                  <c:v>0</c:v>
                </c:pt>
              </c:numCache>
            </c:numRef>
          </c:val>
          <c:smooth val="0"/>
          <c:extLst>
            <c:ext xmlns:c16="http://schemas.microsoft.com/office/drawing/2014/chart" uri="{C3380CC4-5D6E-409C-BE32-E72D297353CC}">
              <c16:uniqueId val="{00000001-CA57-4752-9501-BC58D601A18E}"/>
            </c:ext>
          </c:extLst>
        </c:ser>
        <c:ser>
          <c:idx val="2"/>
          <c:order val="2"/>
          <c:tx>
            <c:strRef>
              <c:f>Inputs!$B$155</c:f>
              <c:strCache>
                <c:ptCount val="1"/>
                <c:pt idx="0">
                  <c:v>NORTHROP GRUMMAN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Inputs!$P$155:$W$155</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2-CA57-4752-9501-BC58D601A18E}"/>
            </c:ext>
          </c:extLst>
        </c:ser>
        <c:ser>
          <c:idx val="3"/>
          <c:order val="3"/>
          <c:tx>
            <c:strRef>
              <c:f>Inputs!$B$156</c:f>
              <c:strCache>
                <c:ptCount val="1"/>
                <c:pt idx="0">
                  <c:v>AEROVIRONMENT IN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Inputs!$P$156:$W$156</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3-CA57-4752-9501-BC58D601A18E}"/>
            </c:ext>
          </c:extLst>
        </c:ser>
        <c:ser>
          <c:idx val="4"/>
          <c:order val="4"/>
          <c:tx>
            <c:strRef>
              <c:f>Inputs!$B$157</c:f>
              <c:strCache>
                <c:ptCount val="1"/>
                <c:pt idx="0">
                  <c:v>LEONARDO DRS INC</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Inputs!$P$157:$W$157</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4-CA57-4752-9501-BC58D601A18E}"/>
            </c:ext>
          </c:extLst>
        </c:ser>
        <c:ser>
          <c:idx val="5"/>
          <c:order val="5"/>
          <c:tx>
            <c:strRef>
              <c:f>Inputs!$B$158</c:f>
              <c:strCache>
                <c:ptCount val="1"/>
                <c:pt idx="0">
                  <c:v>CURTISS-WRIGHT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Inputs!$P$158:$W$158</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5-CA57-4752-9501-BC58D601A18E}"/>
            </c:ext>
          </c:extLst>
        </c:ser>
        <c:dLbls>
          <c:showLegendKey val="0"/>
          <c:showVal val="0"/>
          <c:showCatName val="0"/>
          <c:showSerName val="0"/>
          <c:showPercent val="0"/>
          <c:showBubbleSize val="0"/>
        </c:dLbls>
        <c:marker val="1"/>
        <c:smooth val="0"/>
        <c:axId val="645154768"/>
        <c:axId val="645152800"/>
      </c:lineChart>
      <c:catAx>
        <c:axId val="6451547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645152800"/>
        <c:crosses val="autoZero"/>
        <c:auto val="1"/>
        <c:lblAlgn val="ctr"/>
        <c:lblOffset val="100"/>
        <c:noMultiLvlLbl val="0"/>
      </c:catAx>
      <c:valAx>
        <c:axId val="645152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54768"/>
        <c:crosses val="autoZero"/>
        <c:crossBetween val="between"/>
      </c:valAx>
      <c:spPr>
        <a:noFill/>
        <a:ln>
          <a:noFill/>
        </a:ln>
        <a:effectLst/>
      </c:spPr>
    </c:plotArea>
    <c:legend>
      <c:legendPos val="b"/>
      <c:layout>
        <c:manualLayout>
          <c:xMode val="edge"/>
          <c:yMode val="edge"/>
          <c:x val="0"/>
          <c:y val="0.87616839735403595"/>
          <c:w val="1"/>
          <c:h val="9.6566165023166672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797071418704242E-2"/>
          <c:y val="4.9986635641795125E-2"/>
          <c:w val="0.97440585716259154"/>
          <c:h val="0.72233157419973981"/>
        </c:manualLayout>
      </c:layout>
      <c:lineChart>
        <c:grouping val="standard"/>
        <c:varyColors val="0"/>
        <c:ser>
          <c:idx val="0"/>
          <c:order val="0"/>
          <c:tx>
            <c:strRef>
              <c:f>Inputs!$B$162</c:f>
              <c:strCache>
                <c:ptCount val="1"/>
                <c:pt idx="0">
                  <c:v>LOCKHEED MARTIN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Inputs!$P$162:$W$162</c:f>
              <c:numCache>
                <c:formatCode>General</c:formatCode>
                <c:ptCount val="8"/>
                <c:pt idx="0">
                  <c:v>5.4083266613290631E-4</c:v>
                </c:pt>
                <c:pt idx="1">
                  <c:v>5.1145790707190955E-4</c:v>
                </c:pt>
                <c:pt idx="2">
                  <c:v>4.6681267972982011E-4</c:v>
                </c:pt>
                <c:pt idx="3">
                  <c:v>3.99767576990122E-4</c:v>
                </c:pt>
                <c:pt idx="4">
                  <c:v>3.7379929598472644E-4</c:v>
                </c:pt>
                <c:pt idx="5">
                  <c:v>3.9765700775945686E-4</c:v>
                </c:pt>
                <c:pt idx="6">
                  <c:v>3.9397078628405674E-4</c:v>
                </c:pt>
                <c:pt idx="7">
                  <c:v>3.4553720985881786E-4</c:v>
                </c:pt>
              </c:numCache>
            </c:numRef>
          </c:val>
          <c:smooth val="0"/>
          <c:extLst>
            <c:ext xmlns:c16="http://schemas.microsoft.com/office/drawing/2014/chart" uri="{C3380CC4-5D6E-409C-BE32-E72D297353CC}">
              <c16:uniqueId val="{00000000-9609-4658-84FF-6EC47A5047A6}"/>
            </c:ext>
          </c:extLst>
        </c:ser>
        <c:ser>
          <c:idx val="1"/>
          <c:order val="1"/>
          <c:tx>
            <c:strRef>
              <c:f>Inputs!$B$163</c:f>
              <c:strCache>
                <c:ptCount val="1"/>
                <c:pt idx="0">
                  <c:v>RTX CORP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Inputs!$P$163:$W$163</c:f>
              <c:numCache>
                <c:formatCode>General</c:formatCode>
                <c:ptCount val="8"/>
                <c:pt idx="0">
                  <c:v>3.9819518266837111E-3</c:v>
                </c:pt>
                <c:pt idx="1">
                  <c:v>4.5964571961323889E-3</c:v>
                </c:pt>
                <c:pt idx="2">
                  <c:v>0</c:v>
                </c:pt>
                <c:pt idx="3">
                  <c:v>0</c:v>
                </c:pt>
                <c:pt idx="4">
                  <c:v>1.3558427036093681E-3</c:v>
                </c:pt>
                <c:pt idx="5">
                  <c:v>1.4893997674210574E-3</c:v>
                </c:pt>
                <c:pt idx="6">
                  <c:v>1.8464886825304702E-3</c:v>
                </c:pt>
                <c:pt idx="7">
                  <c:v>0</c:v>
                </c:pt>
              </c:numCache>
            </c:numRef>
          </c:val>
          <c:smooth val="0"/>
          <c:extLst>
            <c:ext xmlns:c16="http://schemas.microsoft.com/office/drawing/2014/chart" uri="{C3380CC4-5D6E-409C-BE32-E72D297353CC}">
              <c16:uniqueId val="{00000001-9609-4658-84FF-6EC47A5047A6}"/>
            </c:ext>
          </c:extLst>
        </c:ser>
        <c:ser>
          <c:idx val="2"/>
          <c:order val="2"/>
          <c:tx>
            <c:strRef>
              <c:f>Inputs!$B$164</c:f>
              <c:strCache>
                <c:ptCount val="1"/>
                <c:pt idx="0">
                  <c:v>NORTHROP GRUMMAN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Inputs!$P$164:$W$164</c:f>
              <c:numCache>
                <c:formatCode>General</c:formatCode>
                <c:ptCount val="8"/>
                <c:pt idx="0">
                  <c:v>8.4679280110752187E-4</c:v>
                </c:pt>
                <c:pt idx="1">
                  <c:v>7.6776873234756611E-4</c:v>
                </c:pt>
                <c:pt idx="2">
                  <c:v>1.3647055347064212E-3</c:v>
                </c:pt>
                <c:pt idx="3">
                  <c:v>1.2418815728688281E-3</c:v>
                </c:pt>
                <c:pt idx="4">
                  <c:v>1.3474640423921272E-3</c:v>
                </c:pt>
                <c:pt idx="5">
                  <c:v>1.2731544724332005E-3</c:v>
                </c:pt>
                <c:pt idx="6">
                  <c:v>1.1682361924153729E-3</c:v>
                </c:pt>
                <c:pt idx="7">
                  <c:v>1.1156873735773645E-3</c:v>
                </c:pt>
              </c:numCache>
            </c:numRef>
          </c:val>
          <c:smooth val="0"/>
          <c:extLst>
            <c:ext xmlns:c16="http://schemas.microsoft.com/office/drawing/2014/chart" uri="{C3380CC4-5D6E-409C-BE32-E72D297353CC}">
              <c16:uniqueId val="{00000002-9609-4658-84FF-6EC47A5047A6}"/>
            </c:ext>
          </c:extLst>
        </c:ser>
        <c:ser>
          <c:idx val="3"/>
          <c:order val="3"/>
          <c:tx>
            <c:strRef>
              <c:f>Inputs!$B$165</c:f>
              <c:strCache>
                <c:ptCount val="1"/>
                <c:pt idx="0">
                  <c:v>AEROVIRONMENT IN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Inputs!$P$165:$W$165</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3-9609-4658-84FF-6EC47A5047A6}"/>
            </c:ext>
          </c:extLst>
        </c:ser>
        <c:ser>
          <c:idx val="4"/>
          <c:order val="4"/>
          <c:tx>
            <c:strRef>
              <c:f>Inputs!$B$166</c:f>
              <c:strCache>
                <c:ptCount val="1"/>
                <c:pt idx="0">
                  <c:v>LEONARDO DRS INC</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Inputs!$P$166:$W$166</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4-9609-4658-84FF-6EC47A5047A6}"/>
            </c:ext>
          </c:extLst>
        </c:ser>
        <c:ser>
          <c:idx val="5"/>
          <c:order val="5"/>
          <c:tx>
            <c:strRef>
              <c:f>Inputs!$B$167</c:f>
              <c:strCache>
                <c:ptCount val="1"/>
                <c:pt idx="0">
                  <c:v>CURTISS-WRIGHT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Inputs!$P$133:$W$133</c:f>
              <c:numCache>
                <c:formatCode>0"A"</c:formatCode>
                <c:ptCount val="8"/>
                <c:pt idx="0">
                  <c:v>2017</c:v>
                </c:pt>
                <c:pt idx="1">
                  <c:v>2018</c:v>
                </c:pt>
                <c:pt idx="2">
                  <c:v>2019</c:v>
                </c:pt>
                <c:pt idx="3">
                  <c:v>2020</c:v>
                </c:pt>
                <c:pt idx="4">
                  <c:v>2021</c:v>
                </c:pt>
                <c:pt idx="5">
                  <c:v>2022</c:v>
                </c:pt>
                <c:pt idx="6">
                  <c:v>2023</c:v>
                </c:pt>
                <c:pt idx="7">
                  <c:v>2024</c:v>
                </c:pt>
              </c:numCache>
            </c:numRef>
          </c:cat>
          <c:val>
            <c:numRef>
              <c:f>Inputs!$P$167:$W$167</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5-9609-4658-84FF-6EC47A5047A6}"/>
            </c:ext>
          </c:extLst>
        </c:ser>
        <c:dLbls>
          <c:showLegendKey val="0"/>
          <c:showVal val="0"/>
          <c:showCatName val="0"/>
          <c:showSerName val="0"/>
          <c:showPercent val="0"/>
          <c:showBubbleSize val="0"/>
        </c:dLbls>
        <c:marker val="1"/>
        <c:smooth val="0"/>
        <c:axId val="645154768"/>
        <c:axId val="645152800"/>
      </c:lineChart>
      <c:catAx>
        <c:axId val="64515476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panose="020B0504020202020204" pitchFamily="34" charset="0"/>
                <a:ea typeface="+mn-ea"/>
                <a:cs typeface="+mn-cs"/>
              </a:defRPr>
            </a:pPr>
            <a:endParaRPr lang="en-US"/>
          </a:p>
        </c:txPr>
        <c:crossAx val="645152800"/>
        <c:crosses val="autoZero"/>
        <c:auto val="1"/>
        <c:lblAlgn val="ctr"/>
        <c:lblOffset val="100"/>
        <c:noMultiLvlLbl val="0"/>
      </c:catAx>
      <c:valAx>
        <c:axId val="645152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54768"/>
        <c:crosses val="autoZero"/>
        <c:crossBetween val="between"/>
      </c:valAx>
      <c:spPr>
        <a:noFill/>
        <a:ln>
          <a:noFill/>
        </a:ln>
        <a:effectLst/>
      </c:spPr>
    </c:plotArea>
    <c:legend>
      <c:legendPos val="b"/>
      <c:layout>
        <c:manualLayout>
          <c:xMode val="edge"/>
          <c:yMode val="edge"/>
          <c:x val="0"/>
          <c:y val="0.87616839735403595"/>
          <c:w val="1"/>
          <c:h val="9.6566165023166672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138004640808441E-2"/>
          <c:y val="3.0345668095936522E-2"/>
          <c:w val="0.93523711516124797"/>
          <c:h val="0.62974320566006659"/>
        </c:manualLayout>
      </c:layout>
      <c:lineChart>
        <c:grouping val="standard"/>
        <c:varyColors val="0"/>
        <c:ser>
          <c:idx val="0"/>
          <c:order val="0"/>
          <c:tx>
            <c:strRef>
              <c:f>Inputs!$S$7</c:f>
              <c:strCache>
                <c:ptCount val="1"/>
                <c:pt idx="0">
                  <c:v>LOCKHEED MARTIN</c:v>
                </c:pt>
              </c:strCache>
            </c:strRef>
          </c:tx>
          <c:spPr>
            <a:ln w="28575" cap="rnd">
              <a:solidFill>
                <a:schemeClr val="accent1"/>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Data'!$C$5:$C$159</c:f>
              <c:numCache>
                <c:formatCode>0.0</c:formatCode>
                <c:ptCount val="155"/>
                <c:pt idx="0">
                  <c:v>17.202999999999999</c:v>
                </c:pt>
                <c:pt idx="1">
                  <c:v>17.152899999999999</c:v>
                </c:pt>
                <c:pt idx="2">
                  <c:v>16.9253</c:v>
                </c:pt>
                <c:pt idx="3">
                  <c:v>16.671299999999999</c:v>
                </c:pt>
                <c:pt idx="4">
                  <c:v>16.381699999999999</c:v>
                </c:pt>
                <c:pt idx="5">
                  <c:v>16.116299999999999</c:v>
                </c:pt>
                <c:pt idx="6">
                  <c:v>15.7499</c:v>
                </c:pt>
                <c:pt idx="7">
                  <c:v>15.608000000000001</c:v>
                </c:pt>
                <c:pt idx="8">
                  <c:v>15.6129</c:v>
                </c:pt>
                <c:pt idx="9">
                  <c:v>16.977900000000002</c:v>
                </c:pt>
                <c:pt idx="10">
                  <c:v>17.087299999999999</c:v>
                </c:pt>
                <c:pt idx="11">
                  <c:v>14.055</c:v>
                </c:pt>
                <c:pt idx="12">
                  <c:v>14.055</c:v>
                </c:pt>
                <c:pt idx="13">
                  <c:v>14.368</c:v>
                </c:pt>
                <c:pt idx="14">
                  <c:v>14.7834</c:v>
                </c:pt>
                <c:pt idx="15">
                  <c:v>14.659000000000001</c:v>
                </c:pt>
                <c:pt idx="16">
                  <c:v>14.677</c:v>
                </c:pt>
                <c:pt idx="17">
                  <c:v>14.324</c:v>
                </c:pt>
                <c:pt idx="18">
                  <c:v>14.3094</c:v>
                </c:pt>
                <c:pt idx="19">
                  <c:v>14.445399999999999</c:v>
                </c:pt>
                <c:pt idx="20">
                  <c:v>14.426500000000001</c:v>
                </c:pt>
                <c:pt idx="21">
                  <c:v>14.553100000000001</c:v>
                </c:pt>
                <c:pt idx="22">
                  <c:v>14.4961</c:v>
                </c:pt>
                <c:pt idx="23">
                  <c:v>14.4961</c:v>
                </c:pt>
                <c:pt idx="24">
                  <c:v>13.377000000000001</c:v>
                </c:pt>
                <c:pt idx="25">
                  <c:v>14.284700000000001</c:v>
                </c:pt>
                <c:pt idx="26">
                  <c:v>14.2774</c:v>
                </c:pt>
                <c:pt idx="27">
                  <c:v>15.004300000000001</c:v>
                </c:pt>
                <c:pt idx="28">
                  <c:v>15.2097</c:v>
                </c:pt>
                <c:pt idx="29">
                  <c:v>14.570399999999999</c:v>
                </c:pt>
                <c:pt idx="30">
                  <c:v>14.305400000000001</c:v>
                </c:pt>
                <c:pt idx="31">
                  <c:v>13.8241</c:v>
                </c:pt>
                <c:pt idx="32">
                  <c:v>14.4062</c:v>
                </c:pt>
                <c:pt idx="33">
                  <c:v>14.915900000000001</c:v>
                </c:pt>
                <c:pt idx="34">
                  <c:v>15.945399999999999</c:v>
                </c:pt>
                <c:pt idx="35">
                  <c:v>15.761799999999999</c:v>
                </c:pt>
                <c:pt idx="36">
                  <c:v>15.146000000000001</c:v>
                </c:pt>
                <c:pt idx="37">
                  <c:v>15.5268</c:v>
                </c:pt>
                <c:pt idx="38">
                  <c:v>13.0365</c:v>
                </c:pt>
                <c:pt idx="39">
                  <c:v>13.037699999999999</c:v>
                </c:pt>
                <c:pt idx="40">
                  <c:v>13.1694</c:v>
                </c:pt>
                <c:pt idx="41">
                  <c:v>13.599500000000001</c:v>
                </c:pt>
                <c:pt idx="42">
                  <c:v>13.982699999999999</c:v>
                </c:pt>
                <c:pt idx="43">
                  <c:v>14.282400000000001</c:v>
                </c:pt>
                <c:pt idx="44">
                  <c:v>14.109500000000001</c:v>
                </c:pt>
                <c:pt idx="45">
                  <c:v>14.805099999999999</c:v>
                </c:pt>
                <c:pt idx="46">
                  <c:v>14.355700000000001</c:v>
                </c:pt>
                <c:pt idx="47">
                  <c:v>14.752000000000001</c:v>
                </c:pt>
                <c:pt idx="48">
                  <c:v>15.990500000000001</c:v>
                </c:pt>
                <c:pt idx="49">
                  <c:v>15.8108</c:v>
                </c:pt>
                <c:pt idx="50">
                  <c:v>15.833299999999999</c:v>
                </c:pt>
                <c:pt idx="51">
                  <c:v>15.565300000000001</c:v>
                </c:pt>
                <c:pt idx="52">
                  <c:v>15.3163</c:v>
                </c:pt>
                <c:pt idx="53">
                  <c:v>15.2683</c:v>
                </c:pt>
                <c:pt idx="54">
                  <c:v>15.190099999999999</c:v>
                </c:pt>
                <c:pt idx="55">
                  <c:v>15.225199999999999</c:v>
                </c:pt>
                <c:pt idx="56">
                  <c:v>14.9129</c:v>
                </c:pt>
                <c:pt idx="57">
                  <c:v>15.0351</c:v>
                </c:pt>
                <c:pt idx="58">
                  <c:v>14.831099999999999</c:v>
                </c:pt>
                <c:pt idx="59">
                  <c:v>14.764099999999999</c:v>
                </c:pt>
                <c:pt idx="60">
                  <c:v>14.192399999999999</c:v>
                </c:pt>
                <c:pt idx="61">
                  <c:v>13.0777</c:v>
                </c:pt>
                <c:pt idx="62">
                  <c:v>12.808999999999999</c:v>
                </c:pt>
                <c:pt idx="63">
                  <c:v>12.7713</c:v>
                </c:pt>
                <c:pt idx="64">
                  <c:v>12.9285</c:v>
                </c:pt>
                <c:pt idx="65">
                  <c:v>12.9405</c:v>
                </c:pt>
                <c:pt idx="66">
                  <c:v>12.7174</c:v>
                </c:pt>
                <c:pt idx="67">
                  <c:v>13.0015</c:v>
                </c:pt>
                <c:pt idx="68">
                  <c:v>13.006600000000001</c:v>
                </c:pt>
                <c:pt idx="69">
                  <c:v>12.9345</c:v>
                </c:pt>
                <c:pt idx="70">
                  <c:v>12.9068</c:v>
                </c:pt>
                <c:pt idx="71">
                  <c:v>12.971399999999999</c:v>
                </c:pt>
                <c:pt idx="72">
                  <c:v>12.8034</c:v>
                </c:pt>
                <c:pt idx="73">
                  <c:v>12.788500000000001</c:v>
                </c:pt>
                <c:pt idx="74">
                  <c:v>12.8766</c:v>
                </c:pt>
                <c:pt idx="75">
                  <c:v>12.5512</c:v>
                </c:pt>
                <c:pt idx="76">
                  <c:v>12.6715</c:v>
                </c:pt>
                <c:pt idx="77">
                  <c:v>12.5238</c:v>
                </c:pt>
                <c:pt idx="78">
                  <c:v>12.5238</c:v>
                </c:pt>
                <c:pt idx="79">
                  <c:v>12.3307</c:v>
                </c:pt>
                <c:pt idx="80">
                  <c:v>12.2597</c:v>
                </c:pt>
                <c:pt idx="81">
                  <c:v>12.1031</c:v>
                </c:pt>
                <c:pt idx="82">
                  <c:v>12.2164</c:v>
                </c:pt>
                <c:pt idx="83">
                  <c:v>12.045</c:v>
                </c:pt>
                <c:pt idx="84">
                  <c:v>12.103999999999999</c:v>
                </c:pt>
                <c:pt idx="85">
                  <c:v>12.091200000000001</c:v>
                </c:pt>
                <c:pt idx="86">
                  <c:v>12.186999999999999</c:v>
                </c:pt>
                <c:pt idx="87">
                  <c:v>13.1616</c:v>
                </c:pt>
                <c:pt idx="88">
                  <c:v>13.296900000000001</c:v>
                </c:pt>
                <c:pt idx="89">
                  <c:v>13.130100000000001</c:v>
                </c:pt>
                <c:pt idx="90">
                  <c:v>12.685700000000001</c:v>
                </c:pt>
                <c:pt idx="91">
                  <c:v>12.560600000000001</c:v>
                </c:pt>
                <c:pt idx="92">
                  <c:v>12.4009</c:v>
                </c:pt>
                <c:pt idx="93">
                  <c:v>12.5556</c:v>
                </c:pt>
                <c:pt idx="94">
                  <c:v>12.590299999999999</c:v>
                </c:pt>
                <c:pt idx="95">
                  <c:v>12.655099999999999</c:v>
                </c:pt>
                <c:pt idx="96">
                  <c:v>12.4724</c:v>
                </c:pt>
                <c:pt idx="97">
                  <c:v>12.4771</c:v>
                </c:pt>
                <c:pt idx="98">
                  <c:v>12.6882</c:v>
                </c:pt>
                <c:pt idx="99">
                  <c:v>12.440200000000001</c:v>
                </c:pt>
                <c:pt idx="100">
                  <c:v>12.4597</c:v>
                </c:pt>
                <c:pt idx="101">
                  <c:v>12.547499999999999</c:v>
                </c:pt>
                <c:pt idx="102">
                  <c:v>11.5273</c:v>
                </c:pt>
                <c:pt idx="103">
                  <c:v>11.7355</c:v>
                </c:pt>
                <c:pt idx="104">
                  <c:v>11.7865</c:v>
                </c:pt>
                <c:pt idx="105">
                  <c:v>12.048</c:v>
                </c:pt>
                <c:pt idx="106">
                  <c:v>12.023899999999999</c:v>
                </c:pt>
                <c:pt idx="107">
                  <c:v>12.6548</c:v>
                </c:pt>
                <c:pt idx="108">
                  <c:v>12.728</c:v>
                </c:pt>
                <c:pt idx="109">
                  <c:v>12.7021</c:v>
                </c:pt>
                <c:pt idx="110">
                  <c:v>12.8024</c:v>
                </c:pt>
                <c:pt idx="111">
                  <c:v>12.5929</c:v>
                </c:pt>
                <c:pt idx="112">
                  <c:v>12.6754</c:v>
                </c:pt>
                <c:pt idx="113">
                  <c:v>12.8203</c:v>
                </c:pt>
                <c:pt idx="114">
                  <c:v>13.126300000000001</c:v>
                </c:pt>
                <c:pt idx="115">
                  <c:v>12.9847</c:v>
                </c:pt>
                <c:pt idx="116">
                  <c:v>13.026899999999999</c:v>
                </c:pt>
                <c:pt idx="117">
                  <c:v>12.719200000000001</c:v>
                </c:pt>
                <c:pt idx="118">
                  <c:v>12.714499999999999</c:v>
                </c:pt>
                <c:pt idx="119">
                  <c:v>12.802</c:v>
                </c:pt>
                <c:pt idx="120">
                  <c:v>12.598100000000001</c:v>
                </c:pt>
                <c:pt idx="121">
                  <c:v>12.447800000000001</c:v>
                </c:pt>
                <c:pt idx="122">
                  <c:v>12.598100000000001</c:v>
                </c:pt>
                <c:pt idx="123">
                  <c:v>12.506</c:v>
                </c:pt>
                <c:pt idx="124">
                  <c:v>12.6242</c:v>
                </c:pt>
                <c:pt idx="125">
                  <c:v>12.845800000000001</c:v>
                </c:pt>
                <c:pt idx="126">
                  <c:v>13.295999999999999</c:v>
                </c:pt>
                <c:pt idx="127">
                  <c:v>13.492100000000001</c:v>
                </c:pt>
                <c:pt idx="128">
                  <c:v>13.1106</c:v>
                </c:pt>
                <c:pt idx="129">
                  <c:v>13.1106</c:v>
                </c:pt>
                <c:pt idx="130">
                  <c:v>13.3895</c:v>
                </c:pt>
                <c:pt idx="131">
                  <c:v>13.1706</c:v>
                </c:pt>
                <c:pt idx="132">
                  <c:v>13.4504</c:v>
                </c:pt>
                <c:pt idx="133">
                  <c:v>13.510999999999999</c:v>
                </c:pt>
                <c:pt idx="134">
                  <c:v>13.5745</c:v>
                </c:pt>
                <c:pt idx="135">
                  <c:v>13.4537</c:v>
                </c:pt>
                <c:pt idx="136">
                  <c:v>13.5854</c:v>
                </c:pt>
                <c:pt idx="137">
                  <c:v>13.034599999999999</c:v>
                </c:pt>
                <c:pt idx="138">
                  <c:v>13.047800000000001</c:v>
                </c:pt>
                <c:pt idx="139">
                  <c:v>12.932499999999999</c:v>
                </c:pt>
                <c:pt idx="140">
                  <c:v>13.1027</c:v>
                </c:pt>
                <c:pt idx="141">
                  <c:v>13.7113</c:v>
                </c:pt>
                <c:pt idx="142">
                  <c:v>13.4277</c:v>
                </c:pt>
                <c:pt idx="143">
                  <c:v>13.3452</c:v>
                </c:pt>
                <c:pt idx="144">
                  <c:v>13.3066</c:v>
                </c:pt>
                <c:pt idx="145">
                  <c:v>13.3527</c:v>
                </c:pt>
                <c:pt idx="146">
                  <c:v>13.678699999999999</c:v>
                </c:pt>
                <c:pt idx="147">
                  <c:v>13.349600000000001</c:v>
                </c:pt>
                <c:pt idx="148">
                  <c:v>13.1785</c:v>
                </c:pt>
                <c:pt idx="149">
                  <c:v>12.8445</c:v>
                </c:pt>
                <c:pt idx="150">
                  <c:v>13.3035</c:v>
                </c:pt>
                <c:pt idx="151">
                  <c:v>13.385999999999999</c:v>
                </c:pt>
                <c:pt idx="152">
                  <c:v>12.6061</c:v>
                </c:pt>
                <c:pt idx="153">
                  <c:v>11.043699999999999</c:v>
                </c:pt>
                <c:pt idx="154">
                  <c:v>11.423</c:v>
                </c:pt>
              </c:numCache>
            </c:numRef>
          </c:val>
          <c:smooth val="0"/>
          <c:extLst>
            <c:ext xmlns:c16="http://schemas.microsoft.com/office/drawing/2014/chart" uri="{C3380CC4-5D6E-409C-BE32-E72D297353CC}">
              <c16:uniqueId val="{00000000-C6A3-42EA-AD84-0EA2783F3814}"/>
            </c:ext>
          </c:extLst>
        </c:ser>
        <c:ser>
          <c:idx val="1"/>
          <c:order val="1"/>
          <c:tx>
            <c:strRef>
              <c:f>Inputs!$B$21</c:f>
              <c:strCache>
                <c:ptCount val="1"/>
                <c:pt idx="0">
                  <c:v>RTX CORP</c:v>
                </c:pt>
              </c:strCache>
            </c:strRef>
          </c:tx>
          <c:spPr>
            <a:ln w="28575" cap="rnd">
              <a:solidFill>
                <a:schemeClr val="accent3"/>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Data'!$D$5:$D$159</c:f>
              <c:numCache>
                <c:formatCode>0.0</c:formatCode>
                <c:ptCount val="155"/>
                <c:pt idx="0">
                  <c:v>19.909500000000001</c:v>
                </c:pt>
                <c:pt idx="1">
                  <c:v>19.657299999999999</c:v>
                </c:pt>
                <c:pt idx="2">
                  <c:v>19.833500000000001</c:v>
                </c:pt>
                <c:pt idx="3">
                  <c:v>19.947500000000002</c:v>
                </c:pt>
                <c:pt idx="4">
                  <c:v>19.698399999999999</c:v>
                </c:pt>
                <c:pt idx="5">
                  <c:v>19.471499999999999</c:v>
                </c:pt>
                <c:pt idx="6">
                  <c:v>19.552800000000001</c:v>
                </c:pt>
                <c:pt idx="7">
                  <c:v>19.758600000000001</c:v>
                </c:pt>
                <c:pt idx="8">
                  <c:v>19.765999999999998</c:v>
                </c:pt>
                <c:pt idx="9">
                  <c:v>19.167200000000001</c:v>
                </c:pt>
                <c:pt idx="10">
                  <c:v>18.679400000000001</c:v>
                </c:pt>
                <c:pt idx="11">
                  <c:v>21.055700000000002</c:v>
                </c:pt>
                <c:pt idx="12">
                  <c:v>21.055700000000002</c:v>
                </c:pt>
                <c:pt idx="13">
                  <c:v>21.294899999999998</c:v>
                </c:pt>
                <c:pt idx="14">
                  <c:v>21.180099999999999</c:v>
                </c:pt>
                <c:pt idx="15">
                  <c:v>20.3841</c:v>
                </c:pt>
                <c:pt idx="16">
                  <c:v>20.067599999999999</c:v>
                </c:pt>
                <c:pt idx="17">
                  <c:v>19.5688</c:v>
                </c:pt>
                <c:pt idx="18">
                  <c:v>19.9468</c:v>
                </c:pt>
                <c:pt idx="19">
                  <c:v>19.124199999999998</c:v>
                </c:pt>
                <c:pt idx="20">
                  <c:v>19.310300000000002</c:v>
                </c:pt>
                <c:pt idx="21">
                  <c:v>18.7075</c:v>
                </c:pt>
                <c:pt idx="22">
                  <c:v>19.064699999999998</c:v>
                </c:pt>
                <c:pt idx="23">
                  <c:v>19.064699999999998</c:v>
                </c:pt>
                <c:pt idx="24">
                  <c:v>17.759799999999998</c:v>
                </c:pt>
                <c:pt idx="25">
                  <c:v>19.752500000000001</c:v>
                </c:pt>
                <c:pt idx="26">
                  <c:v>19.832100000000001</c:v>
                </c:pt>
                <c:pt idx="27">
                  <c:v>19.540700000000001</c:v>
                </c:pt>
                <c:pt idx="28">
                  <c:v>19.311</c:v>
                </c:pt>
                <c:pt idx="29">
                  <c:v>19.8719</c:v>
                </c:pt>
                <c:pt idx="30">
                  <c:v>18.686599999999999</c:v>
                </c:pt>
                <c:pt idx="31">
                  <c:v>18.5791</c:v>
                </c:pt>
                <c:pt idx="32">
                  <c:v>19.256</c:v>
                </c:pt>
                <c:pt idx="33">
                  <c:v>19.365100000000002</c:v>
                </c:pt>
                <c:pt idx="34">
                  <c:v>18.9207</c:v>
                </c:pt>
                <c:pt idx="35">
                  <c:v>18.407900000000001</c:v>
                </c:pt>
                <c:pt idx="36">
                  <c:v>17.6754</c:v>
                </c:pt>
                <c:pt idx="37">
                  <c:v>17.7682</c:v>
                </c:pt>
                <c:pt idx="38">
                  <c:v>18.512</c:v>
                </c:pt>
                <c:pt idx="39">
                  <c:v>18.482800000000001</c:v>
                </c:pt>
                <c:pt idx="40">
                  <c:v>18.643999999999998</c:v>
                </c:pt>
                <c:pt idx="41">
                  <c:v>18.674399999999999</c:v>
                </c:pt>
                <c:pt idx="42">
                  <c:v>19.161799999999999</c:v>
                </c:pt>
                <c:pt idx="43">
                  <c:v>19.0273</c:v>
                </c:pt>
                <c:pt idx="44">
                  <c:v>18.742999999999999</c:v>
                </c:pt>
                <c:pt idx="45">
                  <c:v>19.380099999999999</c:v>
                </c:pt>
                <c:pt idx="46">
                  <c:v>18.770900000000001</c:v>
                </c:pt>
                <c:pt idx="47">
                  <c:v>19.584399999999999</c:v>
                </c:pt>
                <c:pt idx="48">
                  <c:v>19.671500000000002</c:v>
                </c:pt>
                <c:pt idx="49">
                  <c:v>19.4191</c:v>
                </c:pt>
                <c:pt idx="50">
                  <c:v>19.543399999999998</c:v>
                </c:pt>
                <c:pt idx="51">
                  <c:v>28.307600000000001</c:v>
                </c:pt>
                <c:pt idx="52">
                  <c:v>27.884599999999999</c:v>
                </c:pt>
                <c:pt idx="53">
                  <c:v>28.067699999999999</c:v>
                </c:pt>
                <c:pt idx="54">
                  <c:v>27.939299999999999</c:v>
                </c:pt>
                <c:pt idx="55">
                  <c:v>28.864699999999999</c:v>
                </c:pt>
                <c:pt idx="56">
                  <c:v>27.9544</c:v>
                </c:pt>
                <c:pt idx="57">
                  <c:v>27.846800000000002</c:v>
                </c:pt>
                <c:pt idx="58">
                  <c:v>27.506900000000002</c:v>
                </c:pt>
                <c:pt idx="59">
                  <c:v>27.561599999999999</c:v>
                </c:pt>
                <c:pt idx="60">
                  <c:v>27.0914</c:v>
                </c:pt>
                <c:pt idx="61">
                  <c:v>24.976900000000001</c:v>
                </c:pt>
                <c:pt idx="62">
                  <c:v>24.688199999999998</c:v>
                </c:pt>
                <c:pt idx="63">
                  <c:v>24.516400000000001</c:v>
                </c:pt>
                <c:pt idx="64">
                  <c:v>21.775500000000001</c:v>
                </c:pt>
                <c:pt idx="65">
                  <c:v>22.645099999999999</c:v>
                </c:pt>
                <c:pt idx="66">
                  <c:v>22.415199999999999</c:v>
                </c:pt>
                <c:pt idx="67">
                  <c:v>23.061599999999999</c:v>
                </c:pt>
                <c:pt idx="68">
                  <c:v>23.011700000000001</c:v>
                </c:pt>
                <c:pt idx="69">
                  <c:v>22.755099999999999</c:v>
                </c:pt>
                <c:pt idx="70">
                  <c:v>22.4069</c:v>
                </c:pt>
                <c:pt idx="71">
                  <c:v>22.763400000000001</c:v>
                </c:pt>
                <c:pt idx="72">
                  <c:v>21.9437</c:v>
                </c:pt>
                <c:pt idx="73">
                  <c:v>21.945399999999999</c:v>
                </c:pt>
                <c:pt idx="74">
                  <c:v>21.972100000000001</c:v>
                </c:pt>
                <c:pt idx="75">
                  <c:v>21.728899999999999</c:v>
                </c:pt>
                <c:pt idx="76">
                  <c:v>21.9938</c:v>
                </c:pt>
                <c:pt idx="77">
                  <c:v>21.672599999999999</c:v>
                </c:pt>
                <c:pt idx="78">
                  <c:v>21.672599999999999</c:v>
                </c:pt>
                <c:pt idx="79">
                  <c:v>21.2241</c:v>
                </c:pt>
                <c:pt idx="80">
                  <c:v>20.838699999999999</c:v>
                </c:pt>
                <c:pt idx="81">
                  <c:v>20.653500000000001</c:v>
                </c:pt>
                <c:pt idx="82">
                  <c:v>20.689499999999999</c:v>
                </c:pt>
                <c:pt idx="83">
                  <c:v>20.861000000000001</c:v>
                </c:pt>
                <c:pt idx="84">
                  <c:v>20.775200000000002</c:v>
                </c:pt>
                <c:pt idx="85">
                  <c:v>22.347799999999999</c:v>
                </c:pt>
                <c:pt idx="86">
                  <c:v>22.056000000000001</c:v>
                </c:pt>
                <c:pt idx="87">
                  <c:v>21.149100000000001</c:v>
                </c:pt>
                <c:pt idx="88">
                  <c:v>21.297799999999999</c:v>
                </c:pt>
                <c:pt idx="89">
                  <c:v>21.121200000000002</c:v>
                </c:pt>
                <c:pt idx="90">
                  <c:v>20.6938</c:v>
                </c:pt>
                <c:pt idx="91">
                  <c:v>20.517900000000001</c:v>
                </c:pt>
                <c:pt idx="92">
                  <c:v>19.947800000000001</c:v>
                </c:pt>
                <c:pt idx="93">
                  <c:v>20.148800000000001</c:v>
                </c:pt>
                <c:pt idx="94">
                  <c:v>20.342099999999999</c:v>
                </c:pt>
                <c:pt idx="95">
                  <c:v>19.889800000000001</c:v>
                </c:pt>
                <c:pt idx="96">
                  <c:v>19.831900000000001</c:v>
                </c:pt>
                <c:pt idx="97">
                  <c:v>20.322700000000001</c:v>
                </c:pt>
                <c:pt idx="98">
                  <c:v>20.4194</c:v>
                </c:pt>
                <c:pt idx="99">
                  <c:v>19.731400000000001</c:v>
                </c:pt>
                <c:pt idx="100">
                  <c:v>18.625599999999999</c:v>
                </c:pt>
                <c:pt idx="101">
                  <c:v>18.762599999999999</c:v>
                </c:pt>
                <c:pt idx="102">
                  <c:v>18.081800000000001</c:v>
                </c:pt>
                <c:pt idx="103">
                  <c:v>13.35</c:v>
                </c:pt>
                <c:pt idx="104">
                  <c:v>13.2951</c:v>
                </c:pt>
                <c:pt idx="105">
                  <c:v>13.889699999999999</c:v>
                </c:pt>
                <c:pt idx="106">
                  <c:v>14.972</c:v>
                </c:pt>
                <c:pt idx="107">
                  <c:v>15.3665</c:v>
                </c:pt>
                <c:pt idx="108">
                  <c:v>15.1425</c:v>
                </c:pt>
                <c:pt idx="109">
                  <c:v>15.2989</c:v>
                </c:pt>
                <c:pt idx="110">
                  <c:v>15.445399999999999</c:v>
                </c:pt>
                <c:pt idx="111">
                  <c:v>15.1227</c:v>
                </c:pt>
                <c:pt idx="112">
                  <c:v>15.5159</c:v>
                </c:pt>
                <c:pt idx="113">
                  <c:v>16.843699999999998</c:v>
                </c:pt>
                <c:pt idx="114">
                  <c:v>16.8126</c:v>
                </c:pt>
                <c:pt idx="115">
                  <c:v>16.9894</c:v>
                </c:pt>
                <c:pt idx="116">
                  <c:v>17.065799999999999</c:v>
                </c:pt>
                <c:pt idx="117">
                  <c:v>17.0945</c:v>
                </c:pt>
                <c:pt idx="118">
                  <c:v>17.213999999999999</c:v>
                </c:pt>
                <c:pt idx="119">
                  <c:v>17.444500000000001</c:v>
                </c:pt>
                <c:pt idx="120">
                  <c:v>16.974900000000002</c:v>
                </c:pt>
                <c:pt idx="121">
                  <c:v>16.5687</c:v>
                </c:pt>
                <c:pt idx="122">
                  <c:v>16.982099999999999</c:v>
                </c:pt>
                <c:pt idx="123">
                  <c:v>16.962</c:v>
                </c:pt>
                <c:pt idx="124">
                  <c:v>17.046900000000001</c:v>
                </c:pt>
                <c:pt idx="125">
                  <c:v>17.525099999999998</c:v>
                </c:pt>
                <c:pt idx="126">
                  <c:v>17.884499999999999</c:v>
                </c:pt>
                <c:pt idx="127">
                  <c:v>17.802199999999999</c:v>
                </c:pt>
                <c:pt idx="128">
                  <c:v>17.261299999999999</c:v>
                </c:pt>
                <c:pt idx="129">
                  <c:v>17.261299999999999</c:v>
                </c:pt>
                <c:pt idx="130">
                  <c:v>17.831800000000001</c:v>
                </c:pt>
                <c:pt idx="131">
                  <c:v>17.726099999999999</c:v>
                </c:pt>
                <c:pt idx="132">
                  <c:v>17.782</c:v>
                </c:pt>
                <c:pt idx="133">
                  <c:v>18.245200000000001</c:v>
                </c:pt>
                <c:pt idx="134">
                  <c:v>18.337199999999999</c:v>
                </c:pt>
                <c:pt idx="135">
                  <c:v>18.626999999999999</c:v>
                </c:pt>
                <c:pt idx="136">
                  <c:v>18.489000000000001</c:v>
                </c:pt>
                <c:pt idx="137">
                  <c:v>17.9072</c:v>
                </c:pt>
                <c:pt idx="138">
                  <c:v>18.3874</c:v>
                </c:pt>
                <c:pt idx="139">
                  <c:v>17.5809</c:v>
                </c:pt>
                <c:pt idx="140">
                  <c:v>18.245799999999999</c:v>
                </c:pt>
                <c:pt idx="141">
                  <c:v>18.827500000000001</c:v>
                </c:pt>
                <c:pt idx="142">
                  <c:v>18.9453</c:v>
                </c:pt>
                <c:pt idx="143">
                  <c:v>18.693999999999999</c:v>
                </c:pt>
                <c:pt idx="144">
                  <c:v>18.545100000000001</c:v>
                </c:pt>
                <c:pt idx="145">
                  <c:v>18.534199999999998</c:v>
                </c:pt>
                <c:pt idx="146">
                  <c:v>18.959299999999999</c:v>
                </c:pt>
                <c:pt idx="147">
                  <c:v>18.4101</c:v>
                </c:pt>
                <c:pt idx="148">
                  <c:v>18.082799999999999</c:v>
                </c:pt>
                <c:pt idx="149">
                  <c:v>17.817599999999999</c:v>
                </c:pt>
                <c:pt idx="150">
                  <c:v>18.0611</c:v>
                </c:pt>
                <c:pt idx="151">
                  <c:v>18.039400000000001</c:v>
                </c:pt>
                <c:pt idx="152">
                  <c:v>17.0852</c:v>
                </c:pt>
                <c:pt idx="153">
                  <c:v>16.158200000000001</c:v>
                </c:pt>
                <c:pt idx="154">
                  <c:v>16.3794</c:v>
                </c:pt>
              </c:numCache>
            </c:numRef>
          </c:val>
          <c:smooth val="0"/>
          <c:extLst>
            <c:ext xmlns:c16="http://schemas.microsoft.com/office/drawing/2014/chart" uri="{C3380CC4-5D6E-409C-BE32-E72D297353CC}">
              <c16:uniqueId val="{00000001-C6A3-42EA-AD84-0EA2783F3814}"/>
            </c:ext>
          </c:extLst>
        </c:ser>
        <c:ser>
          <c:idx val="2"/>
          <c:order val="2"/>
          <c:tx>
            <c:strRef>
              <c:f>Inputs!$B$22</c:f>
              <c:strCache>
                <c:ptCount val="1"/>
                <c:pt idx="0">
                  <c:v>NORTHROP GRUMMAN</c:v>
                </c:pt>
              </c:strCache>
            </c:strRef>
          </c:tx>
          <c:spPr>
            <a:ln w="28575" cap="rnd">
              <a:solidFill>
                <a:schemeClr val="accent5"/>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Data'!$E$5:$E$159</c:f>
              <c:numCache>
                <c:formatCode>0.0</c:formatCode>
                <c:ptCount val="155"/>
                <c:pt idx="0">
                  <c:v>17.319600000000001</c:v>
                </c:pt>
                <c:pt idx="1">
                  <c:v>17.393999999999998</c:v>
                </c:pt>
                <c:pt idx="2">
                  <c:v>17.5169</c:v>
                </c:pt>
                <c:pt idx="3">
                  <c:v>17.7515</c:v>
                </c:pt>
                <c:pt idx="4">
                  <c:v>17.8124</c:v>
                </c:pt>
                <c:pt idx="5">
                  <c:v>17.597100000000001</c:v>
                </c:pt>
                <c:pt idx="6">
                  <c:v>17.524699999999999</c:v>
                </c:pt>
                <c:pt idx="7">
                  <c:v>17.6601</c:v>
                </c:pt>
                <c:pt idx="8">
                  <c:v>17.236000000000001</c:v>
                </c:pt>
                <c:pt idx="9">
                  <c:v>16.017299999999999</c:v>
                </c:pt>
                <c:pt idx="10">
                  <c:v>15.904</c:v>
                </c:pt>
                <c:pt idx="11">
                  <c:v>16.2957</c:v>
                </c:pt>
                <c:pt idx="12">
                  <c:v>16.2957</c:v>
                </c:pt>
                <c:pt idx="13">
                  <c:v>16.396599999999999</c:v>
                </c:pt>
                <c:pt idx="14">
                  <c:v>16.915099999999999</c:v>
                </c:pt>
                <c:pt idx="15">
                  <c:v>16.1706</c:v>
                </c:pt>
                <c:pt idx="16">
                  <c:v>16.0441</c:v>
                </c:pt>
                <c:pt idx="17">
                  <c:v>15.6813</c:v>
                </c:pt>
                <c:pt idx="18">
                  <c:v>15.7279</c:v>
                </c:pt>
                <c:pt idx="19">
                  <c:v>15.9855</c:v>
                </c:pt>
                <c:pt idx="20">
                  <c:v>16.2254</c:v>
                </c:pt>
                <c:pt idx="21">
                  <c:v>15.7288</c:v>
                </c:pt>
                <c:pt idx="22">
                  <c:v>17.4071</c:v>
                </c:pt>
                <c:pt idx="23">
                  <c:v>17.4071</c:v>
                </c:pt>
                <c:pt idx="24">
                  <c:v>16.0839</c:v>
                </c:pt>
                <c:pt idx="25">
                  <c:v>15.363300000000001</c:v>
                </c:pt>
                <c:pt idx="26">
                  <c:v>14.821899999999999</c:v>
                </c:pt>
                <c:pt idx="27">
                  <c:v>14.675800000000001</c:v>
                </c:pt>
                <c:pt idx="28">
                  <c:v>14.7159</c:v>
                </c:pt>
                <c:pt idx="29">
                  <c:v>14.090999999999999</c:v>
                </c:pt>
                <c:pt idx="30">
                  <c:v>13.743499999999999</c:v>
                </c:pt>
                <c:pt idx="31">
                  <c:v>13.515000000000001</c:v>
                </c:pt>
                <c:pt idx="32">
                  <c:v>14.263500000000001</c:v>
                </c:pt>
                <c:pt idx="33">
                  <c:v>14.7349</c:v>
                </c:pt>
                <c:pt idx="34">
                  <c:v>15.062099999999999</c:v>
                </c:pt>
                <c:pt idx="35">
                  <c:v>14.6905</c:v>
                </c:pt>
                <c:pt idx="36">
                  <c:v>14.0892</c:v>
                </c:pt>
                <c:pt idx="37">
                  <c:v>14.3209</c:v>
                </c:pt>
                <c:pt idx="38">
                  <c:v>19.662199999999999</c:v>
                </c:pt>
                <c:pt idx="39">
                  <c:v>19.600100000000001</c:v>
                </c:pt>
                <c:pt idx="40">
                  <c:v>19.959199999999999</c:v>
                </c:pt>
                <c:pt idx="41">
                  <c:v>19.741199999999999</c:v>
                </c:pt>
                <c:pt idx="42">
                  <c:v>20.290500000000002</c:v>
                </c:pt>
                <c:pt idx="43">
                  <c:v>20.5383</c:v>
                </c:pt>
                <c:pt idx="44">
                  <c:v>20.439499999999999</c:v>
                </c:pt>
                <c:pt idx="45">
                  <c:v>21.640999999999998</c:v>
                </c:pt>
                <c:pt idx="46">
                  <c:v>20.884399999999999</c:v>
                </c:pt>
                <c:pt idx="47">
                  <c:v>21.310099999999998</c:v>
                </c:pt>
                <c:pt idx="48">
                  <c:v>21.771599999999999</c:v>
                </c:pt>
                <c:pt idx="49">
                  <c:v>21.6995</c:v>
                </c:pt>
                <c:pt idx="50">
                  <c:v>21.976600000000001</c:v>
                </c:pt>
                <c:pt idx="51">
                  <c:v>22.2818</c:v>
                </c:pt>
                <c:pt idx="52">
                  <c:v>22.222899999999999</c:v>
                </c:pt>
                <c:pt idx="53">
                  <c:v>22.033300000000001</c:v>
                </c:pt>
                <c:pt idx="54">
                  <c:v>21.863900000000001</c:v>
                </c:pt>
                <c:pt idx="55">
                  <c:v>22.154900000000001</c:v>
                </c:pt>
                <c:pt idx="56">
                  <c:v>21.6632</c:v>
                </c:pt>
                <c:pt idx="57">
                  <c:v>21.568300000000001</c:v>
                </c:pt>
                <c:pt idx="58">
                  <c:v>21.131599999999999</c:v>
                </c:pt>
                <c:pt idx="59">
                  <c:v>21.138999999999999</c:v>
                </c:pt>
                <c:pt idx="60">
                  <c:v>20.633900000000001</c:v>
                </c:pt>
                <c:pt idx="61">
                  <c:v>19.317699999999999</c:v>
                </c:pt>
                <c:pt idx="62">
                  <c:v>19.113199999999999</c:v>
                </c:pt>
                <c:pt idx="63">
                  <c:v>19.202500000000001</c:v>
                </c:pt>
                <c:pt idx="64">
                  <c:v>19.9023</c:v>
                </c:pt>
                <c:pt idx="65">
                  <c:v>19.759499999999999</c:v>
                </c:pt>
                <c:pt idx="66">
                  <c:v>19.4635</c:v>
                </c:pt>
                <c:pt idx="67">
                  <c:v>20.053599999999999</c:v>
                </c:pt>
                <c:pt idx="68">
                  <c:v>20.450600000000001</c:v>
                </c:pt>
                <c:pt idx="69">
                  <c:v>21.03</c:v>
                </c:pt>
                <c:pt idx="70">
                  <c:v>21.170200000000001</c:v>
                </c:pt>
                <c:pt idx="71">
                  <c:v>21.339700000000001</c:v>
                </c:pt>
                <c:pt idx="72">
                  <c:v>21.128399999999999</c:v>
                </c:pt>
                <c:pt idx="73">
                  <c:v>21.5487</c:v>
                </c:pt>
                <c:pt idx="74">
                  <c:v>20.904900000000001</c:v>
                </c:pt>
                <c:pt idx="75">
                  <c:v>20.665299999999998</c:v>
                </c:pt>
                <c:pt idx="76">
                  <c:v>20.605699999999999</c:v>
                </c:pt>
                <c:pt idx="77">
                  <c:v>21.2593</c:v>
                </c:pt>
                <c:pt idx="78">
                  <c:v>21.2593</c:v>
                </c:pt>
                <c:pt idx="79">
                  <c:v>21.217500000000001</c:v>
                </c:pt>
                <c:pt idx="80">
                  <c:v>21.130400000000002</c:v>
                </c:pt>
                <c:pt idx="81">
                  <c:v>20.952300000000001</c:v>
                </c:pt>
                <c:pt idx="82">
                  <c:v>21.192399999999999</c:v>
                </c:pt>
                <c:pt idx="83">
                  <c:v>20.799800000000001</c:v>
                </c:pt>
                <c:pt idx="84">
                  <c:v>20.953099999999999</c:v>
                </c:pt>
                <c:pt idx="85">
                  <c:v>20.630199999999999</c:v>
                </c:pt>
                <c:pt idx="86">
                  <c:v>20.296399999999998</c:v>
                </c:pt>
                <c:pt idx="87">
                  <c:v>21.647500000000001</c:v>
                </c:pt>
                <c:pt idx="88">
                  <c:v>22.06</c:v>
                </c:pt>
                <c:pt idx="89">
                  <c:v>21.624500000000001</c:v>
                </c:pt>
                <c:pt idx="90">
                  <c:v>16.311699999999998</c:v>
                </c:pt>
                <c:pt idx="91">
                  <c:v>16.165199999999999</c:v>
                </c:pt>
                <c:pt idx="92">
                  <c:v>16.104299999999999</c:v>
                </c:pt>
                <c:pt idx="93">
                  <c:v>16.5489</c:v>
                </c:pt>
                <c:pt idx="94">
                  <c:v>16.6539</c:v>
                </c:pt>
                <c:pt idx="95">
                  <c:v>16.410499999999999</c:v>
                </c:pt>
                <c:pt idx="96">
                  <c:v>16.195599999999999</c:v>
                </c:pt>
                <c:pt idx="97">
                  <c:v>16.1693</c:v>
                </c:pt>
                <c:pt idx="98">
                  <c:v>16.382999999999999</c:v>
                </c:pt>
                <c:pt idx="99">
                  <c:v>16.4559</c:v>
                </c:pt>
                <c:pt idx="100">
                  <c:v>16.873000000000001</c:v>
                </c:pt>
                <c:pt idx="101">
                  <c:v>17.003599999999999</c:v>
                </c:pt>
                <c:pt idx="102">
                  <c:v>15.0402</c:v>
                </c:pt>
                <c:pt idx="103">
                  <c:v>15.9955</c:v>
                </c:pt>
                <c:pt idx="104">
                  <c:v>15.532299999999999</c:v>
                </c:pt>
                <c:pt idx="105">
                  <c:v>15.7925</c:v>
                </c:pt>
                <c:pt idx="106">
                  <c:v>15.466200000000001</c:v>
                </c:pt>
                <c:pt idx="107">
                  <c:v>15.857100000000001</c:v>
                </c:pt>
                <c:pt idx="108">
                  <c:v>15.673500000000001</c:v>
                </c:pt>
                <c:pt idx="109">
                  <c:v>15.6919</c:v>
                </c:pt>
                <c:pt idx="110">
                  <c:v>15.7186</c:v>
                </c:pt>
                <c:pt idx="111">
                  <c:v>15.945499999999999</c:v>
                </c:pt>
                <c:pt idx="112">
                  <c:v>16.283000000000001</c:v>
                </c:pt>
                <c:pt idx="113">
                  <c:v>16.447199999999999</c:v>
                </c:pt>
                <c:pt idx="114">
                  <c:v>16.3626</c:v>
                </c:pt>
                <c:pt idx="115">
                  <c:v>16.4177</c:v>
                </c:pt>
                <c:pt idx="116">
                  <c:v>16.519500000000001</c:v>
                </c:pt>
                <c:pt idx="117">
                  <c:v>16.659500000000001</c:v>
                </c:pt>
                <c:pt idx="118">
                  <c:v>16.790500000000002</c:v>
                </c:pt>
                <c:pt idx="119">
                  <c:v>16.665900000000001</c:v>
                </c:pt>
                <c:pt idx="120">
                  <c:v>16.348400000000002</c:v>
                </c:pt>
                <c:pt idx="121">
                  <c:v>16.180599999999998</c:v>
                </c:pt>
                <c:pt idx="122">
                  <c:v>16.332599999999999</c:v>
                </c:pt>
                <c:pt idx="123">
                  <c:v>16.193999999999999</c:v>
                </c:pt>
                <c:pt idx="124">
                  <c:v>16.4391</c:v>
                </c:pt>
                <c:pt idx="125">
                  <c:v>16.8794</c:v>
                </c:pt>
                <c:pt idx="126">
                  <c:v>17.223500000000001</c:v>
                </c:pt>
                <c:pt idx="127">
                  <c:v>17.241199999999999</c:v>
                </c:pt>
                <c:pt idx="128">
                  <c:v>16.914100000000001</c:v>
                </c:pt>
                <c:pt idx="129">
                  <c:v>16.914100000000001</c:v>
                </c:pt>
                <c:pt idx="130">
                  <c:v>16.520399999999999</c:v>
                </c:pt>
                <c:pt idx="131">
                  <c:v>16.248699999999999</c:v>
                </c:pt>
                <c:pt idx="132">
                  <c:v>16.749700000000001</c:v>
                </c:pt>
                <c:pt idx="133">
                  <c:v>16.984999999999999</c:v>
                </c:pt>
                <c:pt idx="134">
                  <c:v>17.0943</c:v>
                </c:pt>
                <c:pt idx="135">
                  <c:v>17.085699999999999</c:v>
                </c:pt>
                <c:pt idx="136">
                  <c:v>16.876100000000001</c:v>
                </c:pt>
                <c:pt idx="137">
                  <c:v>16.1571</c:v>
                </c:pt>
                <c:pt idx="138">
                  <c:v>16.064499999999999</c:v>
                </c:pt>
                <c:pt idx="139">
                  <c:v>16.5487</c:v>
                </c:pt>
                <c:pt idx="140">
                  <c:v>16.881</c:v>
                </c:pt>
                <c:pt idx="141">
                  <c:v>18.748899999999999</c:v>
                </c:pt>
                <c:pt idx="142">
                  <c:v>20.490300000000001</c:v>
                </c:pt>
                <c:pt idx="143">
                  <c:v>20.1374</c:v>
                </c:pt>
                <c:pt idx="144">
                  <c:v>19.977900000000002</c:v>
                </c:pt>
                <c:pt idx="145">
                  <c:v>19.947600000000001</c:v>
                </c:pt>
                <c:pt idx="146">
                  <c:v>20.489899999999999</c:v>
                </c:pt>
                <c:pt idx="147">
                  <c:v>19.9115</c:v>
                </c:pt>
                <c:pt idx="148">
                  <c:v>19.670300000000001</c:v>
                </c:pt>
                <c:pt idx="149">
                  <c:v>18.767900000000001</c:v>
                </c:pt>
                <c:pt idx="150">
                  <c:v>19.7468</c:v>
                </c:pt>
                <c:pt idx="151">
                  <c:v>20.5717</c:v>
                </c:pt>
                <c:pt idx="152">
                  <c:v>19.831499999999998</c:v>
                </c:pt>
                <c:pt idx="153">
                  <c:v>17.918199999999999</c:v>
                </c:pt>
                <c:pt idx="154">
                  <c:v>18.9621</c:v>
                </c:pt>
              </c:numCache>
            </c:numRef>
          </c:val>
          <c:smooth val="0"/>
          <c:extLst>
            <c:ext xmlns:c16="http://schemas.microsoft.com/office/drawing/2014/chart" uri="{C3380CC4-5D6E-409C-BE32-E72D297353CC}">
              <c16:uniqueId val="{00000002-C6A3-42EA-AD84-0EA2783F3814}"/>
            </c:ext>
          </c:extLst>
        </c:ser>
        <c:ser>
          <c:idx val="3"/>
          <c:order val="3"/>
          <c:tx>
            <c:strRef>
              <c:f>Inputs!$B$23</c:f>
              <c:strCache>
                <c:ptCount val="1"/>
                <c:pt idx="0">
                  <c:v>AEROVIRONMENT IN</c:v>
                </c:pt>
              </c:strCache>
            </c:strRef>
          </c:tx>
          <c:spPr>
            <a:ln w="28575" cap="rnd">
              <a:solidFill>
                <a:schemeClr val="accent1">
                  <a:lumMod val="60000"/>
                </a:schemeClr>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Data'!$F$5:$F$159</c:f>
              <c:numCache>
                <c:formatCode>0.0</c:formatCode>
                <c:ptCount val="155"/>
                <c:pt idx="0">
                  <c:v>164.4589</c:v>
                </c:pt>
                <c:pt idx="1">
                  <c:v>143.6848</c:v>
                </c:pt>
                <c:pt idx="2">
                  <c:v>133.79740000000001</c:v>
                </c:pt>
                <c:pt idx="3">
                  <c:v>142.72059999999999</c:v>
                </c:pt>
                <c:pt idx="4">
                  <c:v>141.8382</c:v>
                </c:pt>
                <c:pt idx="5">
                  <c:v>145.81780000000001</c:v>
                </c:pt>
                <c:pt idx="6">
                  <c:v>144.57740000000001</c:v>
                </c:pt>
                <c:pt idx="7">
                  <c:v>139.80529999999999</c:v>
                </c:pt>
                <c:pt idx="8">
                  <c:v>146.679</c:v>
                </c:pt>
                <c:pt idx="9">
                  <c:v>147.29599999999999</c:v>
                </c:pt>
                <c:pt idx="10">
                  <c:v>141.80670000000001</c:v>
                </c:pt>
                <c:pt idx="11">
                  <c:v>138.42769999999999</c:v>
                </c:pt>
                <c:pt idx="12">
                  <c:v>138.42769999999999</c:v>
                </c:pt>
                <c:pt idx="13">
                  <c:v>94.392399999999995</c:v>
                </c:pt>
                <c:pt idx="14">
                  <c:v>97.0976</c:v>
                </c:pt>
                <c:pt idx="15">
                  <c:v>95.007900000000006</c:v>
                </c:pt>
                <c:pt idx="16">
                  <c:v>88.624499999999998</c:v>
                </c:pt>
                <c:pt idx="17">
                  <c:v>84.177000000000007</c:v>
                </c:pt>
                <c:pt idx="18">
                  <c:v>81.704999999999998</c:v>
                </c:pt>
                <c:pt idx="19">
                  <c:v>82.39</c:v>
                </c:pt>
                <c:pt idx="20">
                  <c:v>48.983199999999997</c:v>
                </c:pt>
                <c:pt idx="21">
                  <c:v>51.814999999999998</c:v>
                </c:pt>
                <c:pt idx="22">
                  <c:v>50.689100000000003</c:v>
                </c:pt>
                <c:pt idx="23">
                  <c:v>50.689100000000003</c:v>
                </c:pt>
                <c:pt idx="24">
                  <c:v>38.711199999999998</c:v>
                </c:pt>
                <c:pt idx="25">
                  <c:v>41.9163</c:v>
                </c:pt>
                <c:pt idx="26">
                  <c:v>43.325499999999998</c:v>
                </c:pt>
                <c:pt idx="27">
                  <c:v>44.859000000000002</c:v>
                </c:pt>
                <c:pt idx="28">
                  <c:v>45.853700000000003</c:v>
                </c:pt>
                <c:pt idx="29">
                  <c:v>51.798900000000003</c:v>
                </c:pt>
                <c:pt idx="30">
                  <c:v>53.583599999999997</c:v>
                </c:pt>
                <c:pt idx="31">
                  <c:v>54.343000000000004</c:v>
                </c:pt>
                <c:pt idx="32">
                  <c:v>61.226399999999998</c:v>
                </c:pt>
                <c:pt idx="33">
                  <c:v>62.338000000000001</c:v>
                </c:pt>
                <c:pt idx="34">
                  <c:v>50.960900000000002</c:v>
                </c:pt>
                <c:pt idx="35">
                  <c:v>47.665500000000002</c:v>
                </c:pt>
                <c:pt idx="36">
                  <c:v>46.613399999999999</c:v>
                </c:pt>
                <c:pt idx="37">
                  <c:v>45.473300000000002</c:v>
                </c:pt>
                <c:pt idx="38">
                  <c:v>44.523299999999999</c:v>
                </c:pt>
                <c:pt idx="39">
                  <c:v>46.329799999999999</c:v>
                </c:pt>
                <c:pt idx="40">
                  <c:v>44.194299999999998</c:v>
                </c:pt>
                <c:pt idx="41">
                  <c:v>46.131300000000003</c:v>
                </c:pt>
                <c:pt idx="42">
                  <c:v>54.9741</c:v>
                </c:pt>
                <c:pt idx="43">
                  <c:v>55.374000000000002</c:v>
                </c:pt>
                <c:pt idx="44">
                  <c:v>56.551000000000002</c:v>
                </c:pt>
                <c:pt idx="45">
                  <c:v>64.438100000000006</c:v>
                </c:pt>
                <c:pt idx="46">
                  <c:v>61.0717</c:v>
                </c:pt>
                <c:pt idx="47">
                  <c:v>53.049799999999998</c:v>
                </c:pt>
                <c:pt idx="48">
                  <c:v>52.1008</c:v>
                </c:pt>
                <c:pt idx="49">
                  <c:v>51.719299999999997</c:v>
                </c:pt>
                <c:pt idx="50">
                  <c:v>49.922800000000002</c:v>
                </c:pt>
                <c:pt idx="51">
                  <c:v>47.8172</c:v>
                </c:pt>
                <c:pt idx="52">
                  <c:v>43.840299999999999</c:v>
                </c:pt>
                <c:pt idx="53">
                  <c:v>46.097999999999999</c:v>
                </c:pt>
                <c:pt idx="54">
                  <c:v>43.045900000000003</c:v>
                </c:pt>
                <c:pt idx="55">
                  <c:v>48.785200000000003</c:v>
                </c:pt>
                <c:pt idx="56">
                  <c:v>44.414999999999999</c:v>
                </c:pt>
                <c:pt idx="57">
                  <c:v>45.577100000000002</c:v>
                </c:pt>
                <c:pt idx="58">
                  <c:v>42.104100000000003</c:v>
                </c:pt>
                <c:pt idx="59">
                  <c:v>39.811199999999999</c:v>
                </c:pt>
                <c:pt idx="60">
                  <c:v>41.336599999999997</c:v>
                </c:pt>
                <c:pt idx="61">
                  <c:v>39.049599999999998</c:v>
                </c:pt>
                <c:pt idx="62">
                  <c:v>41.200699999999998</c:v>
                </c:pt>
                <c:pt idx="63">
                  <c:v>40.1633</c:v>
                </c:pt>
                <c:pt idx="64">
                  <c:v>43.325499999999998</c:v>
                </c:pt>
                <c:pt idx="65">
                  <c:v>45.074199999999998</c:v>
                </c:pt>
                <c:pt idx="66">
                  <c:v>51.217799999999997</c:v>
                </c:pt>
                <c:pt idx="67">
                  <c:v>48.129300000000001</c:v>
                </c:pt>
                <c:pt idx="68">
                  <c:v>48.0959</c:v>
                </c:pt>
                <c:pt idx="69">
                  <c:v>47.528300000000002</c:v>
                </c:pt>
                <c:pt idx="70">
                  <c:v>46.111600000000003</c:v>
                </c:pt>
                <c:pt idx="71">
                  <c:v>44.356299999999997</c:v>
                </c:pt>
                <c:pt idx="72">
                  <c:v>40.134999999999998</c:v>
                </c:pt>
                <c:pt idx="73">
                  <c:v>38.502400000000002</c:v>
                </c:pt>
                <c:pt idx="74">
                  <c:v>38.502400000000002</c:v>
                </c:pt>
                <c:pt idx="75">
                  <c:v>38.502400000000002</c:v>
                </c:pt>
                <c:pt idx="76">
                  <c:v>38.502400000000002</c:v>
                </c:pt>
                <c:pt idx="77">
                  <c:v>38.502400000000002</c:v>
                </c:pt>
                <c:pt idx="78">
                  <c:v>38.502400000000002</c:v>
                </c:pt>
                <c:pt idx="79">
                  <c:v>38.502400000000002</c:v>
                </c:pt>
                <c:pt idx="80">
                  <c:v>38.502400000000002</c:v>
                </c:pt>
                <c:pt idx="81">
                  <c:v>38.502400000000002</c:v>
                </c:pt>
                <c:pt idx="82">
                  <c:v>38.502400000000002</c:v>
                </c:pt>
                <c:pt idx="83">
                  <c:v>38.502400000000002</c:v>
                </c:pt>
                <c:pt idx="84">
                  <c:v>38.502400000000002</c:v>
                </c:pt>
                <c:pt idx="85">
                  <c:v>38.502400000000002</c:v>
                </c:pt>
                <c:pt idx="86">
                  <c:v>38.502400000000002</c:v>
                </c:pt>
                <c:pt idx="87">
                  <c:v>38.502400000000002</c:v>
                </c:pt>
                <c:pt idx="88">
                  <c:v>38.502400000000002</c:v>
                </c:pt>
                <c:pt idx="89">
                  <c:v>38.502400000000002</c:v>
                </c:pt>
                <c:pt idx="90">
                  <c:v>38.502400000000002</c:v>
                </c:pt>
                <c:pt idx="91">
                  <c:v>38.502400000000002</c:v>
                </c:pt>
                <c:pt idx="92">
                  <c:v>38.502400000000002</c:v>
                </c:pt>
                <c:pt idx="93">
                  <c:v>38.502400000000002</c:v>
                </c:pt>
                <c:pt idx="94">
                  <c:v>38.502400000000002</c:v>
                </c:pt>
                <c:pt idx="95">
                  <c:v>38.502400000000002</c:v>
                </c:pt>
                <c:pt idx="96">
                  <c:v>38.502400000000002</c:v>
                </c:pt>
                <c:pt idx="97">
                  <c:v>38.502400000000002</c:v>
                </c:pt>
                <c:pt idx="98">
                  <c:v>38.502400000000002</c:v>
                </c:pt>
                <c:pt idx="99">
                  <c:v>38.502400000000002</c:v>
                </c:pt>
                <c:pt idx="100">
                  <c:v>38.502400000000002</c:v>
                </c:pt>
                <c:pt idx="101">
                  <c:v>38.502400000000002</c:v>
                </c:pt>
                <c:pt idx="102">
                  <c:v>38.502400000000002</c:v>
                </c:pt>
                <c:pt idx="103">
                  <c:v>38.502400000000002</c:v>
                </c:pt>
                <c:pt idx="104">
                  <c:v>38.502400000000002</c:v>
                </c:pt>
                <c:pt idx="105">
                  <c:v>38.502400000000002</c:v>
                </c:pt>
                <c:pt idx="106">
                  <c:v>38.502400000000002</c:v>
                </c:pt>
                <c:pt idx="107">
                  <c:v>38.502400000000002</c:v>
                </c:pt>
                <c:pt idx="108">
                  <c:v>38.502400000000002</c:v>
                </c:pt>
                <c:pt idx="109">
                  <c:v>38.502400000000002</c:v>
                </c:pt>
                <c:pt idx="110">
                  <c:v>38.502400000000002</c:v>
                </c:pt>
                <c:pt idx="111">
                  <c:v>38.502400000000002</c:v>
                </c:pt>
                <c:pt idx="112">
                  <c:v>38.502400000000002</c:v>
                </c:pt>
                <c:pt idx="113">
                  <c:v>38.502400000000002</c:v>
                </c:pt>
                <c:pt idx="114">
                  <c:v>38.502400000000002</c:v>
                </c:pt>
                <c:pt idx="115">
                  <c:v>38.502400000000002</c:v>
                </c:pt>
                <c:pt idx="116">
                  <c:v>38.502400000000002</c:v>
                </c:pt>
                <c:pt idx="117">
                  <c:v>38.502400000000002</c:v>
                </c:pt>
                <c:pt idx="118">
                  <c:v>38.502400000000002</c:v>
                </c:pt>
                <c:pt idx="119">
                  <c:v>38.502400000000002</c:v>
                </c:pt>
                <c:pt idx="120">
                  <c:v>38.502400000000002</c:v>
                </c:pt>
                <c:pt idx="121">
                  <c:v>38.502400000000002</c:v>
                </c:pt>
                <c:pt idx="122">
                  <c:v>38.502400000000002</c:v>
                </c:pt>
                <c:pt idx="123">
                  <c:v>38.502400000000002</c:v>
                </c:pt>
                <c:pt idx="124">
                  <c:v>38.502400000000002</c:v>
                </c:pt>
                <c:pt idx="125">
                  <c:v>38.502400000000002</c:v>
                </c:pt>
                <c:pt idx="126">
                  <c:v>39.247900000000001</c:v>
                </c:pt>
                <c:pt idx="127">
                  <c:v>40.559800000000003</c:v>
                </c:pt>
                <c:pt idx="128">
                  <c:v>35.202399999999997</c:v>
                </c:pt>
                <c:pt idx="129">
                  <c:v>35.202399999999997</c:v>
                </c:pt>
                <c:pt idx="130">
                  <c:v>34.617699999999999</c:v>
                </c:pt>
                <c:pt idx="131">
                  <c:v>34.738300000000002</c:v>
                </c:pt>
                <c:pt idx="132">
                  <c:v>34.793100000000003</c:v>
                </c:pt>
                <c:pt idx="133">
                  <c:v>34.191200000000002</c:v>
                </c:pt>
                <c:pt idx="134">
                  <c:v>32.684600000000003</c:v>
                </c:pt>
                <c:pt idx="135">
                  <c:v>33.630800000000001</c:v>
                </c:pt>
                <c:pt idx="136">
                  <c:v>33.816400000000002</c:v>
                </c:pt>
                <c:pt idx="137">
                  <c:v>35.170099999999998</c:v>
                </c:pt>
                <c:pt idx="138">
                  <c:v>45.042999999999999</c:v>
                </c:pt>
                <c:pt idx="139">
                  <c:v>42.264699999999998</c:v>
                </c:pt>
                <c:pt idx="140">
                  <c:v>44.901400000000002</c:v>
                </c:pt>
                <c:pt idx="141">
                  <c:v>43.827199999999998</c:v>
                </c:pt>
                <c:pt idx="142">
                  <c:v>43.607500000000002</c:v>
                </c:pt>
                <c:pt idx="143">
                  <c:v>43.148499999999999</c:v>
                </c:pt>
                <c:pt idx="144">
                  <c:v>41.752000000000002</c:v>
                </c:pt>
                <c:pt idx="145">
                  <c:v>41.883899999999997</c:v>
                </c:pt>
                <c:pt idx="146">
                  <c:v>46.732599999999998</c:v>
                </c:pt>
                <c:pt idx="147">
                  <c:v>46.441600000000001</c:v>
                </c:pt>
                <c:pt idx="148">
                  <c:v>46.756799999999998</c:v>
                </c:pt>
                <c:pt idx="149">
                  <c:v>46.8538</c:v>
                </c:pt>
                <c:pt idx="150">
                  <c:v>42.988300000000002</c:v>
                </c:pt>
                <c:pt idx="151">
                  <c:v>35.369900000000001</c:v>
                </c:pt>
                <c:pt idx="152">
                  <c:v>31.474599999999999</c:v>
                </c:pt>
                <c:pt idx="153">
                  <c:v>29.920200000000001</c:v>
                </c:pt>
                <c:pt idx="154">
                  <c:v>30.388400000000001</c:v>
                </c:pt>
              </c:numCache>
            </c:numRef>
          </c:val>
          <c:smooth val="0"/>
          <c:extLst>
            <c:ext xmlns:c16="http://schemas.microsoft.com/office/drawing/2014/chart" uri="{C3380CC4-5D6E-409C-BE32-E72D297353CC}">
              <c16:uniqueId val="{00000003-C6A3-42EA-AD84-0EA2783F3814}"/>
            </c:ext>
          </c:extLst>
        </c:ser>
        <c:ser>
          <c:idx val="4"/>
          <c:order val="4"/>
          <c:tx>
            <c:strRef>
              <c:f>Inputs!$B$24</c:f>
              <c:strCache>
                <c:ptCount val="1"/>
                <c:pt idx="0">
                  <c:v>LEONARDO DRS INC</c:v>
                </c:pt>
              </c:strCache>
            </c:strRef>
          </c:tx>
          <c:spPr>
            <a:ln w="28575" cap="rnd">
              <a:solidFill>
                <a:schemeClr val="accent3">
                  <a:lumMod val="60000"/>
                </a:schemeClr>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Data'!$G$5:$G$159</c:f>
              <c:numCache>
                <c:formatCode>0.0</c:formatCode>
                <c:ptCount val="155"/>
                <c:pt idx="0">
                  <c:v>22.062799999999999</c:v>
                </c:pt>
                <c:pt idx="1">
                  <c:v>22.062799999999999</c:v>
                </c:pt>
                <c:pt idx="2">
                  <c:v>22.062799999999999</c:v>
                </c:pt>
                <c:pt idx="3">
                  <c:v>22.062799999999999</c:v>
                </c:pt>
                <c:pt idx="4">
                  <c:v>22.062799999999999</c:v>
                </c:pt>
                <c:pt idx="5">
                  <c:v>22.062799999999999</c:v>
                </c:pt>
                <c:pt idx="6">
                  <c:v>22.062799999999999</c:v>
                </c:pt>
                <c:pt idx="7">
                  <c:v>22.062799999999999</c:v>
                </c:pt>
                <c:pt idx="8">
                  <c:v>22.062799999999999</c:v>
                </c:pt>
                <c:pt idx="9">
                  <c:v>22.062799999999999</c:v>
                </c:pt>
                <c:pt idx="10">
                  <c:v>22.062799999999999</c:v>
                </c:pt>
                <c:pt idx="11">
                  <c:v>22.062799999999999</c:v>
                </c:pt>
                <c:pt idx="12">
                  <c:v>22.062799999999999</c:v>
                </c:pt>
                <c:pt idx="13">
                  <c:v>22.062799999999999</c:v>
                </c:pt>
                <c:pt idx="14">
                  <c:v>22.062799999999999</c:v>
                </c:pt>
                <c:pt idx="15">
                  <c:v>22.062799999999999</c:v>
                </c:pt>
                <c:pt idx="16">
                  <c:v>22.062799999999999</c:v>
                </c:pt>
                <c:pt idx="17">
                  <c:v>22.062799999999999</c:v>
                </c:pt>
                <c:pt idx="18">
                  <c:v>22.062799999999999</c:v>
                </c:pt>
                <c:pt idx="19">
                  <c:v>22.062799999999999</c:v>
                </c:pt>
                <c:pt idx="20">
                  <c:v>22.062799999999999</c:v>
                </c:pt>
                <c:pt idx="21">
                  <c:v>22.062799999999999</c:v>
                </c:pt>
                <c:pt idx="22">
                  <c:v>22.062799999999999</c:v>
                </c:pt>
                <c:pt idx="23">
                  <c:v>22.062799999999999</c:v>
                </c:pt>
                <c:pt idx="24">
                  <c:v>22.062799999999999</c:v>
                </c:pt>
                <c:pt idx="25">
                  <c:v>22.062799999999999</c:v>
                </c:pt>
                <c:pt idx="26">
                  <c:v>22.180199999999999</c:v>
                </c:pt>
                <c:pt idx="27">
                  <c:v>21.648499999999999</c:v>
                </c:pt>
                <c:pt idx="28">
                  <c:v>20.9787</c:v>
                </c:pt>
                <c:pt idx="29">
                  <c:v>20.359100000000002</c:v>
                </c:pt>
                <c:pt idx="30">
                  <c:v>19.257400000000001</c:v>
                </c:pt>
                <c:pt idx="31">
                  <c:v>19.408899999999999</c:v>
                </c:pt>
                <c:pt idx="32">
                  <c:v>23.2303</c:v>
                </c:pt>
                <c:pt idx="33">
                  <c:v>23.595199999999998</c:v>
                </c:pt>
                <c:pt idx="34">
                  <c:v>24.738199999999999</c:v>
                </c:pt>
                <c:pt idx="35">
                  <c:v>23.911899999999999</c:v>
                </c:pt>
                <c:pt idx="36">
                  <c:v>22.156199999999998</c:v>
                </c:pt>
                <c:pt idx="37">
                  <c:v>22.0322</c:v>
                </c:pt>
                <c:pt idx="38">
                  <c:v>24.017600000000002</c:v>
                </c:pt>
                <c:pt idx="39">
                  <c:v>24.3337</c:v>
                </c:pt>
                <c:pt idx="40">
                  <c:v>25.1312</c:v>
                </c:pt>
                <c:pt idx="41">
                  <c:v>27.257899999999999</c:v>
                </c:pt>
                <c:pt idx="42">
                  <c:v>25.619800000000001</c:v>
                </c:pt>
                <c:pt idx="43">
                  <c:v>26.6831</c:v>
                </c:pt>
                <c:pt idx="44">
                  <c:v>24.865400000000001</c:v>
                </c:pt>
                <c:pt idx="45">
                  <c:v>26.927399999999999</c:v>
                </c:pt>
                <c:pt idx="46">
                  <c:v>22.71</c:v>
                </c:pt>
                <c:pt idx="47">
                  <c:v>20.882100000000001</c:v>
                </c:pt>
                <c:pt idx="48">
                  <c:v>21.218900000000001</c:v>
                </c:pt>
                <c:pt idx="49">
                  <c:v>21.548500000000001</c:v>
                </c:pt>
                <c:pt idx="50">
                  <c:v>22.386900000000001</c:v>
                </c:pt>
                <c:pt idx="51">
                  <c:v>21.638300000000001</c:v>
                </c:pt>
                <c:pt idx="52">
                  <c:v>22.045100000000001</c:v>
                </c:pt>
                <c:pt idx="53">
                  <c:v>21.789000000000001</c:v>
                </c:pt>
                <c:pt idx="54">
                  <c:v>20.4818</c:v>
                </c:pt>
                <c:pt idx="55">
                  <c:v>22.1431</c:v>
                </c:pt>
                <c:pt idx="56">
                  <c:v>22.052700000000002</c:v>
                </c:pt>
                <c:pt idx="57">
                  <c:v>21.547899999999998</c:v>
                </c:pt>
                <c:pt idx="58">
                  <c:v>21.434799999999999</c:v>
                </c:pt>
                <c:pt idx="59">
                  <c:v>20.613600000000002</c:v>
                </c:pt>
                <c:pt idx="60">
                  <c:v>22.067299999999999</c:v>
                </c:pt>
                <c:pt idx="61">
                  <c:v>21.5335</c:v>
                </c:pt>
                <c:pt idx="62">
                  <c:v>20.6614</c:v>
                </c:pt>
                <c:pt idx="63">
                  <c:v>19.9697</c:v>
                </c:pt>
                <c:pt idx="64">
                  <c:v>20.774699999999999</c:v>
                </c:pt>
                <c:pt idx="65">
                  <c:v>21.160799999999998</c:v>
                </c:pt>
                <c:pt idx="66">
                  <c:v>20.105</c:v>
                </c:pt>
                <c:pt idx="67">
                  <c:v>19.797799999999999</c:v>
                </c:pt>
                <c:pt idx="68">
                  <c:v>19.230499999999999</c:v>
                </c:pt>
                <c:pt idx="69">
                  <c:v>19.521999999999998</c:v>
                </c:pt>
                <c:pt idx="70">
                  <c:v>19.073</c:v>
                </c:pt>
                <c:pt idx="71">
                  <c:v>18.576599999999999</c:v>
                </c:pt>
                <c:pt idx="72">
                  <c:v>17.3948</c:v>
                </c:pt>
                <c:pt idx="73">
                  <c:v>17.738</c:v>
                </c:pt>
                <c:pt idx="74">
                  <c:v>17.171099999999999</c:v>
                </c:pt>
                <c:pt idx="75">
                  <c:v>16.895600000000002</c:v>
                </c:pt>
                <c:pt idx="76">
                  <c:v>17.110700000000001</c:v>
                </c:pt>
                <c:pt idx="77">
                  <c:v>17.9999</c:v>
                </c:pt>
                <c:pt idx="78">
                  <c:v>17.9999</c:v>
                </c:pt>
                <c:pt idx="79">
                  <c:v>18.066400000000002</c:v>
                </c:pt>
                <c:pt idx="80">
                  <c:v>19.263200000000001</c:v>
                </c:pt>
                <c:pt idx="81">
                  <c:v>18.7895</c:v>
                </c:pt>
                <c:pt idx="82">
                  <c:v>17.4588</c:v>
                </c:pt>
                <c:pt idx="83">
                  <c:v>17.342600000000001</c:v>
                </c:pt>
                <c:pt idx="84">
                  <c:v>16.329599999999999</c:v>
                </c:pt>
                <c:pt idx="85">
                  <c:v>15.715199999999999</c:v>
                </c:pt>
                <c:pt idx="86">
                  <c:v>16.0639</c:v>
                </c:pt>
                <c:pt idx="87">
                  <c:v>15.6488</c:v>
                </c:pt>
                <c:pt idx="88">
                  <c:v>15.872999999999999</c:v>
                </c:pt>
                <c:pt idx="89">
                  <c:v>15.482699999999999</c:v>
                </c:pt>
                <c:pt idx="90">
                  <c:v>19.614000000000001</c:v>
                </c:pt>
                <c:pt idx="91">
                  <c:v>18.924499999999998</c:v>
                </c:pt>
                <c:pt idx="92">
                  <c:v>18.6648</c:v>
                </c:pt>
                <c:pt idx="93">
                  <c:v>18.2439</c:v>
                </c:pt>
                <c:pt idx="94">
                  <c:v>18.646899999999999</c:v>
                </c:pt>
                <c:pt idx="95">
                  <c:v>18.512599999999999</c:v>
                </c:pt>
                <c:pt idx="96">
                  <c:v>18.288699999999999</c:v>
                </c:pt>
                <c:pt idx="97">
                  <c:v>19.399100000000001</c:v>
                </c:pt>
                <c:pt idx="98">
                  <c:v>19.614000000000001</c:v>
                </c:pt>
                <c:pt idx="99">
                  <c:v>18.649799999999999</c:v>
                </c:pt>
                <c:pt idx="100">
                  <c:v>18.5335</c:v>
                </c:pt>
                <c:pt idx="101">
                  <c:v>18.560300000000002</c:v>
                </c:pt>
                <c:pt idx="102">
                  <c:v>16.745100000000001</c:v>
                </c:pt>
                <c:pt idx="103">
                  <c:v>8.0601000000000003</c:v>
                </c:pt>
                <c:pt idx="104">
                  <c:v>7.9131</c:v>
                </c:pt>
                <c:pt idx="105">
                  <c:v>8.0556999999999999</c:v>
                </c:pt>
                <c:pt idx="106">
                  <c:v>8.1379000000000001</c:v>
                </c:pt>
                <c:pt idx="107">
                  <c:v>8.3713999999999995</c:v>
                </c:pt>
                <c:pt idx="108">
                  <c:v>7.9303999999999997</c:v>
                </c:pt>
                <c:pt idx="109">
                  <c:v>7.8871000000000002</c:v>
                </c:pt>
                <c:pt idx="110">
                  <c:v>8.2286999999999999</c:v>
                </c:pt>
                <c:pt idx="111">
                  <c:v>8.2243999999999993</c:v>
                </c:pt>
                <c:pt idx="112">
                  <c:v>8.0884999999999998</c:v>
                </c:pt>
                <c:pt idx="113">
                  <c:v>8.2263000000000002</c:v>
                </c:pt>
                <c:pt idx="114">
                  <c:v>8.1702999999999992</c:v>
                </c:pt>
                <c:pt idx="115">
                  <c:v>8.0067000000000004</c:v>
                </c:pt>
                <c:pt idx="116">
                  <c:v>8.3081999999999994</c:v>
                </c:pt>
                <c:pt idx="117">
                  <c:v>7.8648999999999996</c:v>
                </c:pt>
                <c:pt idx="118">
                  <c:v>8.0686999999999998</c:v>
                </c:pt>
                <c:pt idx="119">
                  <c:v>7.7652000000000001</c:v>
                </c:pt>
                <c:pt idx="120">
                  <c:v>7.4443999999999999</c:v>
                </c:pt>
                <c:pt idx="121">
                  <c:v>7.0801999999999996</c:v>
                </c:pt>
                <c:pt idx="122">
                  <c:v>7.4573999999999998</c:v>
                </c:pt>
                <c:pt idx="123">
                  <c:v>7.2752999999999997</c:v>
                </c:pt>
                <c:pt idx="124">
                  <c:v>7.5441000000000003</c:v>
                </c:pt>
                <c:pt idx="125">
                  <c:v>7.2381000000000002</c:v>
                </c:pt>
                <c:pt idx="126">
                  <c:v>7.2294</c:v>
                </c:pt>
                <c:pt idx="127">
                  <c:v>7.0865999999999998</c:v>
                </c:pt>
                <c:pt idx="128">
                  <c:v>6.3376999999999999</c:v>
                </c:pt>
                <c:pt idx="129">
                  <c:v>6.3376999999999999</c:v>
                </c:pt>
                <c:pt idx="130">
                  <c:v>5.4814999999999996</c:v>
                </c:pt>
                <c:pt idx="131">
                  <c:v>5.3360000000000003</c:v>
                </c:pt>
                <c:pt idx="132">
                  <c:v>5.3525999999999998</c:v>
                </c:pt>
                <c:pt idx="133">
                  <c:v>5.5563000000000002</c:v>
                </c:pt>
                <c:pt idx="134">
                  <c:v>5.5895000000000001</c:v>
                </c:pt>
                <c:pt idx="135">
                  <c:v>5.6102999999999996</c:v>
                </c:pt>
                <c:pt idx="136">
                  <c:v>5.7557999999999998</c:v>
                </c:pt>
                <c:pt idx="137">
                  <c:v>5.6726999999999999</c:v>
                </c:pt>
                <c:pt idx="138">
                  <c:v>5.7432999999999996</c:v>
                </c:pt>
                <c:pt idx="139">
                  <c:v>5.4981</c:v>
                </c:pt>
                <c:pt idx="140">
                  <c:v>5.6227999999999998</c:v>
                </c:pt>
                <c:pt idx="141">
                  <c:v>5.4024999999999999</c:v>
                </c:pt>
                <c:pt idx="142">
                  <c:v>6.1024000000000003</c:v>
                </c:pt>
                <c:pt idx="143">
                  <c:v>6.2584</c:v>
                </c:pt>
                <c:pt idx="144">
                  <c:v>5.8029999999999999</c:v>
                </c:pt>
                <c:pt idx="145">
                  <c:v>5.4488000000000003</c:v>
                </c:pt>
                <c:pt idx="146">
                  <c:v>4.8078000000000003</c:v>
                </c:pt>
                <c:pt idx="147">
                  <c:v>0</c:v>
                </c:pt>
                <c:pt idx="148">
                  <c:v>0</c:v>
                </c:pt>
                <c:pt idx="149">
                  <c:v>0</c:v>
                </c:pt>
                <c:pt idx="150">
                  <c:v>0</c:v>
                </c:pt>
                <c:pt idx="151">
                  <c:v>0</c:v>
                </c:pt>
                <c:pt idx="152">
                  <c:v>0</c:v>
                </c:pt>
                <c:pt idx="153">
                  <c:v>0</c:v>
                </c:pt>
                <c:pt idx="154">
                  <c:v>0</c:v>
                </c:pt>
              </c:numCache>
            </c:numRef>
          </c:val>
          <c:smooth val="0"/>
          <c:extLst>
            <c:ext xmlns:c16="http://schemas.microsoft.com/office/drawing/2014/chart" uri="{C3380CC4-5D6E-409C-BE32-E72D297353CC}">
              <c16:uniqueId val="{00000004-C6A3-42EA-AD84-0EA2783F3814}"/>
            </c:ext>
          </c:extLst>
        </c:ser>
        <c:ser>
          <c:idx val="5"/>
          <c:order val="5"/>
          <c:tx>
            <c:strRef>
              <c:f>Inputs!$B$25</c:f>
              <c:strCache>
                <c:ptCount val="1"/>
                <c:pt idx="0">
                  <c:v>CURTISS-WRIGHT</c:v>
                </c:pt>
              </c:strCache>
            </c:strRef>
          </c:tx>
          <c:spPr>
            <a:ln w="28575" cap="rnd">
              <a:solidFill>
                <a:schemeClr val="accent5">
                  <a:lumMod val="60000"/>
                </a:schemeClr>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Data'!$H$5:$H$159</c:f>
              <c:numCache>
                <c:formatCode>0.0</c:formatCode>
                <c:ptCount val="155"/>
                <c:pt idx="0">
                  <c:v>28.808</c:v>
                </c:pt>
                <c:pt idx="1">
                  <c:v>28.5</c:v>
                </c:pt>
                <c:pt idx="2">
                  <c:v>27.032399999999999</c:v>
                </c:pt>
                <c:pt idx="3">
                  <c:v>26.842099999999999</c:v>
                </c:pt>
                <c:pt idx="4">
                  <c:v>26.991599999999998</c:v>
                </c:pt>
                <c:pt idx="5">
                  <c:v>27.337800000000001</c:v>
                </c:pt>
                <c:pt idx="6">
                  <c:v>26.534700000000001</c:v>
                </c:pt>
                <c:pt idx="7">
                  <c:v>27.679500000000001</c:v>
                </c:pt>
                <c:pt idx="8">
                  <c:v>27.212700000000002</c:v>
                </c:pt>
                <c:pt idx="9">
                  <c:v>27.373000000000001</c:v>
                </c:pt>
                <c:pt idx="10">
                  <c:v>26.587399999999999</c:v>
                </c:pt>
                <c:pt idx="11">
                  <c:v>28.796800000000001</c:v>
                </c:pt>
                <c:pt idx="12">
                  <c:v>28.796800000000001</c:v>
                </c:pt>
                <c:pt idx="13">
                  <c:v>27.622199999999999</c:v>
                </c:pt>
                <c:pt idx="14">
                  <c:v>27.987100000000002</c:v>
                </c:pt>
                <c:pt idx="15">
                  <c:v>26.815899999999999</c:v>
                </c:pt>
                <c:pt idx="16">
                  <c:v>26.117100000000001</c:v>
                </c:pt>
                <c:pt idx="17">
                  <c:v>25.4605</c:v>
                </c:pt>
                <c:pt idx="18">
                  <c:v>24.427900000000001</c:v>
                </c:pt>
                <c:pt idx="19">
                  <c:v>22.991499999999998</c:v>
                </c:pt>
                <c:pt idx="20">
                  <c:v>21.4755</c:v>
                </c:pt>
                <c:pt idx="21">
                  <c:v>20.3842</c:v>
                </c:pt>
                <c:pt idx="22">
                  <c:v>19.1662</c:v>
                </c:pt>
                <c:pt idx="23">
                  <c:v>19.1662</c:v>
                </c:pt>
                <c:pt idx="24">
                  <c:v>17.281500000000001</c:v>
                </c:pt>
                <c:pt idx="25">
                  <c:v>20.1004</c:v>
                </c:pt>
                <c:pt idx="26">
                  <c:v>20.588000000000001</c:v>
                </c:pt>
                <c:pt idx="27">
                  <c:v>20.431100000000001</c:v>
                </c:pt>
                <c:pt idx="28">
                  <c:v>19.9618</c:v>
                </c:pt>
                <c:pt idx="29">
                  <c:v>20.3719</c:v>
                </c:pt>
                <c:pt idx="30">
                  <c:v>20.0488</c:v>
                </c:pt>
                <c:pt idx="31">
                  <c:v>20.463100000000001</c:v>
                </c:pt>
                <c:pt idx="32">
                  <c:v>22.507300000000001</c:v>
                </c:pt>
                <c:pt idx="33">
                  <c:v>22.026</c:v>
                </c:pt>
                <c:pt idx="34">
                  <c:v>24.226800000000001</c:v>
                </c:pt>
                <c:pt idx="35">
                  <c:v>23.217600000000001</c:v>
                </c:pt>
                <c:pt idx="36">
                  <c:v>22.219200000000001</c:v>
                </c:pt>
                <c:pt idx="37">
                  <c:v>22.1739</c:v>
                </c:pt>
                <c:pt idx="38">
                  <c:v>22.303100000000001</c:v>
                </c:pt>
                <c:pt idx="39">
                  <c:v>22.000499999999999</c:v>
                </c:pt>
                <c:pt idx="40">
                  <c:v>22.748200000000001</c:v>
                </c:pt>
                <c:pt idx="41">
                  <c:v>23.283300000000001</c:v>
                </c:pt>
                <c:pt idx="42">
                  <c:v>23.1432</c:v>
                </c:pt>
                <c:pt idx="43">
                  <c:v>22.977799999999998</c:v>
                </c:pt>
                <c:pt idx="44">
                  <c:v>22.2437</c:v>
                </c:pt>
                <c:pt idx="45">
                  <c:v>23.861899999999999</c:v>
                </c:pt>
                <c:pt idx="46">
                  <c:v>21.682700000000001</c:v>
                </c:pt>
                <c:pt idx="47">
                  <c:v>21.6861</c:v>
                </c:pt>
                <c:pt idx="48">
                  <c:v>22.794799999999999</c:v>
                </c:pt>
                <c:pt idx="49">
                  <c:v>21.759799999999998</c:v>
                </c:pt>
                <c:pt idx="50">
                  <c:v>21.200099999999999</c:v>
                </c:pt>
                <c:pt idx="51">
                  <c:v>20.9055</c:v>
                </c:pt>
                <c:pt idx="52">
                  <c:v>21.0776</c:v>
                </c:pt>
                <c:pt idx="53">
                  <c:v>19.957699999999999</c:v>
                </c:pt>
                <c:pt idx="54">
                  <c:v>18.979700000000001</c:v>
                </c:pt>
                <c:pt idx="55">
                  <c:v>20.314499999999999</c:v>
                </c:pt>
                <c:pt idx="56">
                  <c:v>19.960100000000001</c:v>
                </c:pt>
                <c:pt idx="57">
                  <c:v>19.430700000000002</c:v>
                </c:pt>
                <c:pt idx="58">
                  <c:v>18.833600000000001</c:v>
                </c:pt>
                <c:pt idx="59">
                  <c:v>17.906700000000001</c:v>
                </c:pt>
                <c:pt idx="60">
                  <c:v>18.168700000000001</c:v>
                </c:pt>
                <c:pt idx="61">
                  <c:v>17.970700000000001</c:v>
                </c:pt>
                <c:pt idx="62">
                  <c:v>18.1204</c:v>
                </c:pt>
                <c:pt idx="63">
                  <c:v>17.6206</c:v>
                </c:pt>
                <c:pt idx="64">
                  <c:v>18.062799999999999</c:v>
                </c:pt>
                <c:pt idx="65">
                  <c:v>18.311699999999998</c:v>
                </c:pt>
                <c:pt idx="66">
                  <c:v>17.768899999999999</c:v>
                </c:pt>
                <c:pt idx="67">
                  <c:v>18.097999999999999</c:v>
                </c:pt>
                <c:pt idx="68">
                  <c:v>18.794</c:v>
                </c:pt>
                <c:pt idx="69">
                  <c:v>18.663699999999999</c:v>
                </c:pt>
                <c:pt idx="70">
                  <c:v>18.5093</c:v>
                </c:pt>
                <c:pt idx="71">
                  <c:v>18.454999999999998</c:v>
                </c:pt>
                <c:pt idx="72">
                  <c:v>17.889299999999999</c:v>
                </c:pt>
                <c:pt idx="73">
                  <c:v>16.979900000000001</c:v>
                </c:pt>
                <c:pt idx="74">
                  <c:v>16.747599999999998</c:v>
                </c:pt>
                <c:pt idx="75">
                  <c:v>16.6965</c:v>
                </c:pt>
                <c:pt idx="76">
                  <c:v>17.295400000000001</c:v>
                </c:pt>
                <c:pt idx="77">
                  <c:v>17.235099999999999</c:v>
                </c:pt>
                <c:pt idx="78">
                  <c:v>17.235099999999999</c:v>
                </c:pt>
                <c:pt idx="79">
                  <c:v>16.780899999999999</c:v>
                </c:pt>
                <c:pt idx="80">
                  <c:v>16.719799999999999</c:v>
                </c:pt>
                <c:pt idx="81">
                  <c:v>16.479399999999998</c:v>
                </c:pt>
                <c:pt idx="82">
                  <c:v>16.534099999999999</c:v>
                </c:pt>
                <c:pt idx="83">
                  <c:v>16.209099999999999</c:v>
                </c:pt>
                <c:pt idx="84">
                  <c:v>15.8978</c:v>
                </c:pt>
                <c:pt idx="85">
                  <c:v>15.710699999999999</c:v>
                </c:pt>
                <c:pt idx="86">
                  <c:v>15.7011</c:v>
                </c:pt>
                <c:pt idx="87">
                  <c:v>15.512700000000001</c:v>
                </c:pt>
                <c:pt idx="88">
                  <c:v>15.4955</c:v>
                </c:pt>
                <c:pt idx="89">
                  <c:v>15.1919</c:v>
                </c:pt>
                <c:pt idx="90">
                  <c:v>15.9917</c:v>
                </c:pt>
                <c:pt idx="91">
                  <c:v>15.873100000000001</c:v>
                </c:pt>
                <c:pt idx="92">
                  <c:v>15.792899999999999</c:v>
                </c:pt>
                <c:pt idx="93">
                  <c:v>15.530099999999999</c:v>
                </c:pt>
                <c:pt idx="94">
                  <c:v>15.751899999999999</c:v>
                </c:pt>
                <c:pt idx="95">
                  <c:v>15.4352</c:v>
                </c:pt>
                <c:pt idx="96">
                  <c:v>15.1922</c:v>
                </c:pt>
                <c:pt idx="97">
                  <c:v>15.010199999999999</c:v>
                </c:pt>
                <c:pt idx="98">
                  <c:v>14.771000000000001</c:v>
                </c:pt>
                <c:pt idx="99">
                  <c:v>14.274100000000001</c:v>
                </c:pt>
                <c:pt idx="100">
                  <c:v>14.6485</c:v>
                </c:pt>
                <c:pt idx="101">
                  <c:v>14.913</c:v>
                </c:pt>
                <c:pt idx="102">
                  <c:v>14.1617</c:v>
                </c:pt>
                <c:pt idx="103">
                  <c:v>15.0792</c:v>
                </c:pt>
                <c:pt idx="104">
                  <c:v>15.223699999999999</c:v>
                </c:pt>
                <c:pt idx="105">
                  <c:v>15.410299999999999</c:v>
                </c:pt>
                <c:pt idx="106">
                  <c:v>15.3408</c:v>
                </c:pt>
                <c:pt idx="107">
                  <c:v>15.962300000000001</c:v>
                </c:pt>
                <c:pt idx="108">
                  <c:v>15.7448</c:v>
                </c:pt>
                <c:pt idx="109">
                  <c:v>15.479200000000001</c:v>
                </c:pt>
                <c:pt idx="110">
                  <c:v>15.8492</c:v>
                </c:pt>
                <c:pt idx="111">
                  <c:v>15.5288</c:v>
                </c:pt>
                <c:pt idx="112">
                  <c:v>14.7471</c:v>
                </c:pt>
                <c:pt idx="113">
                  <c:v>14.817399999999999</c:v>
                </c:pt>
                <c:pt idx="114">
                  <c:v>14.5985</c:v>
                </c:pt>
                <c:pt idx="115">
                  <c:v>14.370799999999999</c:v>
                </c:pt>
                <c:pt idx="116">
                  <c:v>14.2904</c:v>
                </c:pt>
                <c:pt idx="117">
                  <c:v>14.151999999999999</c:v>
                </c:pt>
                <c:pt idx="118">
                  <c:v>14.395099999999999</c:v>
                </c:pt>
                <c:pt idx="119">
                  <c:v>14.211399999999999</c:v>
                </c:pt>
                <c:pt idx="120">
                  <c:v>13.752800000000001</c:v>
                </c:pt>
                <c:pt idx="121">
                  <c:v>13.209199999999999</c:v>
                </c:pt>
                <c:pt idx="122">
                  <c:v>13.496499999999999</c:v>
                </c:pt>
                <c:pt idx="123">
                  <c:v>13.4848</c:v>
                </c:pt>
                <c:pt idx="124">
                  <c:v>13.4924</c:v>
                </c:pt>
                <c:pt idx="125">
                  <c:v>13.921900000000001</c:v>
                </c:pt>
                <c:pt idx="126">
                  <c:v>14.26</c:v>
                </c:pt>
                <c:pt idx="127">
                  <c:v>14.2883</c:v>
                </c:pt>
                <c:pt idx="128">
                  <c:v>14.365600000000001</c:v>
                </c:pt>
                <c:pt idx="129">
                  <c:v>14.365600000000001</c:v>
                </c:pt>
                <c:pt idx="130">
                  <c:v>14.339</c:v>
                </c:pt>
                <c:pt idx="131">
                  <c:v>13.925700000000001</c:v>
                </c:pt>
                <c:pt idx="132">
                  <c:v>14.364599999999999</c:v>
                </c:pt>
                <c:pt idx="133">
                  <c:v>14.882099999999999</c:v>
                </c:pt>
                <c:pt idx="134">
                  <c:v>14.8714</c:v>
                </c:pt>
                <c:pt idx="135">
                  <c:v>14.6555</c:v>
                </c:pt>
                <c:pt idx="136">
                  <c:v>14.4137</c:v>
                </c:pt>
                <c:pt idx="137">
                  <c:v>14.3178</c:v>
                </c:pt>
                <c:pt idx="138">
                  <c:v>13.6518</c:v>
                </c:pt>
                <c:pt idx="139">
                  <c:v>13.5709</c:v>
                </c:pt>
                <c:pt idx="140">
                  <c:v>14.0495</c:v>
                </c:pt>
                <c:pt idx="141">
                  <c:v>14.3414</c:v>
                </c:pt>
                <c:pt idx="142">
                  <c:v>16.043500000000002</c:v>
                </c:pt>
                <c:pt idx="143">
                  <c:v>15.8857</c:v>
                </c:pt>
                <c:pt idx="144">
                  <c:v>15.913500000000001</c:v>
                </c:pt>
                <c:pt idx="145">
                  <c:v>16.2623</c:v>
                </c:pt>
                <c:pt idx="146">
                  <c:v>17.102599999999999</c:v>
                </c:pt>
                <c:pt idx="147">
                  <c:v>17.021699999999999</c:v>
                </c:pt>
                <c:pt idx="148">
                  <c:v>16.710999999999999</c:v>
                </c:pt>
                <c:pt idx="149">
                  <c:v>16.0562</c:v>
                </c:pt>
                <c:pt idx="150">
                  <c:v>16.424800000000001</c:v>
                </c:pt>
                <c:pt idx="151">
                  <c:v>16.244399999999999</c:v>
                </c:pt>
                <c:pt idx="152">
                  <c:v>15.885999999999999</c:v>
                </c:pt>
                <c:pt idx="153">
                  <c:v>14.5853</c:v>
                </c:pt>
                <c:pt idx="154">
                  <c:v>14.536899999999999</c:v>
                </c:pt>
              </c:numCache>
            </c:numRef>
          </c:val>
          <c:smooth val="0"/>
          <c:extLst>
            <c:ext xmlns:c16="http://schemas.microsoft.com/office/drawing/2014/chart" uri="{C3380CC4-5D6E-409C-BE32-E72D297353CC}">
              <c16:uniqueId val="{00000005-C6A3-42EA-AD84-0EA2783F3814}"/>
            </c:ext>
          </c:extLst>
        </c:ser>
        <c:dLbls>
          <c:showLegendKey val="0"/>
          <c:showVal val="0"/>
          <c:showCatName val="0"/>
          <c:showSerName val="0"/>
          <c:showPercent val="0"/>
          <c:showBubbleSize val="0"/>
        </c:dLbls>
        <c:smooth val="0"/>
        <c:axId val="1005203632"/>
        <c:axId val="1005201992"/>
      </c:lineChart>
      <c:dateAx>
        <c:axId val="10052036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05201992"/>
        <c:crosses val="autoZero"/>
        <c:auto val="1"/>
        <c:lblOffset val="100"/>
        <c:baseTimeUnit val="days"/>
      </c:dateAx>
      <c:valAx>
        <c:axId val="1005201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05203632"/>
        <c:crosses val="autoZero"/>
        <c:crossBetween val="between"/>
      </c:valAx>
      <c:spPr>
        <a:noFill/>
        <a:ln>
          <a:noFill/>
        </a:ln>
        <a:effectLst/>
      </c:spPr>
    </c:plotArea>
    <c:legend>
      <c:legendPos val="b"/>
      <c:layout>
        <c:manualLayout>
          <c:xMode val="edge"/>
          <c:yMode val="edge"/>
          <c:x val="0"/>
          <c:y val="0.86544143226760495"/>
          <c:w val="1"/>
          <c:h val="0.12218003551864627"/>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631273488503296E-2"/>
          <c:y val="2.7170920220962923E-2"/>
          <c:w val="0.93718334849858898"/>
          <c:h val="0.72263983284481992"/>
        </c:manualLayout>
      </c:layout>
      <c:lineChart>
        <c:grouping val="standard"/>
        <c:varyColors val="0"/>
        <c:ser>
          <c:idx val="0"/>
          <c:order val="0"/>
          <c:tx>
            <c:strRef>
              <c:f>Inputs!$S$7</c:f>
              <c:strCache>
                <c:ptCount val="1"/>
                <c:pt idx="0">
                  <c:v>LOCKHEED MARTIN</c:v>
                </c:pt>
              </c:strCache>
            </c:strRef>
          </c:tx>
          <c:spPr>
            <a:ln w="28575" cap="rnd">
              <a:solidFill>
                <a:schemeClr val="accent1"/>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Data'!$J$5:$J$159</c:f>
              <c:numCache>
                <c:formatCode>0.0</c:formatCode>
                <c:ptCount val="155"/>
                <c:pt idx="0">
                  <c:v>20.546199999999999</c:v>
                </c:pt>
                <c:pt idx="1">
                  <c:v>20.4754</c:v>
                </c:pt>
                <c:pt idx="2">
                  <c:v>20.153400000000001</c:v>
                </c:pt>
                <c:pt idx="3">
                  <c:v>19.7942</c:v>
                </c:pt>
                <c:pt idx="4">
                  <c:v>19.384499999999999</c:v>
                </c:pt>
                <c:pt idx="5">
                  <c:v>19.0091</c:v>
                </c:pt>
                <c:pt idx="6">
                  <c:v>18.4909</c:v>
                </c:pt>
                <c:pt idx="7">
                  <c:v>18.290099999999999</c:v>
                </c:pt>
                <c:pt idx="8">
                  <c:v>18.2971</c:v>
                </c:pt>
                <c:pt idx="9">
                  <c:v>20.155999999999999</c:v>
                </c:pt>
                <c:pt idx="10">
                  <c:v>20.310300000000002</c:v>
                </c:pt>
                <c:pt idx="11">
                  <c:v>16.7409</c:v>
                </c:pt>
                <c:pt idx="12">
                  <c:v>16.7409</c:v>
                </c:pt>
                <c:pt idx="13">
                  <c:v>17.177800000000001</c:v>
                </c:pt>
                <c:pt idx="14">
                  <c:v>17.757899999999999</c:v>
                </c:pt>
                <c:pt idx="15">
                  <c:v>17.584099999999999</c:v>
                </c:pt>
                <c:pt idx="16">
                  <c:v>17.609300000000001</c:v>
                </c:pt>
                <c:pt idx="17">
                  <c:v>17.116499999999998</c:v>
                </c:pt>
                <c:pt idx="18">
                  <c:v>17.0961</c:v>
                </c:pt>
                <c:pt idx="19">
                  <c:v>17.285900000000002</c:v>
                </c:pt>
                <c:pt idx="20">
                  <c:v>17.259599999999999</c:v>
                </c:pt>
                <c:pt idx="21">
                  <c:v>17.436299999999999</c:v>
                </c:pt>
                <c:pt idx="22">
                  <c:v>17.336300000000001</c:v>
                </c:pt>
                <c:pt idx="23">
                  <c:v>17.336300000000001</c:v>
                </c:pt>
                <c:pt idx="24">
                  <c:v>15.775700000000001</c:v>
                </c:pt>
                <c:pt idx="25">
                  <c:v>16.6602</c:v>
                </c:pt>
                <c:pt idx="26">
                  <c:v>16.592600000000001</c:v>
                </c:pt>
                <c:pt idx="27">
                  <c:v>17.5915</c:v>
                </c:pt>
                <c:pt idx="28">
                  <c:v>17.873799999999999</c:v>
                </c:pt>
                <c:pt idx="29">
                  <c:v>16.9953</c:v>
                </c:pt>
                <c:pt idx="30">
                  <c:v>16.6311</c:v>
                </c:pt>
                <c:pt idx="31">
                  <c:v>15.9696</c:v>
                </c:pt>
                <c:pt idx="32">
                  <c:v>16.769600000000001</c:v>
                </c:pt>
                <c:pt idx="33">
                  <c:v>17.47</c:v>
                </c:pt>
                <c:pt idx="34">
                  <c:v>18.753399999999999</c:v>
                </c:pt>
                <c:pt idx="35">
                  <c:v>18.502800000000001</c:v>
                </c:pt>
                <c:pt idx="36">
                  <c:v>17.662500000000001</c:v>
                </c:pt>
                <c:pt idx="37">
                  <c:v>18.182099999999998</c:v>
                </c:pt>
                <c:pt idx="38">
                  <c:v>16.575800000000001</c:v>
                </c:pt>
                <c:pt idx="39">
                  <c:v>16.577500000000001</c:v>
                </c:pt>
                <c:pt idx="40">
                  <c:v>16.7683</c:v>
                </c:pt>
                <c:pt idx="41">
                  <c:v>17.391400000000001</c:v>
                </c:pt>
                <c:pt idx="42">
                  <c:v>17.9467</c:v>
                </c:pt>
                <c:pt idx="43">
                  <c:v>18.3809</c:v>
                </c:pt>
                <c:pt idx="44">
                  <c:v>18.130400000000002</c:v>
                </c:pt>
                <c:pt idx="45">
                  <c:v>19.138200000000001</c:v>
                </c:pt>
                <c:pt idx="46">
                  <c:v>18.486999999999998</c:v>
                </c:pt>
                <c:pt idx="47">
                  <c:v>19.061299999999999</c:v>
                </c:pt>
                <c:pt idx="48">
                  <c:v>20.74</c:v>
                </c:pt>
                <c:pt idx="49">
                  <c:v>20.481000000000002</c:v>
                </c:pt>
                <c:pt idx="50">
                  <c:v>20.513500000000001</c:v>
                </c:pt>
                <c:pt idx="51">
                  <c:v>19.781099999999999</c:v>
                </c:pt>
                <c:pt idx="52">
                  <c:v>19.426500000000001</c:v>
                </c:pt>
                <c:pt idx="53">
                  <c:v>19.3583</c:v>
                </c:pt>
                <c:pt idx="54">
                  <c:v>19.2468</c:v>
                </c:pt>
                <c:pt idx="55">
                  <c:v>19.296800000000001</c:v>
                </c:pt>
                <c:pt idx="56">
                  <c:v>18.8521</c:v>
                </c:pt>
                <c:pt idx="57">
                  <c:v>19.0261</c:v>
                </c:pt>
                <c:pt idx="58">
                  <c:v>18.735600000000002</c:v>
                </c:pt>
                <c:pt idx="59">
                  <c:v>18.6402</c:v>
                </c:pt>
                <c:pt idx="60">
                  <c:v>17.826000000000001</c:v>
                </c:pt>
                <c:pt idx="61">
                  <c:v>16.131699999999999</c:v>
                </c:pt>
                <c:pt idx="62">
                  <c:v>15.7516</c:v>
                </c:pt>
                <c:pt idx="63">
                  <c:v>15.6983</c:v>
                </c:pt>
                <c:pt idx="64">
                  <c:v>15.387600000000001</c:v>
                </c:pt>
                <c:pt idx="65">
                  <c:v>15.4041</c:v>
                </c:pt>
                <c:pt idx="66">
                  <c:v>15.099</c:v>
                </c:pt>
                <c:pt idx="67">
                  <c:v>15.487399999999999</c:v>
                </c:pt>
                <c:pt idx="68">
                  <c:v>15.494300000000001</c:v>
                </c:pt>
                <c:pt idx="69">
                  <c:v>15.395799999999999</c:v>
                </c:pt>
                <c:pt idx="70">
                  <c:v>15.357900000000001</c:v>
                </c:pt>
                <c:pt idx="71">
                  <c:v>15.446199999999999</c:v>
                </c:pt>
                <c:pt idx="72">
                  <c:v>15.2166</c:v>
                </c:pt>
                <c:pt idx="73">
                  <c:v>15.196199999999999</c:v>
                </c:pt>
                <c:pt idx="74">
                  <c:v>15.2812</c:v>
                </c:pt>
                <c:pt idx="75">
                  <c:v>14.837400000000001</c:v>
                </c:pt>
                <c:pt idx="76">
                  <c:v>15.0015</c:v>
                </c:pt>
                <c:pt idx="77">
                  <c:v>14.5764</c:v>
                </c:pt>
                <c:pt idx="78">
                  <c:v>14.5764</c:v>
                </c:pt>
                <c:pt idx="79">
                  <c:v>14.2476</c:v>
                </c:pt>
                <c:pt idx="80">
                  <c:v>14.152100000000001</c:v>
                </c:pt>
                <c:pt idx="81">
                  <c:v>13.941599999999999</c:v>
                </c:pt>
                <c:pt idx="82">
                  <c:v>14.0939</c:v>
                </c:pt>
                <c:pt idx="83">
                  <c:v>13.8634</c:v>
                </c:pt>
                <c:pt idx="84">
                  <c:v>13.9429</c:v>
                </c:pt>
                <c:pt idx="85">
                  <c:v>13.9255</c:v>
                </c:pt>
                <c:pt idx="86">
                  <c:v>14.054399999999999</c:v>
                </c:pt>
                <c:pt idx="87">
                  <c:v>14.9648</c:v>
                </c:pt>
                <c:pt idx="88">
                  <c:v>15.141999999999999</c:v>
                </c:pt>
                <c:pt idx="89">
                  <c:v>14.9236</c:v>
                </c:pt>
                <c:pt idx="90">
                  <c:v>15.039400000000001</c:v>
                </c:pt>
                <c:pt idx="91">
                  <c:v>14.8728</c:v>
                </c:pt>
                <c:pt idx="92">
                  <c:v>14.6601</c:v>
                </c:pt>
                <c:pt idx="93">
                  <c:v>14.866099999999999</c:v>
                </c:pt>
                <c:pt idx="94">
                  <c:v>14.9123</c:v>
                </c:pt>
                <c:pt idx="95">
                  <c:v>14.9985</c:v>
                </c:pt>
                <c:pt idx="96">
                  <c:v>14.7553</c:v>
                </c:pt>
                <c:pt idx="97">
                  <c:v>14.7616</c:v>
                </c:pt>
                <c:pt idx="98">
                  <c:v>15.0427</c:v>
                </c:pt>
                <c:pt idx="99">
                  <c:v>14.7125</c:v>
                </c:pt>
                <c:pt idx="100">
                  <c:v>14.7384</c:v>
                </c:pt>
                <c:pt idx="101">
                  <c:v>14.635199999999999</c:v>
                </c:pt>
                <c:pt idx="102">
                  <c:v>13.297000000000001</c:v>
                </c:pt>
                <c:pt idx="103">
                  <c:v>13.5701</c:v>
                </c:pt>
                <c:pt idx="104">
                  <c:v>13.7524</c:v>
                </c:pt>
                <c:pt idx="105">
                  <c:v>14.098100000000001</c:v>
                </c:pt>
                <c:pt idx="106">
                  <c:v>14.0662</c:v>
                </c:pt>
                <c:pt idx="107">
                  <c:v>14.900399999999999</c:v>
                </c:pt>
                <c:pt idx="108">
                  <c:v>14.9971</c:v>
                </c:pt>
                <c:pt idx="109">
                  <c:v>14.962899999999999</c:v>
                </c:pt>
                <c:pt idx="110">
                  <c:v>15.095499999999999</c:v>
                </c:pt>
                <c:pt idx="111">
                  <c:v>14.8186</c:v>
                </c:pt>
                <c:pt idx="112">
                  <c:v>14.9276</c:v>
                </c:pt>
                <c:pt idx="113">
                  <c:v>15.1191</c:v>
                </c:pt>
                <c:pt idx="114">
                  <c:v>15.4367</c:v>
                </c:pt>
                <c:pt idx="115">
                  <c:v>15.250500000000001</c:v>
                </c:pt>
                <c:pt idx="116">
                  <c:v>15.305999999999999</c:v>
                </c:pt>
                <c:pt idx="117">
                  <c:v>20.4605</c:v>
                </c:pt>
                <c:pt idx="118">
                  <c:v>20.452100000000002</c:v>
                </c:pt>
                <c:pt idx="119">
                  <c:v>20.608799999999999</c:v>
                </c:pt>
                <c:pt idx="120">
                  <c:v>20.243600000000001</c:v>
                </c:pt>
                <c:pt idx="121">
                  <c:v>19.974599999999999</c:v>
                </c:pt>
                <c:pt idx="122">
                  <c:v>20.243600000000001</c:v>
                </c:pt>
                <c:pt idx="123">
                  <c:v>20.078800000000001</c:v>
                </c:pt>
                <c:pt idx="124">
                  <c:v>20.290400000000002</c:v>
                </c:pt>
                <c:pt idx="125">
                  <c:v>20.687200000000001</c:v>
                </c:pt>
                <c:pt idx="126">
                  <c:v>21.493400000000001</c:v>
                </c:pt>
                <c:pt idx="127">
                  <c:v>21.735700000000001</c:v>
                </c:pt>
                <c:pt idx="128">
                  <c:v>21.056000000000001</c:v>
                </c:pt>
                <c:pt idx="129">
                  <c:v>21.056000000000001</c:v>
                </c:pt>
                <c:pt idx="130">
                  <c:v>24.0289</c:v>
                </c:pt>
                <c:pt idx="131">
                  <c:v>23.5899</c:v>
                </c:pt>
                <c:pt idx="132">
                  <c:v>24.077500000000001</c:v>
                </c:pt>
                <c:pt idx="133">
                  <c:v>24.198499999999999</c:v>
                </c:pt>
                <c:pt idx="134">
                  <c:v>24.325600000000001</c:v>
                </c:pt>
                <c:pt idx="135">
                  <c:v>24.084099999999999</c:v>
                </c:pt>
                <c:pt idx="136">
                  <c:v>24.3474</c:v>
                </c:pt>
                <c:pt idx="137">
                  <c:v>23.246099999999998</c:v>
                </c:pt>
                <c:pt idx="138">
                  <c:v>23.272400000000001</c:v>
                </c:pt>
                <c:pt idx="139">
                  <c:v>22.446000000000002</c:v>
                </c:pt>
                <c:pt idx="140">
                  <c:v>22.777699999999999</c:v>
                </c:pt>
                <c:pt idx="141">
                  <c:v>23.963100000000001</c:v>
                </c:pt>
                <c:pt idx="142">
                  <c:v>21.807300000000001</c:v>
                </c:pt>
                <c:pt idx="143">
                  <c:v>21.663900000000002</c:v>
                </c:pt>
                <c:pt idx="144">
                  <c:v>21.596699999999998</c:v>
                </c:pt>
                <c:pt idx="145">
                  <c:v>21.6769</c:v>
                </c:pt>
                <c:pt idx="146">
                  <c:v>22.244</c:v>
                </c:pt>
                <c:pt idx="147">
                  <c:v>21.671500000000002</c:v>
                </c:pt>
                <c:pt idx="148">
                  <c:v>21.373899999999999</c:v>
                </c:pt>
                <c:pt idx="149">
                  <c:v>20.792899999999999</c:v>
                </c:pt>
                <c:pt idx="150">
                  <c:v>21.5913</c:v>
                </c:pt>
                <c:pt idx="151">
                  <c:v>21.7347</c:v>
                </c:pt>
                <c:pt idx="152">
                  <c:v>20.378299999999999</c:v>
                </c:pt>
                <c:pt idx="153">
                  <c:v>17.4556</c:v>
                </c:pt>
                <c:pt idx="154">
                  <c:v>18.107900000000001</c:v>
                </c:pt>
              </c:numCache>
            </c:numRef>
          </c:val>
          <c:smooth val="0"/>
          <c:extLst>
            <c:ext xmlns:c16="http://schemas.microsoft.com/office/drawing/2014/chart" uri="{C3380CC4-5D6E-409C-BE32-E72D297353CC}">
              <c16:uniqueId val="{00000000-D72A-4DDA-A333-B3FDE0305032}"/>
            </c:ext>
          </c:extLst>
        </c:ser>
        <c:ser>
          <c:idx val="1"/>
          <c:order val="1"/>
          <c:tx>
            <c:strRef>
              <c:f>Inputs!$B$21</c:f>
              <c:strCache>
                <c:ptCount val="1"/>
                <c:pt idx="0">
                  <c:v>RTX CORP</c:v>
                </c:pt>
              </c:strCache>
            </c:strRef>
          </c:tx>
          <c:spPr>
            <a:ln w="28575" cap="rnd">
              <a:solidFill>
                <a:schemeClr val="accent2"/>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Data'!$K$5:$K$159</c:f>
              <c:numCache>
                <c:formatCode>0.0</c:formatCode>
                <c:ptCount val="155"/>
                <c:pt idx="0">
                  <c:v>26.859000000000002</c:v>
                </c:pt>
                <c:pt idx="1">
                  <c:v>26.453399999999998</c:v>
                </c:pt>
                <c:pt idx="2">
                  <c:v>26.736799999999999</c:v>
                </c:pt>
                <c:pt idx="3">
                  <c:v>26.920100000000001</c:v>
                </c:pt>
                <c:pt idx="4">
                  <c:v>26.519500000000001</c:v>
                </c:pt>
                <c:pt idx="5">
                  <c:v>26.154599999999999</c:v>
                </c:pt>
                <c:pt idx="6">
                  <c:v>26.285299999999999</c:v>
                </c:pt>
                <c:pt idx="7">
                  <c:v>26.616299999999999</c:v>
                </c:pt>
                <c:pt idx="8">
                  <c:v>26.6282</c:v>
                </c:pt>
                <c:pt idx="9">
                  <c:v>25.715</c:v>
                </c:pt>
                <c:pt idx="10">
                  <c:v>24.929099999999998</c:v>
                </c:pt>
                <c:pt idx="11">
                  <c:v>25.256599999999999</c:v>
                </c:pt>
                <c:pt idx="12">
                  <c:v>25.256599999999999</c:v>
                </c:pt>
                <c:pt idx="13">
                  <c:v>25.6022</c:v>
                </c:pt>
                <c:pt idx="14">
                  <c:v>25.436399999999999</c:v>
                </c:pt>
                <c:pt idx="15">
                  <c:v>24.285799999999998</c:v>
                </c:pt>
                <c:pt idx="16">
                  <c:v>23.828399999999998</c:v>
                </c:pt>
                <c:pt idx="17">
                  <c:v>23.107299999999999</c:v>
                </c:pt>
                <c:pt idx="18">
                  <c:v>23.6538</c:v>
                </c:pt>
                <c:pt idx="19">
                  <c:v>22.4648</c:v>
                </c:pt>
                <c:pt idx="20">
                  <c:v>22.733699999999999</c:v>
                </c:pt>
                <c:pt idx="21">
                  <c:v>21.862500000000001</c:v>
                </c:pt>
                <c:pt idx="22">
                  <c:v>22.3932</c:v>
                </c:pt>
                <c:pt idx="23">
                  <c:v>22.3932</c:v>
                </c:pt>
                <c:pt idx="24">
                  <c:v>20.5059</c:v>
                </c:pt>
                <c:pt idx="25">
                  <c:v>22.6721</c:v>
                </c:pt>
                <c:pt idx="26">
                  <c:v>22.783999999999999</c:v>
                </c:pt>
                <c:pt idx="27">
                  <c:v>22.374300000000002</c:v>
                </c:pt>
                <c:pt idx="28">
                  <c:v>22.1006</c:v>
                </c:pt>
                <c:pt idx="29">
                  <c:v>22.890699999999999</c:v>
                </c:pt>
                <c:pt idx="30">
                  <c:v>21.2211</c:v>
                </c:pt>
                <c:pt idx="31">
                  <c:v>21.069600000000001</c:v>
                </c:pt>
                <c:pt idx="32">
                  <c:v>22.023199999999999</c:v>
                </c:pt>
                <c:pt idx="33">
                  <c:v>22.1953</c:v>
                </c:pt>
                <c:pt idx="34">
                  <c:v>21.5688</c:v>
                </c:pt>
                <c:pt idx="35">
                  <c:v>20.8459</c:v>
                </c:pt>
                <c:pt idx="36">
                  <c:v>19.813099999999999</c:v>
                </c:pt>
                <c:pt idx="37">
                  <c:v>19.943899999999999</c:v>
                </c:pt>
                <c:pt idx="38">
                  <c:v>20.829599999999999</c:v>
                </c:pt>
                <c:pt idx="39">
                  <c:v>20.788599999999999</c:v>
                </c:pt>
                <c:pt idx="40">
                  <c:v>21.0152</c:v>
                </c:pt>
                <c:pt idx="41">
                  <c:v>21.058</c:v>
                </c:pt>
                <c:pt idx="42">
                  <c:v>21.743400000000001</c:v>
                </c:pt>
                <c:pt idx="43">
                  <c:v>21.554200000000002</c:v>
                </c:pt>
                <c:pt idx="44">
                  <c:v>21.154399999999999</c:v>
                </c:pt>
                <c:pt idx="45">
                  <c:v>22.0504</c:v>
                </c:pt>
                <c:pt idx="46">
                  <c:v>21.1937</c:v>
                </c:pt>
                <c:pt idx="47">
                  <c:v>22.337700000000002</c:v>
                </c:pt>
                <c:pt idx="48">
                  <c:v>22.473299999999998</c:v>
                </c:pt>
                <c:pt idx="49">
                  <c:v>22.118200000000002</c:v>
                </c:pt>
                <c:pt idx="50">
                  <c:v>22.293099999999999</c:v>
                </c:pt>
                <c:pt idx="51">
                  <c:v>21.7209</c:v>
                </c:pt>
                <c:pt idx="52">
                  <c:v>21.316800000000001</c:v>
                </c:pt>
                <c:pt idx="53">
                  <c:v>21.491800000000001</c:v>
                </c:pt>
                <c:pt idx="54">
                  <c:v>21.3691</c:v>
                </c:pt>
                <c:pt idx="55">
                  <c:v>22.2532</c:v>
                </c:pt>
                <c:pt idx="56">
                  <c:v>21.383500000000002</c:v>
                </c:pt>
                <c:pt idx="57">
                  <c:v>21.2807</c:v>
                </c:pt>
                <c:pt idx="58">
                  <c:v>20.9559</c:v>
                </c:pt>
                <c:pt idx="59">
                  <c:v>21.008299999999998</c:v>
                </c:pt>
                <c:pt idx="60">
                  <c:v>20.559000000000001</c:v>
                </c:pt>
                <c:pt idx="61">
                  <c:v>18.549099999999999</c:v>
                </c:pt>
                <c:pt idx="62">
                  <c:v>18.273099999999999</c:v>
                </c:pt>
                <c:pt idx="63">
                  <c:v>18.108899999999998</c:v>
                </c:pt>
                <c:pt idx="64">
                  <c:v>18.439499999999999</c:v>
                </c:pt>
                <c:pt idx="65">
                  <c:v>19.398299999999999</c:v>
                </c:pt>
                <c:pt idx="66">
                  <c:v>19.1448</c:v>
                </c:pt>
                <c:pt idx="67">
                  <c:v>19.857500000000002</c:v>
                </c:pt>
                <c:pt idx="68">
                  <c:v>19.802399999999999</c:v>
                </c:pt>
                <c:pt idx="69">
                  <c:v>19.519500000000001</c:v>
                </c:pt>
                <c:pt idx="70">
                  <c:v>19.1356</c:v>
                </c:pt>
                <c:pt idx="71">
                  <c:v>19.528700000000001</c:v>
                </c:pt>
                <c:pt idx="72">
                  <c:v>18.625</c:v>
                </c:pt>
                <c:pt idx="73">
                  <c:v>18.626799999999999</c:v>
                </c:pt>
                <c:pt idx="74">
                  <c:v>18.654399999999999</c:v>
                </c:pt>
                <c:pt idx="75">
                  <c:v>18.386199999999999</c:v>
                </c:pt>
                <c:pt idx="76">
                  <c:v>18.6782</c:v>
                </c:pt>
                <c:pt idx="77">
                  <c:v>18.7195</c:v>
                </c:pt>
                <c:pt idx="78">
                  <c:v>18.7195</c:v>
                </c:pt>
                <c:pt idx="79">
                  <c:v>18.208100000000002</c:v>
                </c:pt>
                <c:pt idx="80">
                  <c:v>17.8065</c:v>
                </c:pt>
                <c:pt idx="81">
                  <c:v>17.594899999999999</c:v>
                </c:pt>
                <c:pt idx="82">
                  <c:v>17.635999999999999</c:v>
                </c:pt>
                <c:pt idx="83">
                  <c:v>17.831900000000001</c:v>
                </c:pt>
                <c:pt idx="84">
                  <c:v>17.734000000000002</c:v>
                </c:pt>
                <c:pt idx="85">
                  <c:v>18.021999999999998</c:v>
                </c:pt>
                <c:pt idx="86">
                  <c:v>17.714400000000001</c:v>
                </c:pt>
                <c:pt idx="87">
                  <c:v>16.758199999999999</c:v>
                </c:pt>
                <c:pt idx="88">
                  <c:v>16.914999999999999</c:v>
                </c:pt>
                <c:pt idx="89">
                  <c:v>16.7288</c:v>
                </c:pt>
                <c:pt idx="90">
                  <c:v>16.783100000000001</c:v>
                </c:pt>
                <c:pt idx="91">
                  <c:v>16.601600000000001</c:v>
                </c:pt>
                <c:pt idx="92">
                  <c:v>16.013100000000001</c:v>
                </c:pt>
                <c:pt idx="93">
                  <c:v>16.220600000000001</c:v>
                </c:pt>
                <c:pt idx="94">
                  <c:v>16.420100000000001</c:v>
                </c:pt>
                <c:pt idx="95">
                  <c:v>15.9533</c:v>
                </c:pt>
                <c:pt idx="96">
                  <c:v>15.8935</c:v>
                </c:pt>
                <c:pt idx="97">
                  <c:v>16.400099999999998</c:v>
                </c:pt>
                <c:pt idx="98">
                  <c:v>16.4998</c:v>
                </c:pt>
                <c:pt idx="99">
                  <c:v>15.7897</c:v>
                </c:pt>
                <c:pt idx="100">
                  <c:v>14.471299999999999</c:v>
                </c:pt>
                <c:pt idx="101">
                  <c:v>14.610900000000001</c:v>
                </c:pt>
                <c:pt idx="102">
                  <c:v>13.9168</c:v>
                </c:pt>
                <c:pt idx="103">
                  <c:v>14.6632</c:v>
                </c:pt>
                <c:pt idx="104">
                  <c:v>14.5838</c:v>
                </c:pt>
                <c:pt idx="105">
                  <c:v>15.4435</c:v>
                </c:pt>
                <c:pt idx="106">
                  <c:v>17.008299999999998</c:v>
                </c:pt>
                <c:pt idx="107">
                  <c:v>17.578700000000001</c:v>
                </c:pt>
                <c:pt idx="108">
                  <c:v>17.254799999999999</c:v>
                </c:pt>
                <c:pt idx="109">
                  <c:v>17.481000000000002</c:v>
                </c:pt>
                <c:pt idx="110">
                  <c:v>17.692799999999998</c:v>
                </c:pt>
                <c:pt idx="111">
                  <c:v>17.226299999999998</c:v>
                </c:pt>
                <c:pt idx="112">
                  <c:v>17.794699999999999</c:v>
                </c:pt>
                <c:pt idx="113">
                  <c:v>19.6386</c:v>
                </c:pt>
                <c:pt idx="114">
                  <c:v>19.593699999999998</c:v>
                </c:pt>
                <c:pt idx="115">
                  <c:v>19.848400000000002</c:v>
                </c:pt>
                <c:pt idx="116">
                  <c:v>19.958400000000001</c:v>
                </c:pt>
                <c:pt idx="117">
                  <c:v>20.568200000000001</c:v>
                </c:pt>
                <c:pt idx="118">
                  <c:v>20.744399999999999</c:v>
                </c:pt>
                <c:pt idx="119">
                  <c:v>21.084</c:v>
                </c:pt>
                <c:pt idx="120">
                  <c:v>20.392099999999999</c:v>
                </c:pt>
                <c:pt idx="121">
                  <c:v>19.793600000000001</c:v>
                </c:pt>
                <c:pt idx="122">
                  <c:v>20.402699999999999</c:v>
                </c:pt>
                <c:pt idx="123">
                  <c:v>20.373000000000001</c:v>
                </c:pt>
                <c:pt idx="124">
                  <c:v>20.498200000000001</c:v>
                </c:pt>
                <c:pt idx="125">
                  <c:v>21.2028</c:v>
                </c:pt>
                <c:pt idx="126">
                  <c:v>21.701599999999999</c:v>
                </c:pt>
                <c:pt idx="127">
                  <c:v>21.5806</c:v>
                </c:pt>
                <c:pt idx="128">
                  <c:v>20.784700000000001</c:v>
                </c:pt>
                <c:pt idx="129">
                  <c:v>20.784700000000001</c:v>
                </c:pt>
                <c:pt idx="130">
                  <c:v>21.151499999999999</c:v>
                </c:pt>
                <c:pt idx="131">
                  <c:v>21.0001</c:v>
                </c:pt>
                <c:pt idx="132">
                  <c:v>21.055</c:v>
                </c:pt>
                <c:pt idx="133">
                  <c:v>21.717300000000002</c:v>
                </c:pt>
                <c:pt idx="134">
                  <c:v>21.8489</c:v>
                </c:pt>
                <c:pt idx="135">
                  <c:v>22.263400000000001</c:v>
                </c:pt>
                <c:pt idx="136">
                  <c:v>22.065999999999999</c:v>
                </c:pt>
                <c:pt idx="137">
                  <c:v>21.1602</c:v>
                </c:pt>
                <c:pt idx="138">
                  <c:v>21.8445</c:v>
                </c:pt>
                <c:pt idx="139">
                  <c:v>20.6953</c:v>
                </c:pt>
                <c:pt idx="140">
                  <c:v>21.642800000000001</c:v>
                </c:pt>
                <c:pt idx="141">
                  <c:v>22.471800000000002</c:v>
                </c:pt>
                <c:pt idx="142">
                  <c:v>22.4133</c:v>
                </c:pt>
                <c:pt idx="143">
                  <c:v>22.0535</c:v>
                </c:pt>
                <c:pt idx="144">
                  <c:v>21.840299999999999</c:v>
                </c:pt>
                <c:pt idx="145">
                  <c:v>21.8248</c:v>
                </c:pt>
                <c:pt idx="146">
                  <c:v>22.433299999999999</c:v>
                </c:pt>
                <c:pt idx="147">
                  <c:v>21.647099999999998</c:v>
                </c:pt>
                <c:pt idx="148">
                  <c:v>21.1785</c:v>
                </c:pt>
                <c:pt idx="149">
                  <c:v>20.7987</c:v>
                </c:pt>
                <c:pt idx="150">
                  <c:v>21.147400000000001</c:v>
                </c:pt>
                <c:pt idx="151">
                  <c:v>21.116299999999999</c:v>
                </c:pt>
                <c:pt idx="152">
                  <c:v>19.663799999999998</c:v>
                </c:pt>
                <c:pt idx="153">
                  <c:v>18.342400000000001</c:v>
                </c:pt>
                <c:pt idx="154">
                  <c:v>18.657800000000002</c:v>
                </c:pt>
              </c:numCache>
            </c:numRef>
          </c:val>
          <c:smooth val="0"/>
          <c:extLst>
            <c:ext xmlns:c16="http://schemas.microsoft.com/office/drawing/2014/chart" uri="{C3380CC4-5D6E-409C-BE32-E72D297353CC}">
              <c16:uniqueId val="{00000001-D72A-4DDA-A333-B3FDE0305032}"/>
            </c:ext>
          </c:extLst>
        </c:ser>
        <c:ser>
          <c:idx val="2"/>
          <c:order val="2"/>
          <c:tx>
            <c:strRef>
              <c:f>Inputs!$B$22</c:f>
              <c:strCache>
                <c:ptCount val="1"/>
                <c:pt idx="0">
                  <c:v>NORTHROP GRUMMAN</c:v>
                </c:pt>
              </c:strCache>
            </c:strRef>
          </c:tx>
          <c:spPr>
            <a:ln w="28575" cap="rnd">
              <a:solidFill>
                <a:schemeClr val="accent3"/>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Data'!$L$5:$L$159</c:f>
              <c:numCache>
                <c:formatCode>0.0</c:formatCode>
                <c:ptCount val="155"/>
                <c:pt idx="0">
                  <c:v>24.281500000000001</c:v>
                </c:pt>
                <c:pt idx="1">
                  <c:v>24.4057</c:v>
                </c:pt>
                <c:pt idx="2">
                  <c:v>24.610800000000001</c:v>
                </c:pt>
                <c:pt idx="3">
                  <c:v>25.002300000000002</c:v>
                </c:pt>
                <c:pt idx="4">
                  <c:v>25.103999999999999</c:v>
                </c:pt>
                <c:pt idx="5">
                  <c:v>24.744700000000002</c:v>
                </c:pt>
                <c:pt idx="6">
                  <c:v>24.623899999999999</c:v>
                </c:pt>
                <c:pt idx="7">
                  <c:v>24.849799999999998</c:v>
                </c:pt>
                <c:pt idx="8">
                  <c:v>24.142099999999999</c:v>
                </c:pt>
                <c:pt idx="9">
                  <c:v>21.9938</c:v>
                </c:pt>
                <c:pt idx="10">
                  <c:v>21.805599999999998</c:v>
                </c:pt>
                <c:pt idx="11">
                  <c:v>21.4069</c:v>
                </c:pt>
                <c:pt idx="12">
                  <c:v>21.4069</c:v>
                </c:pt>
                <c:pt idx="13">
                  <c:v>21.5672</c:v>
                </c:pt>
                <c:pt idx="14">
                  <c:v>22.391400000000001</c:v>
                </c:pt>
                <c:pt idx="15">
                  <c:v>21.207999999999998</c:v>
                </c:pt>
                <c:pt idx="16">
                  <c:v>21.006900000000002</c:v>
                </c:pt>
                <c:pt idx="17">
                  <c:v>20.430099999999999</c:v>
                </c:pt>
                <c:pt idx="18">
                  <c:v>20.504200000000001</c:v>
                </c:pt>
                <c:pt idx="19">
                  <c:v>20.913699999999999</c:v>
                </c:pt>
                <c:pt idx="20">
                  <c:v>21.295100000000001</c:v>
                </c:pt>
                <c:pt idx="21">
                  <c:v>20.505500000000001</c:v>
                </c:pt>
                <c:pt idx="22">
                  <c:v>23.139800000000001</c:v>
                </c:pt>
                <c:pt idx="23">
                  <c:v>23.139800000000001</c:v>
                </c:pt>
                <c:pt idx="24">
                  <c:v>21.039400000000001</c:v>
                </c:pt>
                <c:pt idx="25">
                  <c:v>19.6417</c:v>
                </c:pt>
                <c:pt idx="26">
                  <c:v>18.818300000000001</c:v>
                </c:pt>
                <c:pt idx="27">
                  <c:v>18.596299999999999</c:v>
                </c:pt>
                <c:pt idx="28">
                  <c:v>18.657299999999999</c:v>
                </c:pt>
                <c:pt idx="29">
                  <c:v>17.707000000000001</c:v>
                </c:pt>
                <c:pt idx="30">
                  <c:v>17.178599999999999</c:v>
                </c:pt>
                <c:pt idx="31">
                  <c:v>16.831099999999999</c:v>
                </c:pt>
                <c:pt idx="32">
                  <c:v>17.9693</c:v>
                </c:pt>
                <c:pt idx="33">
                  <c:v>18.686</c:v>
                </c:pt>
                <c:pt idx="34">
                  <c:v>19.059899999999999</c:v>
                </c:pt>
                <c:pt idx="35">
                  <c:v>18.4985</c:v>
                </c:pt>
                <c:pt idx="36">
                  <c:v>17.59</c:v>
                </c:pt>
                <c:pt idx="37">
                  <c:v>17.940100000000001</c:v>
                </c:pt>
                <c:pt idx="38">
                  <c:v>25.708400000000001</c:v>
                </c:pt>
                <c:pt idx="39">
                  <c:v>25.6097</c:v>
                </c:pt>
                <c:pt idx="40">
                  <c:v>26.180199999999999</c:v>
                </c:pt>
                <c:pt idx="41">
                  <c:v>25.8339</c:v>
                </c:pt>
                <c:pt idx="42">
                  <c:v>26.706499999999998</c:v>
                </c:pt>
                <c:pt idx="43">
                  <c:v>27.100300000000001</c:v>
                </c:pt>
                <c:pt idx="44">
                  <c:v>26.943300000000001</c:v>
                </c:pt>
                <c:pt idx="45">
                  <c:v>28.8522</c:v>
                </c:pt>
                <c:pt idx="46">
                  <c:v>27.650099999999998</c:v>
                </c:pt>
                <c:pt idx="47">
                  <c:v>28.3264</c:v>
                </c:pt>
                <c:pt idx="48">
                  <c:v>28.950399999999998</c:v>
                </c:pt>
                <c:pt idx="49">
                  <c:v>28.836400000000001</c:v>
                </c:pt>
                <c:pt idx="50">
                  <c:v>29.274899999999999</c:v>
                </c:pt>
                <c:pt idx="51">
                  <c:v>30.077400000000001</c:v>
                </c:pt>
                <c:pt idx="52">
                  <c:v>29.982700000000001</c:v>
                </c:pt>
                <c:pt idx="53">
                  <c:v>29.677199999999999</c:v>
                </c:pt>
                <c:pt idx="54">
                  <c:v>29.404299999999999</c:v>
                </c:pt>
                <c:pt idx="55">
                  <c:v>29.873000000000001</c:v>
                </c:pt>
                <c:pt idx="56">
                  <c:v>29.081099999999999</c:v>
                </c:pt>
                <c:pt idx="57">
                  <c:v>28.928100000000001</c:v>
                </c:pt>
                <c:pt idx="58">
                  <c:v>28.224699999999999</c:v>
                </c:pt>
                <c:pt idx="59">
                  <c:v>28.236699999999999</c:v>
                </c:pt>
                <c:pt idx="60">
                  <c:v>27.423100000000002</c:v>
                </c:pt>
                <c:pt idx="61">
                  <c:v>25.0045</c:v>
                </c:pt>
                <c:pt idx="62">
                  <c:v>24.678999999999998</c:v>
                </c:pt>
                <c:pt idx="63">
                  <c:v>24.821200000000001</c:v>
                </c:pt>
                <c:pt idx="64">
                  <c:v>26.430099999999999</c:v>
                </c:pt>
                <c:pt idx="65">
                  <c:v>26.196100000000001</c:v>
                </c:pt>
                <c:pt idx="66">
                  <c:v>25.711099999999998</c:v>
                </c:pt>
                <c:pt idx="67">
                  <c:v>26.678000000000001</c:v>
                </c:pt>
                <c:pt idx="68">
                  <c:v>27.328600000000002</c:v>
                </c:pt>
                <c:pt idx="69">
                  <c:v>28.277999999999999</c:v>
                </c:pt>
                <c:pt idx="70">
                  <c:v>28.5078</c:v>
                </c:pt>
                <c:pt idx="71">
                  <c:v>28.785399999999999</c:v>
                </c:pt>
                <c:pt idx="72">
                  <c:v>28.4392</c:v>
                </c:pt>
                <c:pt idx="73">
                  <c:v>29.128</c:v>
                </c:pt>
                <c:pt idx="74">
                  <c:v>28.044599999999999</c:v>
                </c:pt>
                <c:pt idx="75">
                  <c:v>27.6523</c:v>
                </c:pt>
                <c:pt idx="76">
                  <c:v>27.5547</c:v>
                </c:pt>
                <c:pt idx="77">
                  <c:v>29.9053</c:v>
                </c:pt>
                <c:pt idx="78">
                  <c:v>29.9053</c:v>
                </c:pt>
                <c:pt idx="79">
                  <c:v>29.4588</c:v>
                </c:pt>
                <c:pt idx="80">
                  <c:v>29.315200000000001</c:v>
                </c:pt>
                <c:pt idx="81">
                  <c:v>29.021699999999999</c:v>
                </c:pt>
                <c:pt idx="82">
                  <c:v>29.417300000000001</c:v>
                </c:pt>
                <c:pt idx="83">
                  <c:v>28.770399999999999</c:v>
                </c:pt>
                <c:pt idx="84">
                  <c:v>29.023</c:v>
                </c:pt>
                <c:pt idx="85">
                  <c:v>28.4909</c:v>
                </c:pt>
                <c:pt idx="86">
                  <c:v>27.940999999999999</c:v>
                </c:pt>
                <c:pt idx="87">
                  <c:v>30.015699999999999</c:v>
                </c:pt>
                <c:pt idx="88">
                  <c:v>30.692</c:v>
                </c:pt>
                <c:pt idx="89">
                  <c:v>29.978100000000001</c:v>
                </c:pt>
                <c:pt idx="90">
                  <c:v>19.358000000000001</c:v>
                </c:pt>
                <c:pt idx="91">
                  <c:v>19.1509</c:v>
                </c:pt>
                <c:pt idx="92">
                  <c:v>19.064900000000002</c:v>
                </c:pt>
                <c:pt idx="93">
                  <c:v>19.6934</c:v>
                </c:pt>
                <c:pt idx="94">
                  <c:v>19.841799999999999</c:v>
                </c:pt>
                <c:pt idx="95">
                  <c:v>19.497800000000002</c:v>
                </c:pt>
                <c:pt idx="96">
                  <c:v>19.193899999999999</c:v>
                </c:pt>
                <c:pt idx="97">
                  <c:v>19.156700000000001</c:v>
                </c:pt>
                <c:pt idx="98">
                  <c:v>19.4589</c:v>
                </c:pt>
                <c:pt idx="99">
                  <c:v>19.561900000000001</c:v>
                </c:pt>
                <c:pt idx="100">
                  <c:v>20.084199999999999</c:v>
                </c:pt>
                <c:pt idx="101">
                  <c:v>20.2682</c:v>
                </c:pt>
                <c:pt idx="102">
                  <c:v>17.5014</c:v>
                </c:pt>
                <c:pt idx="103">
                  <c:v>18.423200000000001</c:v>
                </c:pt>
                <c:pt idx="104">
                  <c:v>17.783300000000001</c:v>
                </c:pt>
                <c:pt idx="105">
                  <c:v>18.142800000000001</c:v>
                </c:pt>
                <c:pt idx="106">
                  <c:v>17.692</c:v>
                </c:pt>
                <c:pt idx="107">
                  <c:v>18.2319</c:v>
                </c:pt>
                <c:pt idx="108">
                  <c:v>17.978300000000001</c:v>
                </c:pt>
                <c:pt idx="109">
                  <c:v>18.003799999999998</c:v>
                </c:pt>
                <c:pt idx="110">
                  <c:v>18.040700000000001</c:v>
                </c:pt>
                <c:pt idx="111">
                  <c:v>18.354099999999999</c:v>
                </c:pt>
                <c:pt idx="112">
                  <c:v>18.820399999999999</c:v>
                </c:pt>
                <c:pt idx="113">
                  <c:v>18.976900000000001</c:v>
                </c:pt>
                <c:pt idx="114">
                  <c:v>18.860600000000002</c:v>
                </c:pt>
                <c:pt idx="115">
                  <c:v>18.936299999999999</c:v>
                </c:pt>
                <c:pt idx="116">
                  <c:v>19.076499999999999</c:v>
                </c:pt>
                <c:pt idx="117">
                  <c:v>18.447399999999998</c:v>
                </c:pt>
                <c:pt idx="118">
                  <c:v>18.6221</c:v>
                </c:pt>
                <c:pt idx="119">
                  <c:v>18.4559</c:v>
                </c:pt>
                <c:pt idx="120">
                  <c:v>18.0322</c:v>
                </c:pt>
                <c:pt idx="121">
                  <c:v>17.808299999999999</c:v>
                </c:pt>
                <c:pt idx="122">
                  <c:v>18.010999999999999</c:v>
                </c:pt>
                <c:pt idx="123">
                  <c:v>17.8262</c:v>
                </c:pt>
                <c:pt idx="124">
                  <c:v>18.153199999999998</c:v>
                </c:pt>
                <c:pt idx="125">
                  <c:v>18.7407</c:v>
                </c:pt>
                <c:pt idx="126">
                  <c:v>19.176300000000001</c:v>
                </c:pt>
                <c:pt idx="127">
                  <c:v>19.1998</c:v>
                </c:pt>
                <c:pt idx="128">
                  <c:v>18.759</c:v>
                </c:pt>
                <c:pt idx="129">
                  <c:v>18.759</c:v>
                </c:pt>
                <c:pt idx="130">
                  <c:v>18.056000000000001</c:v>
                </c:pt>
                <c:pt idx="131">
                  <c:v>17.593900000000001</c:v>
                </c:pt>
                <c:pt idx="132">
                  <c:v>18.235700000000001</c:v>
                </c:pt>
                <c:pt idx="133">
                  <c:v>18.537099999999999</c:v>
                </c:pt>
                <c:pt idx="134">
                  <c:v>18.677099999999999</c:v>
                </c:pt>
                <c:pt idx="135">
                  <c:v>18.666</c:v>
                </c:pt>
                <c:pt idx="136">
                  <c:v>18.397500000000001</c:v>
                </c:pt>
                <c:pt idx="137">
                  <c:v>17.476500000000001</c:v>
                </c:pt>
                <c:pt idx="138">
                  <c:v>17.357900000000001</c:v>
                </c:pt>
                <c:pt idx="139">
                  <c:v>17.8779</c:v>
                </c:pt>
                <c:pt idx="140">
                  <c:v>18.301100000000002</c:v>
                </c:pt>
                <c:pt idx="141">
                  <c:v>20.680399999999999</c:v>
                </c:pt>
                <c:pt idx="142">
                  <c:v>26.885300000000001</c:v>
                </c:pt>
                <c:pt idx="143">
                  <c:v>26.351099999999999</c:v>
                </c:pt>
                <c:pt idx="144">
                  <c:v>26.1097</c:v>
                </c:pt>
                <c:pt idx="145">
                  <c:v>26.0639</c:v>
                </c:pt>
                <c:pt idx="146">
                  <c:v>26.884799999999998</c:v>
                </c:pt>
                <c:pt idx="147">
                  <c:v>26.0092</c:v>
                </c:pt>
                <c:pt idx="148">
                  <c:v>25.643999999999998</c:v>
                </c:pt>
                <c:pt idx="149">
                  <c:v>24.278099999999998</c:v>
                </c:pt>
                <c:pt idx="150">
                  <c:v>25.759799999999998</c:v>
                </c:pt>
                <c:pt idx="151">
                  <c:v>27.008500000000002</c:v>
                </c:pt>
                <c:pt idx="152">
                  <c:v>25.7544</c:v>
                </c:pt>
                <c:pt idx="153">
                  <c:v>22.8733</c:v>
                </c:pt>
                <c:pt idx="154">
                  <c:v>24.4452</c:v>
                </c:pt>
              </c:numCache>
            </c:numRef>
          </c:val>
          <c:smooth val="0"/>
          <c:extLst>
            <c:ext xmlns:c16="http://schemas.microsoft.com/office/drawing/2014/chart" uri="{C3380CC4-5D6E-409C-BE32-E72D297353CC}">
              <c16:uniqueId val="{00000002-D72A-4DDA-A333-B3FDE0305032}"/>
            </c:ext>
          </c:extLst>
        </c:ser>
        <c:ser>
          <c:idx val="3"/>
          <c:order val="3"/>
          <c:tx>
            <c:strRef>
              <c:f>Inputs!$B$23</c:f>
              <c:strCache>
                <c:ptCount val="1"/>
                <c:pt idx="0">
                  <c:v>AEROVIRONMENT IN</c:v>
                </c:pt>
              </c:strCache>
            </c:strRef>
          </c:tx>
          <c:spPr>
            <a:ln w="28575" cap="rnd">
              <a:solidFill>
                <a:schemeClr val="accent4"/>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Data'!$M$5:$M$159</c:f>
              <c:numCache>
                <c:formatCode>0.0</c:formatCode>
                <c:ptCount val="155"/>
                <c:pt idx="0">
                  <c:v>781.03530000000001</c:v>
                </c:pt>
                <c:pt idx="1">
                  <c:v>681.35550000000001</c:v>
                </c:pt>
                <c:pt idx="2">
                  <c:v>633.91300000000001</c:v>
                </c:pt>
                <c:pt idx="3">
                  <c:v>676.72900000000004</c:v>
                </c:pt>
                <c:pt idx="4">
                  <c:v>672.49509999999998</c:v>
                </c:pt>
                <c:pt idx="5">
                  <c:v>691.58989999999994</c:v>
                </c:pt>
                <c:pt idx="6">
                  <c:v>693.83299999999997</c:v>
                </c:pt>
                <c:pt idx="7">
                  <c:v>98.787499999999994</c:v>
                </c:pt>
                <c:pt idx="8">
                  <c:v>103.6534</c:v>
                </c:pt>
                <c:pt idx="9">
                  <c:v>104.0902</c:v>
                </c:pt>
                <c:pt idx="10">
                  <c:v>100.2043</c:v>
                </c:pt>
                <c:pt idx="11">
                  <c:v>105.62479999999999</c:v>
                </c:pt>
                <c:pt idx="12">
                  <c:v>105.62479999999999</c:v>
                </c:pt>
                <c:pt idx="13">
                  <c:v>72.038499999999999</c:v>
                </c:pt>
                <c:pt idx="14">
                  <c:v>74.108699999999999</c:v>
                </c:pt>
                <c:pt idx="15">
                  <c:v>72.509500000000003</c:v>
                </c:pt>
                <c:pt idx="16">
                  <c:v>67.624600000000001</c:v>
                </c:pt>
                <c:pt idx="17">
                  <c:v>64.221199999999996</c:v>
                </c:pt>
                <c:pt idx="18">
                  <c:v>62.329500000000003</c:v>
                </c:pt>
                <c:pt idx="19">
                  <c:v>62.853700000000003</c:v>
                </c:pt>
                <c:pt idx="20">
                  <c:v>60.316299999999998</c:v>
                </c:pt>
                <c:pt idx="21">
                  <c:v>94.174300000000002</c:v>
                </c:pt>
                <c:pt idx="22">
                  <c:v>92.122</c:v>
                </c:pt>
                <c:pt idx="23">
                  <c:v>92.122</c:v>
                </c:pt>
                <c:pt idx="24">
                  <c:v>70.289199999999994</c:v>
                </c:pt>
                <c:pt idx="25">
                  <c:v>76.131399999999999</c:v>
                </c:pt>
                <c:pt idx="26">
                  <c:v>78.7</c:v>
                </c:pt>
                <c:pt idx="27">
                  <c:v>81.495199999999997</c:v>
                </c:pt>
                <c:pt idx="28">
                  <c:v>83.308300000000003</c:v>
                </c:pt>
                <c:pt idx="29">
                  <c:v>94.193200000000004</c:v>
                </c:pt>
                <c:pt idx="30">
                  <c:v>97.447999999999993</c:v>
                </c:pt>
                <c:pt idx="31">
                  <c:v>98.832999999999998</c:v>
                </c:pt>
                <c:pt idx="32">
                  <c:v>111.3862</c:v>
                </c:pt>
                <c:pt idx="33">
                  <c:v>113.4134</c:v>
                </c:pt>
                <c:pt idx="34">
                  <c:v>95.623999999999995</c:v>
                </c:pt>
                <c:pt idx="35">
                  <c:v>89.463200000000001</c:v>
                </c:pt>
                <c:pt idx="36">
                  <c:v>87.496200000000002</c:v>
                </c:pt>
                <c:pt idx="37">
                  <c:v>85.364900000000006</c:v>
                </c:pt>
                <c:pt idx="38">
                  <c:v>83.588800000000006</c:v>
                </c:pt>
                <c:pt idx="39">
                  <c:v>86.966099999999997</c:v>
                </c:pt>
                <c:pt idx="40">
                  <c:v>82.973799999999997</c:v>
                </c:pt>
                <c:pt idx="41">
                  <c:v>86.594899999999996</c:v>
                </c:pt>
                <c:pt idx="42">
                  <c:v>103.1208</c:v>
                </c:pt>
                <c:pt idx="43">
                  <c:v>103.8683</c:v>
                </c:pt>
                <c:pt idx="44">
                  <c:v>106.0686</c:v>
                </c:pt>
                <c:pt idx="45">
                  <c:v>120.813</c:v>
                </c:pt>
                <c:pt idx="46">
                  <c:v>114.5197</c:v>
                </c:pt>
                <c:pt idx="47">
                  <c:v>96.944199999999995</c:v>
                </c:pt>
                <c:pt idx="48">
                  <c:v>95.219499999999996</c:v>
                </c:pt>
                <c:pt idx="49">
                  <c:v>94.5261</c:v>
                </c:pt>
                <c:pt idx="50">
                  <c:v>91.260999999999996</c:v>
                </c:pt>
                <c:pt idx="51">
                  <c:v>87.434100000000001</c:v>
                </c:pt>
                <c:pt idx="52">
                  <c:v>80.206100000000006</c:v>
                </c:pt>
                <c:pt idx="53">
                  <c:v>84.309399999999997</c:v>
                </c:pt>
                <c:pt idx="54">
                  <c:v>78.762200000000007</c:v>
                </c:pt>
                <c:pt idx="55">
                  <c:v>89.422200000000004</c:v>
                </c:pt>
                <c:pt idx="56">
                  <c:v>81.459000000000003</c:v>
                </c:pt>
                <c:pt idx="57">
                  <c:v>83.576499999999996</c:v>
                </c:pt>
                <c:pt idx="58">
                  <c:v>77.248199999999997</c:v>
                </c:pt>
                <c:pt idx="59">
                  <c:v>73.0702</c:v>
                </c:pt>
                <c:pt idx="60">
                  <c:v>72.094300000000004</c:v>
                </c:pt>
                <c:pt idx="61">
                  <c:v>68.116699999999994</c:v>
                </c:pt>
                <c:pt idx="62">
                  <c:v>71.857900000000001</c:v>
                </c:pt>
                <c:pt idx="63">
                  <c:v>70.053700000000006</c:v>
                </c:pt>
                <c:pt idx="64">
                  <c:v>75.553399999999996</c:v>
                </c:pt>
                <c:pt idx="65">
                  <c:v>78.589500000000001</c:v>
                </c:pt>
                <c:pt idx="66">
                  <c:v>89.273799999999994</c:v>
                </c:pt>
                <c:pt idx="67">
                  <c:v>83.902600000000007</c:v>
                </c:pt>
                <c:pt idx="68">
                  <c:v>83.8446</c:v>
                </c:pt>
                <c:pt idx="69">
                  <c:v>82.857399999999998</c:v>
                </c:pt>
                <c:pt idx="70">
                  <c:v>80.393699999999995</c:v>
                </c:pt>
                <c:pt idx="71">
                  <c:v>77.341099999999997</c:v>
                </c:pt>
                <c:pt idx="72">
                  <c:v>69.999700000000004</c:v>
                </c:pt>
                <c:pt idx="73">
                  <c:v>52.042099999999998</c:v>
                </c:pt>
                <c:pt idx="74">
                  <c:v>49.3855</c:v>
                </c:pt>
                <c:pt idx="75">
                  <c:v>48.430900000000001</c:v>
                </c:pt>
                <c:pt idx="76">
                  <c:v>48.895000000000003</c:v>
                </c:pt>
                <c:pt idx="77">
                  <c:v>49.020099999999999</c:v>
                </c:pt>
                <c:pt idx="78">
                  <c:v>49.020099999999999</c:v>
                </c:pt>
                <c:pt idx="79">
                  <c:v>48.918100000000003</c:v>
                </c:pt>
                <c:pt idx="80">
                  <c:v>54.721699999999998</c:v>
                </c:pt>
                <c:pt idx="81">
                  <c:v>42.377000000000002</c:v>
                </c:pt>
                <c:pt idx="82">
                  <c:v>40.569699999999997</c:v>
                </c:pt>
                <c:pt idx="83">
                  <c:v>40.964799999999997</c:v>
                </c:pt>
                <c:pt idx="84">
                  <c:v>41.2117</c:v>
                </c:pt>
                <c:pt idx="85">
                  <c:v>40.066099999999999</c:v>
                </c:pt>
                <c:pt idx="86">
                  <c:v>47.5398</c:v>
                </c:pt>
                <c:pt idx="87">
                  <c:v>47.874699999999997</c:v>
                </c:pt>
                <c:pt idx="88">
                  <c:v>49.369799999999998</c:v>
                </c:pt>
                <c:pt idx="89">
                  <c:v>46.060299999999998</c:v>
                </c:pt>
                <c:pt idx="90">
                  <c:v>49.073900000000002</c:v>
                </c:pt>
                <c:pt idx="91">
                  <c:v>49.669600000000003</c:v>
                </c:pt>
                <c:pt idx="92">
                  <c:v>49.128399999999999</c:v>
                </c:pt>
                <c:pt idx="93">
                  <c:v>48.587200000000003</c:v>
                </c:pt>
                <c:pt idx="94">
                  <c:v>54.396299999999997</c:v>
                </c:pt>
                <c:pt idx="95">
                  <c:v>51.927799999999998</c:v>
                </c:pt>
                <c:pt idx="96">
                  <c:v>48.676699999999997</c:v>
                </c:pt>
                <c:pt idx="97">
                  <c:v>47.341299999999997</c:v>
                </c:pt>
                <c:pt idx="98">
                  <c:v>46.652099999999997</c:v>
                </c:pt>
                <c:pt idx="99">
                  <c:v>73.820999999999998</c:v>
                </c:pt>
                <c:pt idx="100">
                  <c:v>75.725999999999999</c:v>
                </c:pt>
                <c:pt idx="101">
                  <c:v>72.259399999999999</c:v>
                </c:pt>
                <c:pt idx="102">
                  <c:v>68.047799999999995</c:v>
                </c:pt>
                <c:pt idx="103">
                  <c:v>72.265900000000002</c:v>
                </c:pt>
                <c:pt idx="104">
                  <c:v>72.784300000000002</c:v>
                </c:pt>
                <c:pt idx="105">
                  <c:v>72.168700000000001</c:v>
                </c:pt>
                <c:pt idx="106">
                  <c:v>73.529399999999995</c:v>
                </c:pt>
                <c:pt idx="107">
                  <c:v>63.531500000000001</c:v>
                </c:pt>
                <c:pt idx="108">
                  <c:v>61.173000000000002</c:v>
                </c:pt>
                <c:pt idx="109">
                  <c:v>60.570399999999999</c:v>
                </c:pt>
                <c:pt idx="110">
                  <c:v>61.982900000000001</c:v>
                </c:pt>
                <c:pt idx="111">
                  <c:v>62.604999999999997</c:v>
                </c:pt>
                <c:pt idx="112">
                  <c:v>275.24900000000002</c:v>
                </c:pt>
                <c:pt idx="113">
                  <c:v>279.41989999999998</c:v>
                </c:pt>
                <c:pt idx="114">
                  <c:v>279.36200000000002</c:v>
                </c:pt>
                <c:pt idx="115">
                  <c:v>278.6379</c:v>
                </c:pt>
                <c:pt idx="116">
                  <c:v>296.2482</c:v>
                </c:pt>
                <c:pt idx="117">
                  <c:v>263.2577</c:v>
                </c:pt>
                <c:pt idx="118">
                  <c:v>271.91809999999998</c:v>
                </c:pt>
                <c:pt idx="119">
                  <c:v>283.70659999999998</c:v>
                </c:pt>
                <c:pt idx="120">
                  <c:v>286.28449999999998</c:v>
                </c:pt>
                <c:pt idx="121">
                  <c:v>267.3997</c:v>
                </c:pt>
                <c:pt idx="122">
                  <c:v>308.5292</c:v>
                </c:pt>
                <c:pt idx="123">
                  <c:v>308.81880000000001</c:v>
                </c:pt>
                <c:pt idx="124">
                  <c:v>297.81229999999999</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numCache>
            </c:numRef>
          </c:val>
          <c:smooth val="0"/>
          <c:extLst>
            <c:ext xmlns:c16="http://schemas.microsoft.com/office/drawing/2014/chart" uri="{C3380CC4-5D6E-409C-BE32-E72D297353CC}">
              <c16:uniqueId val="{00000003-D72A-4DDA-A333-B3FDE0305032}"/>
            </c:ext>
          </c:extLst>
        </c:ser>
        <c:ser>
          <c:idx val="4"/>
          <c:order val="4"/>
          <c:tx>
            <c:strRef>
              <c:f>Inputs!$B$24</c:f>
              <c:strCache>
                <c:ptCount val="1"/>
                <c:pt idx="0">
                  <c:v>LEONARDO DRS INC</c:v>
                </c:pt>
              </c:strCache>
            </c:strRef>
          </c:tx>
          <c:spPr>
            <a:ln w="28575" cap="rnd">
              <a:solidFill>
                <a:schemeClr val="accent5"/>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Data'!$N$5:$N$159</c:f>
              <c:numCache>
                <c:formatCode>0.0</c:formatCode>
                <c:ptCount val="155"/>
                <c:pt idx="0">
                  <c:v>42.625500000000002</c:v>
                </c:pt>
                <c:pt idx="1">
                  <c:v>43.273600000000002</c:v>
                </c:pt>
                <c:pt idx="2">
                  <c:v>42.378700000000002</c:v>
                </c:pt>
                <c:pt idx="3">
                  <c:v>42.851799999999997</c:v>
                </c:pt>
                <c:pt idx="4">
                  <c:v>42.368400000000001</c:v>
                </c:pt>
                <c:pt idx="5">
                  <c:v>42.862099999999998</c:v>
                </c:pt>
                <c:pt idx="6">
                  <c:v>42.677</c:v>
                </c:pt>
                <c:pt idx="7">
                  <c:v>42.862099999999998</c:v>
                </c:pt>
                <c:pt idx="8">
                  <c:v>49.825800000000001</c:v>
                </c:pt>
                <c:pt idx="9">
                  <c:v>49.506900000000002</c:v>
                </c:pt>
                <c:pt idx="10">
                  <c:v>48.930900000000001</c:v>
                </c:pt>
                <c:pt idx="11">
                  <c:v>48.385100000000001</c:v>
                </c:pt>
                <c:pt idx="12">
                  <c:v>48.385100000000001</c:v>
                </c:pt>
                <c:pt idx="13">
                  <c:v>47.267800000000001</c:v>
                </c:pt>
                <c:pt idx="14">
                  <c:v>49.491500000000002</c:v>
                </c:pt>
                <c:pt idx="15">
                  <c:v>47.681399999999996</c:v>
                </c:pt>
                <c:pt idx="16">
                  <c:v>45.441600000000001</c:v>
                </c:pt>
                <c:pt idx="17">
                  <c:v>44.088000000000001</c:v>
                </c:pt>
                <c:pt idx="18">
                  <c:v>44.764800000000001</c:v>
                </c:pt>
                <c:pt idx="19">
                  <c:v>44.872199999999999</c:v>
                </c:pt>
                <c:pt idx="20">
                  <c:v>45.119300000000003</c:v>
                </c:pt>
                <c:pt idx="21">
                  <c:v>40.016500000000001</c:v>
                </c:pt>
                <c:pt idx="22">
                  <c:v>37.706800000000001</c:v>
                </c:pt>
                <c:pt idx="23">
                  <c:v>37.706800000000001</c:v>
                </c:pt>
                <c:pt idx="24">
                  <c:v>32.389200000000002</c:v>
                </c:pt>
                <c:pt idx="25">
                  <c:v>38.029499999999999</c:v>
                </c:pt>
                <c:pt idx="26">
                  <c:v>38.226399999999998</c:v>
                </c:pt>
                <c:pt idx="27">
                  <c:v>37.334499999999998</c:v>
                </c:pt>
                <c:pt idx="28">
                  <c:v>36.210900000000002</c:v>
                </c:pt>
                <c:pt idx="29">
                  <c:v>35.272599999999997</c:v>
                </c:pt>
                <c:pt idx="30">
                  <c:v>33.419199999999996</c:v>
                </c:pt>
                <c:pt idx="31">
                  <c:v>33.673999999999999</c:v>
                </c:pt>
                <c:pt idx="32">
                  <c:v>40.103000000000002</c:v>
                </c:pt>
                <c:pt idx="33">
                  <c:v>40.716900000000003</c:v>
                </c:pt>
                <c:pt idx="34">
                  <c:v>42.639800000000001</c:v>
                </c:pt>
                <c:pt idx="35">
                  <c:v>41.2498</c:v>
                </c:pt>
                <c:pt idx="36">
                  <c:v>38.295900000000003</c:v>
                </c:pt>
                <c:pt idx="37">
                  <c:v>38.087400000000002</c:v>
                </c:pt>
                <c:pt idx="38">
                  <c:v>41.399700000000003</c:v>
                </c:pt>
                <c:pt idx="39">
                  <c:v>41.959499999999998</c:v>
                </c:pt>
                <c:pt idx="40">
                  <c:v>43.371699999999997</c:v>
                </c:pt>
                <c:pt idx="41">
                  <c:v>47.137599999999999</c:v>
                </c:pt>
                <c:pt idx="42">
                  <c:v>44.236899999999999</c:v>
                </c:pt>
                <c:pt idx="43">
                  <c:v>46.119799999999998</c:v>
                </c:pt>
                <c:pt idx="44">
                  <c:v>42.901000000000003</c:v>
                </c:pt>
                <c:pt idx="45">
                  <c:v>46.552399999999999</c:v>
                </c:pt>
                <c:pt idx="46">
                  <c:v>39.084200000000003</c:v>
                </c:pt>
                <c:pt idx="47">
                  <c:v>35.941699999999997</c:v>
                </c:pt>
                <c:pt idx="48">
                  <c:v>36.5396</c:v>
                </c:pt>
                <c:pt idx="49">
                  <c:v>37.124899999999997</c:v>
                </c:pt>
                <c:pt idx="50">
                  <c:v>38.613399999999999</c:v>
                </c:pt>
                <c:pt idx="51">
                  <c:v>36.780999999999999</c:v>
                </c:pt>
                <c:pt idx="52">
                  <c:v>37.493600000000001</c:v>
                </c:pt>
                <c:pt idx="53">
                  <c:v>37.044899999999998</c:v>
                </c:pt>
                <c:pt idx="54">
                  <c:v>34.755200000000002</c:v>
                </c:pt>
                <c:pt idx="55">
                  <c:v>37.665199999999999</c:v>
                </c:pt>
                <c:pt idx="56">
                  <c:v>37.506799999999998</c:v>
                </c:pt>
                <c:pt idx="57">
                  <c:v>36.622599999999998</c:v>
                </c:pt>
                <c:pt idx="58">
                  <c:v>36.424599999999998</c:v>
                </c:pt>
                <c:pt idx="59">
                  <c:v>34.9861</c:v>
                </c:pt>
                <c:pt idx="60">
                  <c:v>37.612400000000001</c:v>
                </c:pt>
                <c:pt idx="61">
                  <c:v>36.675400000000003</c:v>
                </c:pt>
                <c:pt idx="62">
                  <c:v>35.144500000000001</c:v>
                </c:pt>
                <c:pt idx="63">
                  <c:v>33.930300000000003</c:v>
                </c:pt>
                <c:pt idx="64">
                  <c:v>34.136499999999998</c:v>
                </c:pt>
                <c:pt idx="65">
                  <c:v>34.792200000000001</c:v>
                </c:pt>
                <c:pt idx="66">
                  <c:v>32.999099999999999</c:v>
                </c:pt>
                <c:pt idx="67">
                  <c:v>32.477200000000003</c:v>
                </c:pt>
                <c:pt idx="68">
                  <c:v>31.5137</c:v>
                </c:pt>
                <c:pt idx="69">
                  <c:v>32.008899999999997</c:v>
                </c:pt>
                <c:pt idx="70">
                  <c:v>31.246099999999998</c:v>
                </c:pt>
                <c:pt idx="71">
                  <c:v>30.403099999999998</c:v>
                </c:pt>
                <c:pt idx="72">
                  <c:v>28.395800000000001</c:v>
                </c:pt>
                <c:pt idx="73">
                  <c:v>28.998000000000001</c:v>
                </c:pt>
                <c:pt idx="74">
                  <c:v>28.034500000000001</c:v>
                </c:pt>
                <c:pt idx="75">
                  <c:v>27.566199999999998</c:v>
                </c:pt>
                <c:pt idx="76">
                  <c:v>27.967600000000001</c:v>
                </c:pt>
                <c:pt idx="77">
                  <c:v>33.4238</c:v>
                </c:pt>
                <c:pt idx="78">
                  <c:v>33.4238</c:v>
                </c:pt>
                <c:pt idx="79">
                  <c:v>33.545900000000003</c:v>
                </c:pt>
                <c:pt idx="80">
                  <c:v>35.744700000000002</c:v>
                </c:pt>
                <c:pt idx="81">
                  <c:v>34.874299999999998</c:v>
                </c:pt>
                <c:pt idx="82">
                  <c:v>32.461799999999997</c:v>
                </c:pt>
                <c:pt idx="83">
                  <c:v>32.248100000000001</c:v>
                </c:pt>
                <c:pt idx="84">
                  <c:v>30.385300000000001</c:v>
                </c:pt>
                <c:pt idx="85">
                  <c:v>29.255299999999998</c:v>
                </c:pt>
                <c:pt idx="86">
                  <c:v>29.896599999999999</c:v>
                </c:pt>
                <c:pt idx="87">
                  <c:v>29.133199999999999</c:v>
                </c:pt>
                <c:pt idx="88">
                  <c:v>29.545500000000001</c:v>
                </c:pt>
                <c:pt idx="89">
                  <c:v>28.8278</c:v>
                </c:pt>
                <c:pt idx="90">
                  <c:v>31.0059</c:v>
                </c:pt>
                <c:pt idx="91">
                  <c:v>29.814599999999999</c:v>
                </c:pt>
                <c:pt idx="92">
                  <c:v>29.3659</c:v>
                </c:pt>
                <c:pt idx="93">
                  <c:v>28.6387</c:v>
                </c:pt>
                <c:pt idx="94">
                  <c:v>29.335000000000001</c:v>
                </c:pt>
                <c:pt idx="95">
                  <c:v>29.102900000000002</c:v>
                </c:pt>
                <c:pt idx="96">
                  <c:v>28.716100000000001</c:v>
                </c:pt>
                <c:pt idx="97">
                  <c:v>30.634599999999999</c:v>
                </c:pt>
                <c:pt idx="98">
                  <c:v>31.0059</c:v>
                </c:pt>
                <c:pt idx="99">
                  <c:v>29.381399999999999</c:v>
                </c:pt>
                <c:pt idx="100">
                  <c:v>29.180199999999999</c:v>
                </c:pt>
                <c:pt idx="101">
                  <c:v>29.226600000000001</c:v>
                </c:pt>
                <c:pt idx="102">
                  <c:v>26.085799999999999</c:v>
                </c:pt>
                <c:pt idx="103">
                  <c:v>35.587600000000002</c:v>
                </c:pt>
                <c:pt idx="104">
                  <c:v>34.863</c:v>
                </c:pt>
                <c:pt idx="105">
                  <c:v>35.566299999999998</c:v>
                </c:pt>
                <c:pt idx="106">
                  <c:v>35.9711</c:v>
                </c:pt>
                <c:pt idx="107">
                  <c:v>37.121899999999997</c:v>
                </c:pt>
                <c:pt idx="108">
                  <c:v>34.948300000000003</c:v>
                </c:pt>
                <c:pt idx="109">
                  <c:v>34.735199999999999</c:v>
                </c:pt>
                <c:pt idx="110">
                  <c:v>36.418700000000001</c:v>
                </c:pt>
                <c:pt idx="111">
                  <c:v>36.397300000000001</c:v>
                </c:pt>
                <c:pt idx="112">
                  <c:v>35.864600000000003</c:v>
                </c:pt>
                <c:pt idx="113">
                  <c:v>36.546500000000002</c:v>
                </c:pt>
                <c:pt idx="114">
                  <c:v>36.269500000000001</c:v>
                </c:pt>
                <c:pt idx="115">
                  <c:v>35.459699999999998</c:v>
                </c:pt>
                <c:pt idx="116">
                  <c:v>36.9514</c:v>
                </c:pt>
                <c:pt idx="117">
                  <c:v>33.355400000000003</c:v>
                </c:pt>
                <c:pt idx="118">
                  <c:v>34.307299999999998</c:v>
                </c:pt>
                <c:pt idx="119">
                  <c:v>32.889600000000002</c:v>
                </c:pt>
                <c:pt idx="120">
                  <c:v>31.390899999999998</c:v>
                </c:pt>
                <c:pt idx="121">
                  <c:v>29.689800000000002</c:v>
                </c:pt>
                <c:pt idx="122">
                  <c:v>31.451699999999999</c:v>
                </c:pt>
                <c:pt idx="123">
                  <c:v>30.601099999999999</c:v>
                </c:pt>
                <c:pt idx="124">
                  <c:v>31.8567</c:v>
                </c:pt>
                <c:pt idx="125">
                  <c:v>30.479600000000001</c:v>
                </c:pt>
                <c:pt idx="126">
                  <c:v>30.4391</c:v>
                </c:pt>
                <c:pt idx="127">
                  <c:v>29.770800000000001</c:v>
                </c:pt>
                <c:pt idx="128">
                  <c:v>26.267099999999999</c:v>
                </c:pt>
                <c:pt idx="129">
                  <c:v>26.267099999999999</c:v>
                </c:pt>
                <c:pt idx="130">
                  <c:v>18.171299999999999</c:v>
                </c:pt>
                <c:pt idx="131">
                  <c:v>17.676400000000001</c:v>
                </c:pt>
                <c:pt idx="132">
                  <c:v>17.733000000000001</c:v>
                </c:pt>
                <c:pt idx="133">
                  <c:v>18.425899999999999</c:v>
                </c:pt>
                <c:pt idx="134">
                  <c:v>18.539000000000001</c:v>
                </c:pt>
                <c:pt idx="135">
                  <c:v>18.6097</c:v>
                </c:pt>
                <c:pt idx="136">
                  <c:v>19.104600000000001</c:v>
                </c:pt>
                <c:pt idx="137">
                  <c:v>18.8218</c:v>
                </c:pt>
                <c:pt idx="138">
                  <c:v>19.062200000000001</c:v>
                </c:pt>
                <c:pt idx="139">
                  <c:v>18.227900000000002</c:v>
                </c:pt>
                <c:pt idx="140">
                  <c:v>18.652100000000001</c:v>
                </c:pt>
                <c:pt idx="141">
                  <c:v>17.9026</c:v>
                </c:pt>
                <c:pt idx="142">
                  <c:v>14.8545</c:v>
                </c:pt>
                <c:pt idx="143">
                  <c:v>15.284599999999999</c:v>
                </c:pt>
                <c:pt idx="144">
                  <c:v>14.029299999999999</c:v>
                </c:pt>
                <c:pt idx="145">
                  <c:v>13.052899999999999</c:v>
                </c:pt>
                <c:pt idx="146">
                  <c:v>11.286199999999999</c:v>
                </c:pt>
                <c:pt idx="147">
                  <c:v>0</c:v>
                </c:pt>
                <c:pt idx="148">
                  <c:v>0</c:v>
                </c:pt>
                <c:pt idx="149">
                  <c:v>0</c:v>
                </c:pt>
                <c:pt idx="150">
                  <c:v>0</c:v>
                </c:pt>
                <c:pt idx="151">
                  <c:v>0</c:v>
                </c:pt>
                <c:pt idx="152">
                  <c:v>0</c:v>
                </c:pt>
                <c:pt idx="153">
                  <c:v>0</c:v>
                </c:pt>
                <c:pt idx="154">
                  <c:v>0</c:v>
                </c:pt>
              </c:numCache>
            </c:numRef>
          </c:val>
          <c:smooth val="0"/>
          <c:extLst>
            <c:ext xmlns:c16="http://schemas.microsoft.com/office/drawing/2014/chart" uri="{C3380CC4-5D6E-409C-BE32-E72D297353CC}">
              <c16:uniqueId val="{00000004-D72A-4DDA-A333-B3FDE0305032}"/>
            </c:ext>
          </c:extLst>
        </c:ser>
        <c:ser>
          <c:idx val="5"/>
          <c:order val="5"/>
          <c:tx>
            <c:strRef>
              <c:f>Inputs!$B$25</c:f>
              <c:strCache>
                <c:ptCount val="1"/>
                <c:pt idx="0">
                  <c:v>CURTISS-WRIGHT</c:v>
                </c:pt>
              </c:strCache>
            </c:strRef>
          </c:tx>
          <c:spPr>
            <a:ln w="28575" cap="rnd">
              <a:solidFill>
                <a:schemeClr val="accent6"/>
              </a:solidFill>
              <a:round/>
            </a:ln>
            <a:effectLst/>
          </c:spPr>
          <c:marker>
            <c:symbol val="none"/>
          </c:marker>
          <c:cat>
            <c:numRef>
              <c:f>'Stock Data'!$B$5:$B$159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Data'!$O$5:$O$159</c:f>
              <c:numCache>
                <c:formatCode>0.0</c:formatCode>
                <c:ptCount val="155"/>
                <c:pt idx="0">
                  <c:v>41.729599999999998</c:v>
                </c:pt>
                <c:pt idx="1">
                  <c:v>41.265099999999997</c:v>
                </c:pt>
                <c:pt idx="2">
                  <c:v>39.0518</c:v>
                </c:pt>
                <c:pt idx="3">
                  <c:v>38.764800000000001</c:v>
                </c:pt>
                <c:pt idx="4">
                  <c:v>38.990200000000002</c:v>
                </c:pt>
                <c:pt idx="5">
                  <c:v>39.512300000000003</c:v>
                </c:pt>
                <c:pt idx="6">
                  <c:v>38.301099999999998</c:v>
                </c:pt>
                <c:pt idx="7">
                  <c:v>40.015799999999999</c:v>
                </c:pt>
                <c:pt idx="8">
                  <c:v>39.311999999999998</c:v>
                </c:pt>
                <c:pt idx="9">
                  <c:v>39.553600000000003</c:v>
                </c:pt>
                <c:pt idx="10">
                  <c:v>38.369199999999999</c:v>
                </c:pt>
                <c:pt idx="11">
                  <c:v>41.436599999999999</c:v>
                </c:pt>
                <c:pt idx="12">
                  <c:v>41.436599999999999</c:v>
                </c:pt>
                <c:pt idx="13">
                  <c:v>39.664299999999997</c:v>
                </c:pt>
                <c:pt idx="14">
                  <c:v>40.2149</c:v>
                </c:pt>
                <c:pt idx="15">
                  <c:v>38.447600000000001</c:v>
                </c:pt>
                <c:pt idx="16">
                  <c:v>37.3932</c:v>
                </c:pt>
                <c:pt idx="17">
                  <c:v>36.402500000000003</c:v>
                </c:pt>
                <c:pt idx="18">
                  <c:v>34.844299999999997</c:v>
                </c:pt>
                <c:pt idx="19">
                  <c:v>32.676900000000003</c:v>
                </c:pt>
                <c:pt idx="20">
                  <c:v>30.388000000000002</c:v>
                </c:pt>
                <c:pt idx="21">
                  <c:v>28.741399999999999</c:v>
                </c:pt>
                <c:pt idx="22">
                  <c:v>26.903600000000001</c:v>
                </c:pt>
                <c:pt idx="23">
                  <c:v>26.903600000000001</c:v>
                </c:pt>
                <c:pt idx="24">
                  <c:v>24.059899999999999</c:v>
                </c:pt>
                <c:pt idx="25">
                  <c:v>28.752500000000001</c:v>
                </c:pt>
                <c:pt idx="26">
                  <c:v>29.524899999999999</c:v>
                </c:pt>
                <c:pt idx="27">
                  <c:v>29.284400000000002</c:v>
                </c:pt>
                <c:pt idx="28">
                  <c:v>28.564699999999998</c:v>
                </c:pt>
                <c:pt idx="29">
                  <c:v>29.1936</c:v>
                </c:pt>
                <c:pt idx="30">
                  <c:v>28.6981</c:v>
                </c:pt>
                <c:pt idx="31">
                  <c:v>29.333400000000001</c:v>
                </c:pt>
                <c:pt idx="32">
                  <c:v>32.220399999999998</c:v>
                </c:pt>
                <c:pt idx="33">
                  <c:v>31.488</c:v>
                </c:pt>
                <c:pt idx="34">
                  <c:v>34.837000000000003</c:v>
                </c:pt>
                <c:pt idx="35">
                  <c:v>33.301400000000001</c:v>
                </c:pt>
                <c:pt idx="36">
                  <c:v>31.7821</c:v>
                </c:pt>
                <c:pt idx="37">
                  <c:v>31.713100000000001</c:v>
                </c:pt>
                <c:pt idx="38">
                  <c:v>33.530900000000003</c:v>
                </c:pt>
                <c:pt idx="39">
                  <c:v>33.051299999999998</c:v>
                </c:pt>
                <c:pt idx="40">
                  <c:v>34.2363</c:v>
                </c:pt>
                <c:pt idx="41">
                  <c:v>35.084499999999998</c:v>
                </c:pt>
                <c:pt idx="42">
                  <c:v>34.862400000000001</c:v>
                </c:pt>
                <c:pt idx="43">
                  <c:v>34.600200000000001</c:v>
                </c:pt>
                <c:pt idx="44">
                  <c:v>33.436700000000002</c:v>
                </c:pt>
                <c:pt idx="45">
                  <c:v>36.0017</c:v>
                </c:pt>
                <c:pt idx="46">
                  <c:v>32.547499999999999</c:v>
                </c:pt>
                <c:pt idx="47">
                  <c:v>32.2545</c:v>
                </c:pt>
                <c:pt idx="48">
                  <c:v>33.995600000000003</c:v>
                </c:pt>
                <c:pt idx="49">
                  <c:v>32.370199999999997</c:v>
                </c:pt>
                <c:pt idx="50">
                  <c:v>31.491199999999999</c:v>
                </c:pt>
                <c:pt idx="51">
                  <c:v>31.700299999999999</c:v>
                </c:pt>
                <c:pt idx="52">
                  <c:v>31.977799999999998</c:v>
                </c:pt>
                <c:pt idx="53">
                  <c:v>30.172000000000001</c:v>
                </c:pt>
                <c:pt idx="54">
                  <c:v>28.594999999999999</c:v>
                </c:pt>
                <c:pt idx="55">
                  <c:v>30.747299999999999</c:v>
                </c:pt>
                <c:pt idx="56">
                  <c:v>30.175899999999999</c:v>
                </c:pt>
                <c:pt idx="57">
                  <c:v>29.322199999999999</c:v>
                </c:pt>
                <c:pt idx="58">
                  <c:v>28.359500000000001</c:v>
                </c:pt>
                <c:pt idx="59">
                  <c:v>26.865200000000002</c:v>
                </c:pt>
                <c:pt idx="60">
                  <c:v>27.287700000000001</c:v>
                </c:pt>
                <c:pt idx="61">
                  <c:v>26.968399999999999</c:v>
                </c:pt>
                <c:pt idx="62">
                  <c:v>27.209800000000001</c:v>
                </c:pt>
                <c:pt idx="63">
                  <c:v>26.4038</c:v>
                </c:pt>
                <c:pt idx="64">
                  <c:v>27.840699999999998</c:v>
                </c:pt>
                <c:pt idx="65">
                  <c:v>28.254799999999999</c:v>
                </c:pt>
                <c:pt idx="66">
                  <c:v>27.351700000000001</c:v>
                </c:pt>
                <c:pt idx="67">
                  <c:v>27.8993</c:v>
                </c:pt>
                <c:pt idx="68">
                  <c:v>29.057200000000002</c:v>
                </c:pt>
                <c:pt idx="69">
                  <c:v>28.840399999999999</c:v>
                </c:pt>
                <c:pt idx="70">
                  <c:v>28.583600000000001</c:v>
                </c:pt>
                <c:pt idx="71">
                  <c:v>28.493099999999998</c:v>
                </c:pt>
                <c:pt idx="72">
                  <c:v>27.552</c:v>
                </c:pt>
                <c:pt idx="73">
                  <c:v>26.097200000000001</c:v>
                </c:pt>
                <c:pt idx="74">
                  <c:v>25.709900000000001</c:v>
                </c:pt>
                <c:pt idx="75">
                  <c:v>25.624600000000001</c:v>
                </c:pt>
                <c:pt idx="76">
                  <c:v>26.6233</c:v>
                </c:pt>
                <c:pt idx="77">
                  <c:v>27.1066</c:v>
                </c:pt>
                <c:pt idx="78">
                  <c:v>27.1066</c:v>
                </c:pt>
                <c:pt idx="79">
                  <c:v>26.3325</c:v>
                </c:pt>
                <c:pt idx="80">
                  <c:v>26.228400000000001</c:v>
                </c:pt>
                <c:pt idx="81">
                  <c:v>25.8185</c:v>
                </c:pt>
                <c:pt idx="82">
                  <c:v>25.911799999999999</c:v>
                </c:pt>
                <c:pt idx="83">
                  <c:v>25.339300000000001</c:v>
                </c:pt>
                <c:pt idx="84">
                  <c:v>24.809100000000001</c:v>
                </c:pt>
                <c:pt idx="85">
                  <c:v>24.490400000000001</c:v>
                </c:pt>
                <c:pt idx="86">
                  <c:v>24.4741</c:v>
                </c:pt>
                <c:pt idx="87">
                  <c:v>24.153199999999998</c:v>
                </c:pt>
                <c:pt idx="88">
                  <c:v>24.123899999999999</c:v>
                </c:pt>
                <c:pt idx="89">
                  <c:v>23.6067</c:v>
                </c:pt>
                <c:pt idx="90">
                  <c:v>24.880400000000002</c:v>
                </c:pt>
                <c:pt idx="91">
                  <c:v>24.6738</c:v>
                </c:pt>
                <c:pt idx="92">
                  <c:v>24.534199999999998</c:v>
                </c:pt>
                <c:pt idx="93">
                  <c:v>24.0764</c:v>
                </c:pt>
                <c:pt idx="94">
                  <c:v>24.462800000000001</c:v>
                </c:pt>
                <c:pt idx="95">
                  <c:v>23.911100000000001</c:v>
                </c:pt>
                <c:pt idx="96">
                  <c:v>23.4878</c:v>
                </c:pt>
                <c:pt idx="97">
                  <c:v>23.1707</c:v>
                </c:pt>
                <c:pt idx="98">
                  <c:v>22.754100000000001</c:v>
                </c:pt>
                <c:pt idx="99">
                  <c:v>21.851800000000001</c:v>
                </c:pt>
                <c:pt idx="100">
                  <c:v>22.502800000000001</c:v>
                </c:pt>
                <c:pt idx="101">
                  <c:v>22.963000000000001</c:v>
                </c:pt>
                <c:pt idx="102">
                  <c:v>21.656300000000002</c:v>
                </c:pt>
                <c:pt idx="103">
                  <c:v>23.357500000000002</c:v>
                </c:pt>
                <c:pt idx="104">
                  <c:v>23.615400000000001</c:v>
                </c:pt>
                <c:pt idx="105">
                  <c:v>23.948499999999999</c:v>
                </c:pt>
                <c:pt idx="106">
                  <c:v>23.824300000000001</c:v>
                </c:pt>
                <c:pt idx="107">
                  <c:v>24.933499999999999</c:v>
                </c:pt>
                <c:pt idx="108">
                  <c:v>24.545500000000001</c:v>
                </c:pt>
                <c:pt idx="109">
                  <c:v>24.0715</c:v>
                </c:pt>
                <c:pt idx="110">
                  <c:v>24.7317</c:v>
                </c:pt>
                <c:pt idx="111">
                  <c:v>24.159800000000001</c:v>
                </c:pt>
                <c:pt idx="112">
                  <c:v>22.742599999999999</c:v>
                </c:pt>
                <c:pt idx="113">
                  <c:v>22.867999999999999</c:v>
                </c:pt>
                <c:pt idx="114">
                  <c:v>22.477499999999999</c:v>
                </c:pt>
                <c:pt idx="115">
                  <c:v>22.0716</c:v>
                </c:pt>
                <c:pt idx="116">
                  <c:v>21.9283</c:v>
                </c:pt>
                <c:pt idx="117">
                  <c:v>21.340900000000001</c:v>
                </c:pt>
                <c:pt idx="118">
                  <c:v>21.775099999999998</c:v>
                </c:pt>
                <c:pt idx="119">
                  <c:v>21.446999999999999</c:v>
                </c:pt>
                <c:pt idx="120">
                  <c:v>20.6279</c:v>
                </c:pt>
                <c:pt idx="121">
                  <c:v>19.6571</c:v>
                </c:pt>
                <c:pt idx="122">
                  <c:v>20.170300000000001</c:v>
                </c:pt>
                <c:pt idx="123">
                  <c:v>20.1493</c:v>
                </c:pt>
                <c:pt idx="124">
                  <c:v>20.162800000000001</c:v>
                </c:pt>
                <c:pt idx="125">
                  <c:v>20.9499</c:v>
                </c:pt>
                <c:pt idx="126">
                  <c:v>21.554300000000001</c:v>
                </c:pt>
                <c:pt idx="127">
                  <c:v>21.604900000000001</c:v>
                </c:pt>
                <c:pt idx="128">
                  <c:v>21.743099999999998</c:v>
                </c:pt>
                <c:pt idx="129">
                  <c:v>21.743099999999998</c:v>
                </c:pt>
                <c:pt idx="130">
                  <c:v>21.8658</c:v>
                </c:pt>
                <c:pt idx="131">
                  <c:v>21.14</c:v>
                </c:pt>
                <c:pt idx="132">
                  <c:v>21.930099999999999</c:v>
                </c:pt>
                <c:pt idx="133">
                  <c:v>22.861699999999999</c:v>
                </c:pt>
                <c:pt idx="134">
                  <c:v>22.842400000000001</c:v>
                </c:pt>
                <c:pt idx="135">
                  <c:v>22.4345</c:v>
                </c:pt>
                <c:pt idx="136">
                  <c:v>21.999600000000001</c:v>
                </c:pt>
                <c:pt idx="137">
                  <c:v>21.827100000000002</c:v>
                </c:pt>
                <c:pt idx="138">
                  <c:v>20.629200000000001</c:v>
                </c:pt>
                <c:pt idx="139">
                  <c:v>20.483799999999999</c:v>
                </c:pt>
                <c:pt idx="140">
                  <c:v>21.3446</c:v>
                </c:pt>
                <c:pt idx="141">
                  <c:v>21.869599999999998</c:v>
                </c:pt>
                <c:pt idx="142">
                  <c:v>23.470199999999998</c:v>
                </c:pt>
                <c:pt idx="143">
                  <c:v>23.1906</c:v>
                </c:pt>
                <c:pt idx="144">
                  <c:v>23.239699999999999</c:v>
                </c:pt>
                <c:pt idx="145">
                  <c:v>23.8582</c:v>
                </c:pt>
                <c:pt idx="146">
                  <c:v>25.347999999999999</c:v>
                </c:pt>
                <c:pt idx="147">
                  <c:v>25.204599999999999</c:v>
                </c:pt>
                <c:pt idx="148">
                  <c:v>24.653700000000001</c:v>
                </c:pt>
                <c:pt idx="149">
                  <c:v>23.492699999999999</c:v>
                </c:pt>
                <c:pt idx="150">
                  <c:v>24.1463</c:v>
                </c:pt>
                <c:pt idx="151">
                  <c:v>23.772400000000001</c:v>
                </c:pt>
                <c:pt idx="152">
                  <c:v>23.138500000000001</c:v>
                </c:pt>
                <c:pt idx="153">
                  <c:v>20.837800000000001</c:v>
                </c:pt>
                <c:pt idx="154">
                  <c:v>20.751999999999999</c:v>
                </c:pt>
              </c:numCache>
            </c:numRef>
          </c:val>
          <c:smooth val="0"/>
          <c:extLst>
            <c:ext xmlns:c16="http://schemas.microsoft.com/office/drawing/2014/chart" uri="{C3380CC4-5D6E-409C-BE32-E72D297353CC}">
              <c16:uniqueId val="{00000005-D72A-4DDA-A333-B3FDE0305032}"/>
            </c:ext>
          </c:extLst>
        </c:ser>
        <c:dLbls>
          <c:showLegendKey val="0"/>
          <c:showVal val="0"/>
          <c:showCatName val="0"/>
          <c:showSerName val="0"/>
          <c:showPercent val="0"/>
          <c:showBubbleSize val="0"/>
        </c:dLbls>
        <c:smooth val="0"/>
        <c:axId val="1000053640"/>
        <c:axId val="1000054296"/>
      </c:lineChart>
      <c:dateAx>
        <c:axId val="100005364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00054296"/>
        <c:crosses val="autoZero"/>
        <c:auto val="1"/>
        <c:lblOffset val="100"/>
        <c:baseTimeUnit val="days"/>
      </c:dateAx>
      <c:valAx>
        <c:axId val="1000054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00053640"/>
        <c:crosses val="autoZero"/>
        <c:crossBetween val="between"/>
      </c:valAx>
      <c:spPr>
        <a:noFill/>
        <a:ln>
          <a:noFill/>
        </a:ln>
        <a:effectLst/>
      </c:spPr>
    </c:plotArea>
    <c:legend>
      <c:legendPos val="b"/>
      <c:layout>
        <c:manualLayout>
          <c:xMode val="edge"/>
          <c:yMode val="edge"/>
          <c:x val="0"/>
          <c:y val="0.8997184117325594"/>
          <c:w val="0.99565370984190071"/>
          <c:h val="8.698150398121092E-2"/>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2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WACC</c:v>
          </c:tx>
          <c:spPr>
            <a:ln w="28575" cap="rnd">
              <a:solidFill>
                <a:schemeClr val="accent1"/>
              </a:solidFill>
              <a:round/>
            </a:ln>
            <a:effectLst/>
          </c:spPr>
          <c:marker>
            <c:symbol val="none"/>
          </c:marker>
          <c:cat>
            <c:numRef>
              <c:f>WACC!$D$9:$H$9</c:f>
              <c:numCache>
                <c:formatCode>General</c:formatCode>
                <c:ptCount val="5"/>
                <c:pt idx="0">
                  <c:v>2025</c:v>
                </c:pt>
                <c:pt idx="1">
                  <c:v>2026</c:v>
                </c:pt>
                <c:pt idx="2">
                  <c:v>2027</c:v>
                </c:pt>
                <c:pt idx="3">
                  <c:v>2028</c:v>
                </c:pt>
                <c:pt idx="4">
                  <c:v>2029</c:v>
                </c:pt>
              </c:numCache>
            </c:numRef>
          </c:cat>
          <c:val>
            <c:numRef>
              <c:f>WACC!$D$39:$H$39</c:f>
              <c:numCache>
                <c:formatCode>0.00%</c:formatCode>
                <c:ptCount val="5"/>
                <c:pt idx="0">
                  <c:v>0.10190002287814828</c:v>
                </c:pt>
                <c:pt idx="1">
                  <c:v>9.9603683593850259E-2</c:v>
                </c:pt>
                <c:pt idx="2">
                  <c:v>9.4137165276134124E-2</c:v>
                </c:pt>
                <c:pt idx="3">
                  <c:v>9.4792083309254302E-2</c:v>
                </c:pt>
                <c:pt idx="4">
                  <c:v>9.7024424246718227E-2</c:v>
                </c:pt>
              </c:numCache>
            </c:numRef>
          </c:val>
          <c:smooth val="0"/>
          <c:extLst>
            <c:ext xmlns:c16="http://schemas.microsoft.com/office/drawing/2014/chart" uri="{C3380CC4-5D6E-409C-BE32-E72D297353CC}">
              <c16:uniqueId val="{00000000-F72C-4B80-A6C6-9C2F6C2F1E75}"/>
            </c:ext>
          </c:extLst>
        </c:ser>
        <c:ser>
          <c:idx val="1"/>
          <c:order val="1"/>
          <c:tx>
            <c:v>ROIC</c:v>
          </c:tx>
          <c:spPr>
            <a:ln w="28575" cap="rnd">
              <a:solidFill>
                <a:schemeClr val="accent2"/>
              </a:solidFill>
              <a:round/>
            </a:ln>
            <a:effectLst/>
          </c:spPr>
          <c:marker>
            <c:symbol val="none"/>
          </c:marker>
          <c:cat>
            <c:numRef>
              <c:f>WACC!$D$9:$H$9</c:f>
              <c:numCache>
                <c:formatCode>General</c:formatCode>
                <c:ptCount val="5"/>
                <c:pt idx="0">
                  <c:v>2025</c:v>
                </c:pt>
                <c:pt idx="1">
                  <c:v>2026</c:v>
                </c:pt>
                <c:pt idx="2">
                  <c:v>2027</c:v>
                </c:pt>
                <c:pt idx="3">
                  <c:v>2028</c:v>
                </c:pt>
                <c:pt idx="4">
                  <c:v>2029</c:v>
                </c:pt>
              </c:numCache>
            </c:numRef>
          </c:cat>
          <c:val>
            <c:numRef>
              <c:f>WACC!$D$45:$H$45</c:f>
              <c:numCache>
                <c:formatCode>0.00%</c:formatCode>
                <c:ptCount val="5"/>
                <c:pt idx="0">
                  <c:v>0.2446285978361695</c:v>
                </c:pt>
                <c:pt idx="1">
                  <c:v>0.26304325678142809</c:v>
                </c:pt>
                <c:pt idx="2">
                  <c:v>0.26942351552417515</c:v>
                </c:pt>
                <c:pt idx="3">
                  <c:v>0.2528249720467961</c:v>
                </c:pt>
                <c:pt idx="4">
                  <c:v>0.23553025381851261</c:v>
                </c:pt>
              </c:numCache>
            </c:numRef>
          </c:val>
          <c:smooth val="0"/>
          <c:extLst>
            <c:ext xmlns:c16="http://schemas.microsoft.com/office/drawing/2014/chart" uri="{C3380CC4-5D6E-409C-BE32-E72D297353CC}">
              <c16:uniqueId val="{00000001-F72C-4B80-A6C6-9C2F6C2F1E75}"/>
            </c:ext>
          </c:extLst>
        </c:ser>
        <c:dLbls>
          <c:showLegendKey val="0"/>
          <c:showVal val="0"/>
          <c:showCatName val="0"/>
          <c:showSerName val="0"/>
          <c:showPercent val="0"/>
          <c:showBubbleSize val="0"/>
        </c:dLbls>
        <c:smooth val="0"/>
        <c:axId val="1098581088"/>
        <c:axId val="1098581568"/>
      </c:lineChart>
      <c:catAx>
        <c:axId val="109858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Nova" panose="020B0504020202020204" pitchFamily="34" charset="0"/>
                <a:ea typeface="+mn-ea"/>
                <a:cs typeface="+mn-cs"/>
              </a:defRPr>
            </a:pPr>
            <a:endParaRPr lang="en-US"/>
          </a:p>
        </c:txPr>
        <c:crossAx val="1098581568"/>
        <c:crosses val="autoZero"/>
        <c:auto val="1"/>
        <c:lblAlgn val="ctr"/>
        <c:lblOffset val="100"/>
        <c:noMultiLvlLbl val="0"/>
      </c:catAx>
      <c:valAx>
        <c:axId val="10985815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Nova" panose="020B0504020202020204" pitchFamily="34" charset="0"/>
                <a:ea typeface="+mn-ea"/>
                <a:cs typeface="+mn-cs"/>
              </a:defRPr>
            </a:pPr>
            <a:endParaRPr lang="en-US"/>
          </a:p>
        </c:txPr>
        <c:crossAx val="1098581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BE606D"/>
            </a:solidFill>
            <a:ln>
              <a:noFill/>
            </a:ln>
            <a:effectLst/>
          </c:spPr>
          <c:invertIfNegative val="0"/>
          <c:cat>
            <c:strRef>
              <c:f>Sensitivity!$AD$28:$AD$34</c:f>
              <c:strCache>
                <c:ptCount val="7"/>
                <c:pt idx="0">
                  <c:v>COGS Margin</c:v>
                </c:pt>
                <c:pt idx="1">
                  <c:v>SG&amp;A Margin</c:v>
                </c:pt>
                <c:pt idx="2">
                  <c:v>Terminal g</c:v>
                </c:pt>
                <c:pt idx="3">
                  <c:v>Revenue Exit</c:v>
                </c:pt>
                <c:pt idx="4">
                  <c:v>Capex Intensity</c:v>
                </c:pt>
                <c:pt idx="5">
                  <c:v>EBITDA Exit</c:v>
                </c:pt>
                <c:pt idx="6">
                  <c:v>WACC</c:v>
                </c:pt>
              </c:strCache>
            </c:strRef>
          </c:cat>
          <c:val>
            <c:numRef>
              <c:f>Sensitivity!$AJ$28:$AJ$34</c:f>
              <c:numCache>
                <c:formatCode>General</c:formatCode>
                <c:ptCount val="7"/>
                <c:pt idx="0">
                  <c:v>0</c:v>
                </c:pt>
                <c:pt idx="1">
                  <c:v>0</c:v>
                </c:pt>
                <c:pt idx="2">
                  <c:v>0</c:v>
                </c:pt>
                <c:pt idx="3">
                  <c:v>0</c:v>
                </c:pt>
                <c:pt idx="4">
                  <c:v>-9.3088859029988953</c:v>
                </c:pt>
                <c:pt idx="5">
                  <c:v>23.3211140970011</c:v>
                </c:pt>
                <c:pt idx="6">
                  <c:v>-14.598885902998859</c:v>
                </c:pt>
              </c:numCache>
            </c:numRef>
          </c:val>
          <c:extLst>
            <c:ext xmlns:c16="http://schemas.microsoft.com/office/drawing/2014/chart" uri="{C3380CC4-5D6E-409C-BE32-E72D297353CC}">
              <c16:uniqueId val="{00000000-F77E-4420-9A9D-82C0544507CB}"/>
            </c:ext>
          </c:extLst>
        </c:ser>
        <c:ser>
          <c:idx val="1"/>
          <c:order val="1"/>
          <c:spPr>
            <a:solidFill>
              <a:srgbClr val="7B1314"/>
            </a:solidFill>
            <a:ln>
              <a:noFill/>
            </a:ln>
            <a:effectLst/>
          </c:spPr>
          <c:invertIfNegative val="0"/>
          <c:cat>
            <c:strRef>
              <c:f>Sensitivity!$AD$28:$AD$34</c:f>
              <c:strCache>
                <c:ptCount val="7"/>
                <c:pt idx="0">
                  <c:v>COGS Margin</c:v>
                </c:pt>
                <c:pt idx="1">
                  <c:v>SG&amp;A Margin</c:v>
                </c:pt>
                <c:pt idx="2">
                  <c:v>Terminal g</c:v>
                </c:pt>
                <c:pt idx="3">
                  <c:v>Revenue Exit</c:v>
                </c:pt>
                <c:pt idx="4">
                  <c:v>Capex Intensity</c:v>
                </c:pt>
                <c:pt idx="5">
                  <c:v>EBITDA Exit</c:v>
                </c:pt>
                <c:pt idx="6">
                  <c:v>WACC</c:v>
                </c:pt>
              </c:strCache>
            </c:strRef>
          </c:cat>
          <c:val>
            <c:numRef>
              <c:f>Sensitivity!$AK$28:$AK$34</c:f>
              <c:numCache>
                <c:formatCode>General</c:formatCode>
                <c:ptCount val="7"/>
                <c:pt idx="0">
                  <c:v>0</c:v>
                </c:pt>
                <c:pt idx="1">
                  <c:v>0</c:v>
                </c:pt>
                <c:pt idx="2">
                  <c:v>0</c:v>
                </c:pt>
                <c:pt idx="3">
                  <c:v>0</c:v>
                </c:pt>
                <c:pt idx="4">
                  <c:v>-31.668885902998852</c:v>
                </c:pt>
                <c:pt idx="5">
                  <c:v>44.781114097001137</c:v>
                </c:pt>
                <c:pt idx="6">
                  <c:v>-111.08888590299887</c:v>
                </c:pt>
              </c:numCache>
            </c:numRef>
          </c:val>
          <c:extLst>
            <c:ext xmlns:c16="http://schemas.microsoft.com/office/drawing/2014/chart" uri="{C3380CC4-5D6E-409C-BE32-E72D297353CC}">
              <c16:uniqueId val="{00000001-F77E-4420-9A9D-82C0544507CB}"/>
            </c:ext>
          </c:extLst>
        </c:ser>
        <c:dLbls>
          <c:showLegendKey val="0"/>
          <c:showVal val="0"/>
          <c:showCatName val="0"/>
          <c:showSerName val="0"/>
          <c:showPercent val="0"/>
          <c:showBubbleSize val="0"/>
        </c:dLbls>
        <c:gapWidth val="50"/>
        <c:overlap val="100"/>
        <c:axId val="1326461311"/>
        <c:axId val="1326463231"/>
      </c:barChart>
      <c:catAx>
        <c:axId val="132646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Nova" panose="020B0504020202020204" pitchFamily="34" charset="0"/>
                <a:ea typeface="+mn-ea"/>
                <a:cs typeface="+mn-cs"/>
              </a:defRPr>
            </a:pPr>
            <a:endParaRPr lang="en-US"/>
          </a:p>
        </c:txPr>
        <c:crossAx val="1326463231"/>
        <c:crosses val="autoZero"/>
        <c:auto val="1"/>
        <c:lblAlgn val="ctr"/>
        <c:lblOffset val="100"/>
        <c:noMultiLvlLbl val="0"/>
      </c:catAx>
      <c:valAx>
        <c:axId val="1326463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Nova" panose="020B0504020202020204" pitchFamily="34" charset="0"/>
                <a:ea typeface="+mn-ea"/>
                <a:cs typeface="+mn-cs"/>
              </a:defRPr>
            </a:pPr>
            <a:endParaRPr lang="en-US"/>
          </a:p>
        </c:txPr>
        <c:crossAx val="1326461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1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'Stock Data'!$U$4</c:f>
              <c:strCache>
                <c:ptCount val="1"/>
                <c:pt idx="0">
                  <c:v>LMT US Equity</c:v>
                </c:pt>
              </c:strCache>
            </c:strRef>
          </c:tx>
          <c:spPr>
            <a:ln w="28575" cap="rnd">
              <a:solidFill>
                <a:schemeClr val="accent1"/>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Data'!$U$5:$U$159</c:f>
              <c:numCache>
                <c:formatCode>General</c:formatCode>
                <c:ptCount val="155"/>
                <c:pt idx="0">
                  <c:v>1.1319857907639965</c:v>
                </c:pt>
                <c:pt idx="1">
                  <c:v>1.1319857907639965</c:v>
                </c:pt>
                <c:pt idx="2">
                  <c:v>1.1393906038925301</c:v>
                </c:pt>
                <c:pt idx="3">
                  <c:v>1.1034672537149148</c:v>
                </c:pt>
                <c:pt idx="4">
                  <c:v>1.0796017411317356</c:v>
                </c:pt>
                <c:pt idx="5">
                  <c:v>1.0712963426227047</c:v>
                </c:pt>
                <c:pt idx="6">
                  <c:v>1.0510081553009456</c:v>
                </c:pt>
                <c:pt idx="7">
                  <c:v>1.0275178866263071</c:v>
                </c:pt>
                <c:pt idx="8">
                  <c:v>1.1760644418872266</c:v>
                </c:pt>
                <c:pt idx="9">
                  <c:v>1.1582778806224046</c:v>
                </c:pt>
                <c:pt idx="10">
                  <c:v>1.1656076449692299</c:v>
                </c:pt>
                <c:pt idx="11">
                  <c:v>1.1512483114024115</c:v>
                </c:pt>
                <c:pt idx="12">
                  <c:v>1.1991294341321859</c:v>
                </c:pt>
                <c:pt idx="13">
                  <c:v>1.1930254665532596</c:v>
                </c:pt>
                <c:pt idx="14">
                  <c:v>1.2012057837594436</c:v>
                </c:pt>
                <c:pt idx="15">
                  <c:v>1.1929003852504128</c:v>
                </c:pt>
                <c:pt idx="16">
                  <c:v>1.1903237104117677</c:v>
                </c:pt>
                <c:pt idx="17">
                  <c:v>1.1503227097613449</c:v>
                </c:pt>
                <c:pt idx="18">
                  <c:v>1.1712863361184769</c:v>
                </c:pt>
                <c:pt idx="19">
                  <c:v>1.1904738079751838</c:v>
                </c:pt>
                <c:pt idx="20">
                  <c:v>1.1559513683894531</c:v>
                </c:pt>
                <c:pt idx="21">
                  <c:v>1.1747135638164807</c:v>
                </c:pt>
                <c:pt idx="22">
                  <c:v>1.1091209286035923</c:v>
                </c:pt>
                <c:pt idx="23">
                  <c:v>1.1223295141842198</c:v>
                </c:pt>
                <c:pt idx="24">
                  <c:v>1.1058938309901436</c:v>
                </c:pt>
                <c:pt idx="25">
                  <c:v>1.1739630759993995</c:v>
                </c:pt>
                <c:pt idx="26">
                  <c:v>1.1729624255766247</c:v>
                </c:pt>
                <c:pt idx="27">
                  <c:v>1.1227798068744683</c:v>
                </c:pt>
                <c:pt idx="28">
                  <c:v>1.121879221493971</c:v>
                </c:pt>
                <c:pt idx="29">
                  <c:v>1.0720468304397859</c:v>
                </c:pt>
                <c:pt idx="30">
                  <c:v>1.1241306849452144</c:v>
                </c:pt>
                <c:pt idx="31">
                  <c:v>1.1349377095111823</c:v>
                </c:pt>
                <c:pt idx="32">
                  <c:v>1.1443688397458347</c:v>
                </c:pt>
                <c:pt idx="33">
                  <c:v>1.2665482563666384</c:v>
                </c:pt>
                <c:pt idx="34">
                  <c:v>1.2119377595437033</c:v>
                </c:pt>
                <c:pt idx="35">
                  <c:v>1.1606544253764945</c:v>
                </c:pt>
                <c:pt idx="36">
                  <c:v>1.2156401661079701</c:v>
                </c:pt>
                <c:pt idx="37">
                  <c:v>1.2211187271726622</c:v>
                </c:pt>
                <c:pt idx="38">
                  <c:v>1.2273227597938661</c:v>
                </c:pt>
                <c:pt idx="39">
                  <c:v>1.2831840696452694</c:v>
                </c:pt>
                <c:pt idx="40">
                  <c:v>1.2933406714364337</c:v>
                </c:pt>
                <c:pt idx="41">
                  <c:v>1.3044729073898034</c:v>
                </c:pt>
                <c:pt idx="42">
                  <c:v>1.3340171111222294</c:v>
                </c:pt>
                <c:pt idx="43">
                  <c:v>1.4158202831840696</c:v>
                </c:pt>
                <c:pt idx="44">
                  <c:v>1.3677640466303096</c:v>
                </c:pt>
                <c:pt idx="45">
                  <c:v>1.3678891279331564</c:v>
                </c:pt>
                <c:pt idx="46">
                  <c:v>1.4433882023315154</c:v>
                </c:pt>
                <c:pt idx="47">
                  <c:v>1.5134837644468904</c:v>
                </c:pt>
                <c:pt idx="48">
                  <c:v>1.5211137239205481</c:v>
                </c:pt>
                <c:pt idx="49">
                  <c:v>1.5156351628558562</c:v>
                </c:pt>
                <c:pt idx="50">
                  <c:v>1.4475158853254615</c:v>
                </c:pt>
                <c:pt idx="51">
                  <c:v>1.4184469905438535</c:v>
                </c:pt>
                <c:pt idx="52">
                  <c:v>1.4314054135187873</c:v>
                </c:pt>
                <c:pt idx="53">
                  <c:v>1.4189723320158103</c:v>
                </c:pt>
                <c:pt idx="54">
                  <c:v>1.401936258568069</c:v>
                </c:pt>
                <c:pt idx="55">
                  <c:v>1.3934307299744833</c:v>
                </c:pt>
                <c:pt idx="56">
                  <c:v>1.3994596487717015</c:v>
                </c:pt>
                <c:pt idx="57">
                  <c:v>1.3547806073948065</c:v>
                </c:pt>
                <c:pt idx="58">
                  <c:v>1.3450242657727522</c:v>
                </c:pt>
                <c:pt idx="59">
                  <c:v>1.2540401260819534</c:v>
                </c:pt>
                <c:pt idx="60">
                  <c:v>1.1722119377595437</c:v>
                </c:pt>
                <c:pt idx="61">
                  <c:v>1.1514984740081053</c:v>
                </c:pt>
                <c:pt idx="62">
                  <c:v>1.165007254715565</c:v>
                </c:pt>
                <c:pt idx="63">
                  <c:v>1.1709361084705059</c:v>
                </c:pt>
                <c:pt idx="64">
                  <c:v>1.1507479861910241</c:v>
                </c:pt>
                <c:pt idx="65">
                  <c:v>1.1577525391504477</c:v>
                </c:pt>
                <c:pt idx="66">
                  <c:v>1.1729874418371942</c:v>
                </c:pt>
                <c:pt idx="67">
                  <c:v>1.14694551458448</c:v>
                </c:pt>
                <c:pt idx="68">
                  <c:v>1.1715364987241708</c:v>
                </c:pt>
                <c:pt idx="69">
                  <c:v>1.1687096612798318</c:v>
                </c:pt>
                <c:pt idx="70">
                  <c:v>1.1674588482513635</c:v>
                </c:pt>
                <c:pt idx="71">
                  <c:v>1.1630810026517235</c:v>
                </c:pt>
                <c:pt idx="72">
                  <c:v>1.150948116275579</c:v>
                </c:pt>
                <c:pt idx="73">
                  <c:v>1.1365137339270526</c:v>
                </c:pt>
                <c:pt idx="74">
                  <c:v>1.1196527743032971</c:v>
                </c:pt>
                <c:pt idx="75">
                  <c:v>1.1338369940461299</c:v>
                </c:pt>
                <c:pt idx="76">
                  <c:v>1.1157002051333367</c:v>
                </c:pt>
                <c:pt idx="77">
                  <c:v>1.093685895832291</c:v>
                </c:pt>
                <c:pt idx="78">
                  <c:v>1.0879821884224747</c:v>
                </c:pt>
                <c:pt idx="79">
                  <c:v>1.0806524240756492</c:v>
                </c:pt>
                <c:pt idx="80">
                  <c:v>1.0767749036873968</c:v>
                </c:pt>
                <c:pt idx="81">
                  <c:v>1.0613648871766648</c:v>
                </c:pt>
                <c:pt idx="82">
                  <c:v>1.066993545804773</c:v>
                </c:pt>
                <c:pt idx="83">
                  <c:v>1.0680692450092559</c:v>
                </c:pt>
                <c:pt idx="84">
                  <c:v>1.079901936258568</c:v>
                </c:pt>
                <c:pt idx="85">
                  <c:v>1.0998899284534949</c:v>
                </c:pt>
                <c:pt idx="86">
                  <c:v>1.1453444739080401</c:v>
                </c:pt>
                <c:pt idx="87">
                  <c:v>1.1414669535197879</c:v>
                </c:pt>
                <c:pt idx="88">
                  <c:v>1.1410416770901086</c:v>
                </c:pt>
                <c:pt idx="89">
                  <c:v>1.1261820183119027</c:v>
                </c:pt>
                <c:pt idx="90">
                  <c:v>1.1202031320358232</c:v>
                </c:pt>
                <c:pt idx="91">
                  <c:v>1.1298093760944614</c:v>
                </c:pt>
                <c:pt idx="92">
                  <c:v>1.1163256116475708</c:v>
                </c:pt>
                <c:pt idx="93">
                  <c:v>1.121403912543153</c:v>
                </c:pt>
                <c:pt idx="94">
                  <c:v>1.1211037174163205</c:v>
                </c:pt>
                <c:pt idx="95">
                  <c:v>1.1112723270125582</c:v>
                </c:pt>
                <c:pt idx="96">
                  <c:v>1.1261069695301946</c:v>
                </c:pt>
                <c:pt idx="97">
                  <c:v>1.1373392705258418</c:v>
                </c:pt>
                <c:pt idx="98">
                  <c:v>1.1029669285035273</c:v>
                </c:pt>
                <c:pt idx="99">
                  <c:v>1.1035423024966227</c:v>
                </c:pt>
                <c:pt idx="100">
                  <c:v>1.0884574973732928</c:v>
                </c:pt>
                <c:pt idx="101">
                  <c:v>1.0102316505728723</c:v>
                </c:pt>
                <c:pt idx="102">
                  <c:v>1.0225396507730025</c:v>
                </c:pt>
                <c:pt idx="103">
                  <c:v>1.0639665782758794</c:v>
                </c:pt>
                <c:pt idx="104">
                  <c:v>1.0452544153699905</c:v>
                </c:pt>
                <c:pt idx="105">
                  <c:v>1.113698904287787</c:v>
                </c:pt>
                <c:pt idx="106">
                  <c:v>1.1217291239305547</c:v>
                </c:pt>
                <c:pt idx="107">
                  <c:v>1.1330865062290489</c:v>
                </c:pt>
                <c:pt idx="108">
                  <c:v>1.1096712863361184</c:v>
                </c:pt>
                <c:pt idx="109">
                  <c:v>1.1244058638114776</c:v>
                </c:pt>
                <c:pt idx="110">
                  <c:v>1.1289338069745334</c:v>
                </c:pt>
                <c:pt idx="111">
                  <c:v>1.1361134737579426</c:v>
                </c:pt>
                <c:pt idx="112">
                  <c:v>1.139990994146195</c:v>
                </c:pt>
                <c:pt idx="113">
                  <c:v>1.1664832140891579</c:v>
                </c:pt>
                <c:pt idx="114">
                  <c:v>1.1336118477010055</c:v>
                </c:pt>
                <c:pt idx="115">
                  <c:v>1.1336118477010055</c:v>
                </c:pt>
                <c:pt idx="116">
                  <c:v>1.1466953519787861</c:v>
                </c:pt>
                <c:pt idx="117">
                  <c:v>1.1316605793765948</c:v>
                </c:pt>
                <c:pt idx="118">
                  <c:v>1.1473207584930205</c:v>
                </c:pt>
                <c:pt idx="119">
                  <c:v>1.120653424726072</c:v>
                </c:pt>
                <c:pt idx="120">
                  <c:v>1.1323110021513985</c:v>
                </c:pt>
                <c:pt idx="121">
                  <c:v>1.1200530344724071</c:v>
                </c:pt>
                <c:pt idx="122">
                  <c:v>1.1308350427778056</c:v>
                </c:pt>
                <c:pt idx="123">
                  <c:v>1.1479711812678239</c:v>
                </c:pt>
                <c:pt idx="124">
                  <c:v>1.1897233201581028</c:v>
                </c:pt>
                <c:pt idx="125">
                  <c:v>1.2543403212087858</c:v>
                </c:pt>
                <c:pt idx="126">
                  <c:v>1.2203932556161503</c:v>
                </c:pt>
                <c:pt idx="127">
                  <c:v>1.2221443938560064</c:v>
                </c:pt>
                <c:pt idx="128">
                  <c:v>1.1793665882823836</c:v>
                </c:pt>
                <c:pt idx="129">
                  <c:v>1.1876719867914143</c:v>
                </c:pt>
                <c:pt idx="130">
                  <c:v>1.1979536698854256</c:v>
                </c:pt>
                <c:pt idx="131">
                  <c:v>1.1974283284134688</c:v>
                </c:pt>
                <c:pt idx="132">
                  <c:v>1.1864211737629458</c:v>
                </c:pt>
                <c:pt idx="133">
                  <c:v>1.1987541902236454</c:v>
                </c:pt>
                <c:pt idx="134">
                  <c:v>1.2047330764997248</c:v>
                </c:pt>
                <c:pt idx="135">
                  <c:v>1.1715865312453093</c:v>
                </c:pt>
                <c:pt idx="136">
                  <c:v>1.1589032871366387</c:v>
                </c:pt>
                <c:pt idx="137">
                  <c:v>1.1238054735578127</c:v>
                </c:pt>
                <c:pt idx="138">
                  <c:v>1.118627107619953</c:v>
                </c:pt>
                <c:pt idx="139">
                  <c:v>1.1564767098614099</c:v>
                </c:pt>
                <c:pt idx="140">
                  <c:v>1.1946014909691298</c:v>
                </c:pt>
                <c:pt idx="141">
                  <c:v>1.2145394506429179</c:v>
                </c:pt>
                <c:pt idx="142">
                  <c:v>1.2161655075799269</c:v>
                </c:pt>
                <c:pt idx="143">
                  <c:v>1.2013308650622905</c:v>
                </c:pt>
                <c:pt idx="144">
                  <c:v>1.2107870115575123</c:v>
                </c:pt>
                <c:pt idx="145">
                  <c:v>1.2110371741632062</c:v>
                </c:pt>
                <c:pt idx="146">
                  <c:v>1.1995296943012959</c:v>
                </c:pt>
                <c:pt idx="147">
                  <c:v>1.1688847751038174</c:v>
                </c:pt>
                <c:pt idx="148">
                  <c:v>1.236103467253715</c:v>
                </c:pt>
                <c:pt idx="149">
                  <c:v>1.2148646620303196</c:v>
                </c:pt>
                <c:pt idx="150">
                  <c:v>1.1511232300995646</c:v>
                </c:pt>
                <c:pt idx="151">
                  <c:v>1.080302196427678</c:v>
                </c:pt>
                <c:pt idx="152">
                  <c:v>1.028318406964527</c:v>
                </c:pt>
                <c:pt idx="153">
                  <c:v>1.0159353579826889</c:v>
                </c:pt>
                <c:pt idx="154">
                  <c:v>1</c:v>
                </c:pt>
              </c:numCache>
            </c:numRef>
          </c:val>
          <c:smooth val="0"/>
          <c:extLst>
            <c:ext xmlns:c16="http://schemas.microsoft.com/office/drawing/2014/chart" uri="{C3380CC4-5D6E-409C-BE32-E72D297353CC}">
              <c16:uniqueId val="{00000000-0BFC-4092-BBEE-7B7B9EC025B0}"/>
            </c:ext>
          </c:extLst>
        </c:ser>
        <c:ser>
          <c:idx val="1"/>
          <c:order val="1"/>
          <c:tx>
            <c:strRef>
              <c:f>'Stock Data'!$V$4</c:f>
              <c:strCache>
                <c:ptCount val="1"/>
                <c:pt idx="0">
                  <c:v>NDX Index</c:v>
                </c:pt>
              </c:strCache>
            </c:strRef>
          </c:tx>
          <c:spPr>
            <a:ln w="28575" cap="rnd">
              <a:solidFill>
                <a:schemeClr val="accent3"/>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Data'!$V$5:$V$159</c:f>
              <c:numCache>
                <c:formatCode>General</c:formatCode>
                <c:ptCount val="155"/>
                <c:pt idx="0">
                  <c:v>2.0610029498525075</c:v>
                </c:pt>
                <c:pt idx="1">
                  <c:v>2.0610029498525075</c:v>
                </c:pt>
                <c:pt idx="2">
                  <c:v>2.0871018253598601</c:v>
                </c:pt>
                <c:pt idx="3">
                  <c:v>2.0746352607181673</c:v>
                </c:pt>
                <c:pt idx="4">
                  <c:v>2.1149510945505359</c:v>
                </c:pt>
                <c:pt idx="5">
                  <c:v>2.0421460731474705</c:v>
                </c:pt>
                <c:pt idx="6">
                  <c:v>2.0678510435380484</c:v>
                </c:pt>
                <c:pt idx="7">
                  <c:v>2.0461401290837715</c:v>
                </c:pt>
                <c:pt idx="8">
                  <c:v>2.0302606072703884</c:v>
                </c:pt>
                <c:pt idx="9">
                  <c:v>2.0140838822720517</c:v>
                </c:pt>
                <c:pt idx="10">
                  <c:v>1.9942014327855035</c:v>
                </c:pt>
                <c:pt idx="11">
                  <c:v>1.9686845432164481</c:v>
                </c:pt>
                <c:pt idx="12">
                  <c:v>1.926859626943465</c:v>
                </c:pt>
                <c:pt idx="13">
                  <c:v>1.9466294053718365</c:v>
                </c:pt>
                <c:pt idx="14">
                  <c:v>1.9218470956151441</c:v>
                </c:pt>
                <c:pt idx="15">
                  <c:v>1.899881562312862</c:v>
                </c:pt>
                <c:pt idx="16">
                  <c:v>1.8956568412180894</c:v>
                </c:pt>
                <c:pt idx="17">
                  <c:v>1.8806041652804579</c:v>
                </c:pt>
                <c:pt idx="18">
                  <c:v>1.7558364938895912</c:v>
                </c:pt>
                <c:pt idx="19">
                  <c:v>1.7339765342559941</c:v>
                </c:pt>
                <c:pt idx="20">
                  <c:v>1.621435003437798</c:v>
                </c:pt>
                <c:pt idx="21">
                  <c:v>1.6705684565395791</c:v>
                </c:pt>
                <c:pt idx="22">
                  <c:v>1.5162153170536963</c:v>
                </c:pt>
                <c:pt idx="23">
                  <c:v>1.7243480382371856</c:v>
                </c:pt>
                <c:pt idx="24">
                  <c:v>1.7998828930733917</c:v>
                </c:pt>
                <c:pt idx="25">
                  <c:v>1.7285124315212812</c:v>
                </c:pt>
                <c:pt idx="26">
                  <c:v>1.7190729034976822</c:v>
                </c:pt>
                <c:pt idx="27">
                  <c:v>1.8056229068245835</c:v>
                </c:pt>
                <c:pt idx="28">
                  <c:v>1.8708053319138553</c:v>
                </c:pt>
                <c:pt idx="29">
                  <c:v>1.966385876194912</c:v>
                </c:pt>
                <c:pt idx="30">
                  <c:v>1.9245920110009538</c:v>
                </c:pt>
                <c:pt idx="31">
                  <c:v>1.9133603921307691</c:v>
                </c:pt>
                <c:pt idx="32">
                  <c:v>1.9041444318761507</c:v>
                </c:pt>
                <c:pt idx="33">
                  <c:v>1.9133240180096256</c:v>
                </c:pt>
                <c:pt idx="34">
                  <c:v>1.8415427950406991</c:v>
                </c:pt>
                <c:pt idx="35">
                  <c:v>1.8784163949697252</c:v>
                </c:pt>
                <c:pt idx="36">
                  <c:v>1.8641444318761504</c:v>
                </c:pt>
                <c:pt idx="37">
                  <c:v>1.9338301505977333</c:v>
                </c:pt>
                <c:pt idx="38">
                  <c:v>1.9518779249007476</c:v>
                </c:pt>
                <c:pt idx="39">
                  <c:v>1.8957287022866902</c:v>
                </c:pt>
                <c:pt idx="40">
                  <c:v>1.8834094084769446</c:v>
                </c:pt>
                <c:pt idx="41">
                  <c:v>1.8562246323774039</c:v>
                </c:pt>
                <c:pt idx="42">
                  <c:v>1.8350823962561271</c:v>
                </c:pt>
                <c:pt idx="43">
                  <c:v>1.8693450440259942</c:v>
                </c:pt>
                <c:pt idx="44">
                  <c:v>1.7945270255284227</c:v>
                </c:pt>
                <c:pt idx="45">
                  <c:v>1.8231995919001043</c:v>
                </c:pt>
                <c:pt idx="46">
                  <c:v>1.8083837913367491</c:v>
                </c:pt>
                <c:pt idx="47">
                  <c:v>1.7885270698871074</c:v>
                </c:pt>
                <c:pt idx="48">
                  <c:v>1.7839093308492469</c:v>
                </c:pt>
                <c:pt idx="49">
                  <c:v>1.7542351453855878</c:v>
                </c:pt>
                <c:pt idx="50">
                  <c:v>1.7694537228025817</c:v>
                </c:pt>
                <c:pt idx="51">
                  <c:v>1.7239913944152419</c:v>
                </c:pt>
                <c:pt idx="52">
                  <c:v>1.6704717546077583</c:v>
                </c:pt>
                <c:pt idx="53">
                  <c:v>1.6819686384101846</c:v>
                </c:pt>
                <c:pt idx="54">
                  <c:v>1.7372209284272628</c:v>
                </c:pt>
                <c:pt idx="55">
                  <c:v>1.7494905405105685</c:v>
                </c:pt>
                <c:pt idx="56">
                  <c:v>1.6862004568944486</c:v>
                </c:pt>
                <c:pt idx="57">
                  <c:v>1.6038254929358793</c:v>
                </c:pt>
                <c:pt idx="58">
                  <c:v>1.667555614700468</c:v>
                </c:pt>
                <c:pt idx="59">
                  <c:v>1.7525530640761195</c:v>
                </c:pt>
                <c:pt idx="60">
                  <c:v>1.8097127775190189</c:v>
                </c:pt>
                <c:pt idx="61">
                  <c:v>1.8145381151995033</c:v>
                </c:pt>
                <c:pt idx="62">
                  <c:v>1.7754022223700845</c:v>
                </c:pt>
                <c:pt idx="63">
                  <c:v>1.7478324128906337</c:v>
                </c:pt>
                <c:pt idx="64">
                  <c:v>1.7662616718788122</c:v>
                </c:pt>
                <c:pt idx="65">
                  <c:v>1.7042766207554285</c:v>
                </c:pt>
                <c:pt idx="66">
                  <c:v>1.6550083172533103</c:v>
                </c:pt>
                <c:pt idx="67">
                  <c:v>1.6740470645640648</c:v>
                </c:pt>
                <c:pt idx="68">
                  <c:v>1.6602390933084925</c:v>
                </c:pt>
                <c:pt idx="69">
                  <c:v>1.6255479406480804</c:v>
                </c:pt>
                <c:pt idx="70">
                  <c:v>1.6050258389336174</c:v>
                </c:pt>
                <c:pt idx="71">
                  <c:v>1.5472921241155986</c:v>
                </c:pt>
                <c:pt idx="72">
                  <c:v>1.5500228447224256</c:v>
                </c:pt>
                <c:pt idx="73">
                  <c:v>1.5715093042340365</c:v>
                </c:pt>
                <c:pt idx="74">
                  <c:v>1.6119857165036486</c:v>
                </c:pt>
                <c:pt idx="75">
                  <c:v>1.6077166367245546</c:v>
                </c:pt>
                <c:pt idx="76">
                  <c:v>1.6155911903652938</c:v>
                </c:pt>
                <c:pt idx="77">
                  <c:v>1.599770222015215</c:v>
                </c:pt>
                <c:pt idx="78">
                  <c:v>1.6163523853882493</c:v>
                </c:pt>
                <c:pt idx="79">
                  <c:v>1.5878519307117349</c:v>
                </c:pt>
                <c:pt idx="80">
                  <c:v>1.5943442677490185</c:v>
                </c:pt>
                <c:pt idx="81">
                  <c:v>1.5566438219442411</c:v>
                </c:pt>
                <c:pt idx="82">
                  <c:v>1.5614629494089203</c:v>
                </c:pt>
                <c:pt idx="83">
                  <c:v>1.5590063654712001</c:v>
                </c:pt>
                <c:pt idx="84">
                  <c:v>1.5504877237341139</c:v>
                </c:pt>
                <c:pt idx="85">
                  <c:v>1.5440557145075076</c:v>
                </c:pt>
                <c:pt idx="86">
                  <c:v>1.4931763035908354</c:v>
                </c:pt>
                <c:pt idx="87">
                  <c:v>1.4796912635571229</c:v>
                </c:pt>
                <c:pt idx="88">
                  <c:v>1.4677348237851264</c:v>
                </c:pt>
                <c:pt idx="89">
                  <c:v>1.4974125579435313</c:v>
                </c:pt>
                <c:pt idx="90">
                  <c:v>1.4915030940182312</c:v>
                </c:pt>
                <c:pt idx="91">
                  <c:v>1.450906026127265</c:v>
                </c:pt>
                <c:pt idx="92">
                  <c:v>1.4086286512742032</c:v>
                </c:pt>
                <c:pt idx="93">
                  <c:v>1.4204032204404817</c:v>
                </c:pt>
                <c:pt idx="94">
                  <c:v>1.4135888393550249</c:v>
                </c:pt>
                <c:pt idx="95">
                  <c:v>1.4028407301439438</c:v>
                </c:pt>
                <c:pt idx="96">
                  <c:v>1.357022645108346</c:v>
                </c:pt>
                <c:pt idx="97">
                  <c:v>1.2783977643223103</c:v>
                </c:pt>
                <c:pt idx="98">
                  <c:v>1.3082130104021115</c:v>
                </c:pt>
                <c:pt idx="99">
                  <c:v>1.3415849357908045</c:v>
                </c:pt>
                <c:pt idx="100">
                  <c:v>1.3424286379665979</c:v>
                </c:pt>
                <c:pt idx="101">
                  <c:v>1.2922234790516114</c:v>
                </c:pt>
                <c:pt idx="102">
                  <c:v>1.2904677623261693</c:v>
                </c:pt>
                <c:pt idx="103">
                  <c:v>1.3477259520482623</c:v>
                </c:pt>
                <c:pt idx="104">
                  <c:v>1.356465500033269</c:v>
                </c:pt>
                <c:pt idx="105">
                  <c:v>1.3758502450817309</c:v>
                </c:pt>
                <c:pt idx="106">
                  <c:v>1.3641670548051543</c:v>
                </c:pt>
                <c:pt idx="107">
                  <c:v>1.322683700401446</c:v>
                </c:pt>
                <c:pt idx="108">
                  <c:v>1.334100738572094</c:v>
                </c:pt>
                <c:pt idx="109">
                  <c:v>1.3549848071506199</c:v>
                </c:pt>
                <c:pt idx="110">
                  <c:v>1.3944604875019406</c:v>
                </c:pt>
                <c:pt idx="111">
                  <c:v>1.3805682347461574</c:v>
                </c:pt>
                <c:pt idx="112">
                  <c:v>1.4054028877503493</c:v>
                </c:pt>
                <c:pt idx="113">
                  <c:v>1.341323219553308</c:v>
                </c:pt>
                <c:pt idx="114">
                  <c:v>1.3259618071727992</c:v>
                </c:pt>
                <c:pt idx="115">
                  <c:v>1.3259618071727992</c:v>
                </c:pt>
                <c:pt idx="116">
                  <c:v>1.3369840530529864</c:v>
                </c:pt>
                <c:pt idx="117">
                  <c:v>1.3219642025417526</c:v>
                </c:pt>
                <c:pt idx="118">
                  <c:v>1.2915554372657307</c:v>
                </c:pt>
                <c:pt idx="119">
                  <c:v>1.2735369396943685</c:v>
                </c:pt>
                <c:pt idx="120">
                  <c:v>1.2129917714640583</c:v>
                </c:pt>
                <c:pt idx="121">
                  <c:v>1.1911202785725377</c:v>
                </c:pt>
                <c:pt idx="122">
                  <c:v>1.1711677423647615</c:v>
                </c:pt>
                <c:pt idx="123">
                  <c:v>1.1634094084769446</c:v>
                </c:pt>
                <c:pt idx="124">
                  <c:v>1.1289382748907668</c:v>
                </c:pt>
                <c:pt idx="125">
                  <c:v>1.1614691596247255</c:v>
                </c:pt>
                <c:pt idx="126">
                  <c:v>1.150146161864839</c:v>
                </c:pt>
                <c:pt idx="127">
                  <c:v>1.1622037394370883</c:v>
                </c:pt>
                <c:pt idx="128">
                  <c:v>1.1187765874864151</c:v>
                </c:pt>
                <c:pt idx="129">
                  <c:v>1.1303870295207044</c:v>
                </c:pt>
                <c:pt idx="130">
                  <c:v>1.0823332667953069</c:v>
                </c:pt>
                <c:pt idx="131">
                  <c:v>1.0781085457005346</c:v>
                </c:pt>
                <c:pt idx="132">
                  <c:v>1.0683451992813895</c:v>
                </c:pt>
                <c:pt idx="133">
                  <c:v>1.0699580810433162</c:v>
                </c:pt>
                <c:pt idx="134">
                  <c:v>1.117030629671524</c:v>
                </c:pt>
                <c:pt idx="135">
                  <c:v>1.1292186217756781</c:v>
                </c:pt>
                <c:pt idx="136">
                  <c:v>1.0736513850999179</c:v>
                </c:pt>
                <c:pt idx="137">
                  <c:v>1.0510027280590857</c:v>
                </c:pt>
                <c:pt idx="138">
                  <c:v>1.0253234857054141</c:v>
                </c:pt>
                <c:pt idx="139">
                  <c:v>0.99414731519063149</c:v>
                </c:pt>
                <c:pt idx="140">
                  <c:v>0.96370483731452516</c:v>
                </c:pt>
                <c:pt idx="141">
                  <c:v>0.96014460931088785</c:v>
                </c:pt>
                <c:pt idx="142">
                  <c:v>0.98231596690842149</c:v>
                </c:pt>
                <c:pt idx="143">
                  <c:v>1.0498999711668551</c:v>
                </c:pt>
                <c:pt idx="144">
                  <c:v>1.0246581054405928</c:v>
                </c:pt>
                <c:pt idx="145">
                  <c:v>1.0205558143145474</c:v>
                </c:pt>
                <c:pt idx="146">
                  <c:v>1.0401969525583872</c:v>
                </c:pt>
                <c:pt idx="147">
                  <c:v>1.053177190764522</c:v>
                </c:pt>
                <c:pt idx="148">
                  <c:v>0.98116973850555589</c:v>
                </c:pt>
                <c:pt idx="149">
                  <c:v>1.001525938740657</c:v>
                </c:pt>
                <c:pt idx="150">
                  <c:v>1.035330804888327</c:v>
                </c:pt>
                <c:pt idx="151">
                  <c:v>0.98899815911460065</c:v>
                </c:pt>
                <c:pt idx="152">
                  <c:v>0.95738017610397674</c:v>
                </c:pt>
                <c:pt idx="153">
                  <c:v>1.0275724710005103</c:v>
                </c:pt>
                <c:pt idx="154">
                  <c:v>1</c:v>
                </c:pt>
              </c:numCache>
            </c:numRef>
          </c:val>
          <c:smooth val="0"/>
          <c:extLst>
            <c:ext xmlns:c16="http://schemas.microsoft.com/office/drawing/2014/chart" uri="{C3380CC4-5D6E-409C-BE32-E72D297353CC}">
              <c16:uniqueId val="{00000001-0BFC-4092-BBEE-7B7B9EC025B0}"/>
            </c:ext>
          </c:extLst>
        </c:ser>
        <c:ser>
          <c:idx val="2"/>
          <c:order val="2"/>
          <c:tx>
            <c:strRef>
              <c:f>'Stock Data'!$W$4</c:f>
              <c:strCache>
                <c:ptCount val="1"/>
                <c:pt idx="0">
                  <c:v>SXPARO Index</c:v>
                </c:pt>
              </c:strCache>
            </c:strRef>
          </c:tx>
          <c:spPr>
            <a:ln w="28575" cap="rnd">
              <a:solidFill>
                <a:schemeClr val="accent5"/>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Data'!$W$5:$W$159</c:f>
              <c:numCache>
                <c:formatCode>General</c:formatCode>
                <c:ptCount val="155"/>
                <c:pt idx="0">
                  <c:v>3.3872842051017775</c:v>
                </c:pt>
                <c:pt idx="1">
                  <c:v>3.3559134243751609</c:v>
                </c:pt>
                <c:pt idx="2">
                  <c:v>3.3510564287554754</c:v>
                </c:pt>
                <c:pt idx="3">
                  <c:v>3.323280082452976</c:v>
                </c:pt>
                <c:pt idx="4">
                  <c:v>3.3417289358412776</c:v>
                </c:pt>
                <c:pt idx="5">
                  <c:v>3.3934939448595722</c:v>
                </c:pt>
                <c:pt idx="6">
                  <c:v>3.3435454779695957</c:v>
                </c:pt>
                <c:pt idx="7">
                  <c:v>3.3419866013913939</c:v>
                </c:pt>
                <c:pt idx="8">
                  <c:v>3.3748518423086828</c:v>
                </c:pt>
                <c:pt idx="9">
                  <c:v>3.3475264107188867</c:v>
                </c:pt>
                <c:pt idx="10">
                  <c:v>3.2347848492656532</c:v>
                </c:pt>
                <c:pt idx="11">
                  <c:v>3.1917418191187834</c:v>
                </c:pt>
                <c:pt idx="12">
                  <c:v>3.1902602422056172</c:v>
                </c:pt>
                <c:pt idx="13">
                  <c:v>3.1675083741303784</c:v>
                </c:pt>
                <c:pt idx="14">
                  <c:v>3.3139654728162844</c:v>
                </c:pt>
                <c:pt idx="15">
                  <c:v>3.2446792063901055</c:v>
                </c:pt>
                <c:pt idx="16">
                  <c:v>3.1374001545993297</c:v>
                </c:pt>
                <c:pt idx="17">
                  <c:v>2.9939319762947689</c:v>
                </c:pt>
                <c:pt idx="18">
                  <c:v>2.9896933779953616</c:v>
                </c:pt>
                <c:pt idx="19">
                  <c:v>2.8033110023189898</c:v>
                </c:pt>
                <c:pt idx="20">
                  <c:v>2.6783818603452718</c:v>
                </c:pt>
                <c:pt idx="21">
                  <c:v>2.759907240401958</c:v>
                </c:pt>
                <c:pt idx="22">
                  <c:v>2.591522803401185</c:v>
                </c:pt>
                <c:pt idx="23">
                  <c:v>2.9030791033238854</c:v>
                </c:pt>
                <c:pt idx="24">
                  <c:v>2.9472945117237823</c:v>
                </c:pt>
                <c:pt idx="25">
                  <c:v>3.0062741561453228</c:v>
                </c:pt>
                <c:pt idx="26">
                  <c:v>2.7665421283174436</c:v>
                </c:pt>
                <c:pt idx="27">
                  <c:v>2.8593017263591856</c:v>
                </c:pt>
                <c:pt idx="28">
                  <c:v>2.5550888946147898</c:v>
                </c:pt>
                <c:pt idx="29">
                  <c:v>2.6050244782272607</c:v>
                </c:pt>
                <c:pt idx="30">
                  <c:v>2.4178819891780465</c:v>
                </c:pt>
                <c:pt idx="31">
                  <c:v>2.3965343983509406</c:v>
                </c:pt>
                <c:pt idx="32">
                  <c:v>2.3767843339345527</c:v>
                </c:pt>
                <c:pt idx="33">
                  <c:v>2.3297346044833804</c:v>
                </c:pt>
                <c:pt idx="34">
                  <c:v>2.2387528987374385</c:v>
                </c:pt>
                <c:pt idx="35">
                  <c:v>2.2206905436743107</c:v>
                </c:pt>
                <c:pt idx="36">
                  <c:v>2.1961479000257667</c:v>
                </c:pt>
                <c:pt idx="37">
                  <c:v>2.1896547281628442</c:v>
                </c:pt>
                <c:pt idx="38">
                  <c:v>2.2136949239886627</c:v>
                </c:pt>
                <c:pt idx="39">
                  <c:v>2.1859443442411748</c:v>
                </c:pt>
                <c:pt idx="40">
                  <c:v>2.2715923730997165</c:v>
                </c:pt>
                <c:pt idx="41">
                  <c:v>2.1582452976037101</c:v>
                </c:pt>
                <c:pt idx="42">
                  <c:v>2.1508245297603708</c:v>
                </c:pt>
                <c:pt idx="43">
                  <c:v>2.194898222107704</c:v>
                </c:pt>
                <c:pt idx="44">
                  <c:v>2.1271064158721975</c:v>
                </c:pt>
                <c:pt idx="45">
                  <c:v>2.1076784333934553</c:v>
                </c:pt>
                <c:pt idx="46">
                  <c:v>2.1333161556299922</c:v>
                </c:pt>
                <c:pt idx="47">
                  <c:v>2.0682684875032207</c:v>
                </c:pt>
                <c:pt idx="48">
                  <c:v>2.0167224942025253</c:v>
                </c:pt>
                <c:pt idx="49">
                  <c:v>2.0385725328523576</c:v>
                </c:pt>
                <c:pt idx="50">
                  <c:v>2.0623164132955423</c:v>
                </c:pt>
                <c:pt idx="51">
                  <c:v>1.9820407111569183</c:v>
                </c:pt>
                <c:pt idx="52">
                  <c:v>1.9772610152022674</c:v>
                </c:pt>
                <c:pt idx="53">
                  <c:v>1.9930172635918577</c:v>
                </c:pt>
                <c:pt idx="54">
                  <c:v>2.0479644421540839</c:v>
                </c:pt>
                <c:pt idx="55">
                  <c:v>2.0290646740530791</c:v>
                </c:pt>
                <c:pt idx="56">
                  <c:v>2.0118010821953103</c:v>
                </c:pt>
                <c:pt idx="57">
                  <c:v>1.9430172635918577</c:v>
                </c:pt>
                <c:pt idx="58">
                  <c:v>2.0021643906209738</c:v>
                </c:pt>
                <c:pt idx="59">
                  <c:v>1.9982607575367171</c:v>
                </c:pt>
                <c:pt idx="60">
                  <c:v>2.016104096882247</c:v>
                </c:pt>
                <c:pt idx="61">
                  <c:v>1.9848234990981704</c:v>
                </c:pt>
                <c:pt idx="62">
                  <c:v>1.9662844627673279</c:v>
                </c:pt>
                <c:pt idx="63">
                  <c:v>2.0034656016490593</c:v>
                </c:pt>
                <c:pt idx="64">
                  <c:v>2.0607833032723524</c:v>
                </c:pt>
                <c:pt idx="65">
                  <c:v>2.1085544962638494</c:v>
                </c:pt>
                <c:pt idx="66">
                  <c:v>2.1177145065704712</c:v>
                </c:pt>
                <c:pt idx="67">
                  <c:v>2.1428626642617878</c:v>
                </c:pt>
                <c:pt idx="68">
                  <c:v>2.1398479773254313</c:v>
                </c:pt>
                <c:pt idx="69">
                  <c:v>2.0914326204586442</c:v>
                </c:pt>
                <c:pt idx="70">
                  <c:v>2.0911105385209994</c:v>
                </c:pt>
                <c:pt idx="71">
                  <c:v>2.0528729708837927</c:v>
                </c:pt>
                <c:pt idx="72">
                  <c:v>2.0947951558876579</c:v>
                </c:pt>
                <c:pt idx="73">
                  <c:v>2.0655372326719914</c:v>
                </c:pt>
                <c:pt idx="74">
                  <c:v>2.0686807523834063</c:v>
                </c:pt>
                <c:pt idx="75">
                  <c:v>2.1150863179592889</c:v>
                </c:pt>
                <c:pt idx="76">
                  <c:v>2.1542257150219015</c:v>
                </c:pt>
                <c:pt idx="77">
                  <c:v>2.0737309971656788</c:v>
                </c:pt>
                <c:pt idx="78">
                  <c:v>1.9770935325946919</c:v>
                </c:pt>
                <c:pt idx="79">
                  <c:v>1.9821953104869876</c:v>
                </c:pt>
                <c:pt idx="80">
                  <c:v>1.8911234217985056</c:v>
                </c:pt>
                <c:pt idx="81">
                  <c:v>1.8613244009275958</c:v>
                </c:pt>
                <c:pt idx="82">
                  <c:v>1.7923473331615563</c:v>
                </c:pt>
                <c:pt idx="83">
                  <c:v>1.8027312548312289</c:v>
                </c:pt>
                <c:pt idx="84">
                  <c:v>1.7743751610409686</c:v>
                </c:pt>
                <c:pt idx="85">
                  <c:v>1.7444473073950011</c:v>
                </c:pt>
                <c:pt idx="86">
                  <c:v>1.7403761917031693</c:v>
                </c:pt>
                <c:pt idx="87">
                  <c:v>1.7</c:v>
                </c:pt>
                <c:pt idx="88">
                  <c:v>1.6605642875547539</c:v>
                </c:pt>
                <c:pt idx="89">
                  <c:v>1.6378253027570213</c:v>
                </c:pt>
                <c:pt idx="90">
                  <c:v>1.6378253027570213</c:v>
                </c:pt>
                <c:pt idx="91">
                  <c:v>1.6655501159494974</c:v>
                </c:pt>
                <c:pt idx="92">
                  <c:v>1.611388817315125</c:v>
                </c:pt>
                <c:pt idx="93">
                  <c:v>1.5864339087863952</c:v>
                </c:pt>
                <c:pt idx="94">
                  <c:v>1.5820535944344241</c:v>
                </c:pt>
                <c:pt idx="95">
                  <c:v>1.5622777634630249</c:v>
                </c:pt>
                <c:pt idx="96">
                  <c:v>1.5239500128832775</c:v>
                </c:pt>
                <c:pt idx="97">
                  <c:v>1.5012496779180622</c:v>
                </c:pt>
                <c:pt idx="98">
                  <c:v>1.489371296057717</c:v>
                </c:pt>
                <c:pt idx="99">
                  <c:v>1.5129476938933262</c:v>
                </c:pt>
                <c:pt idx="100">
                  <c:v>1.4857639783560936</c:v>
                </c:pt>
                <c:pt idx="101">
                  <c:v>1.4487116722494202</c:v>
                </c:pt>
                <c:pt idx="102">
                  <c:v>1.460731770162329</c:v>
                </c:pt>
                <c:pt idx="103">
                  <c:v>1.5210126256119554</c:v>
                </c:pt>
                <c:pt idx="104">
                  <c:v>1.5155758825045091</c:v>
                </c:pt>
                <c:pt idx="105">
                  <c:v>1.5256377222365369</c:v>
                </c:pt>
                <c:pt idx="106">
                  <c:v>1.5132568925534655</c:v>
                </c:pt>
                <c:pt idx="107">
                  <c:v>1.4742463282659106</c:v>
                </c:pt>
                <c:pt idx="108">
                  <c:v>1.4939190930172634</c:v>
                </c:pt>
                <c:pt idx="109">
                  <c:v>1.5158850811646483</c:v>
                </c:pt>
                <c:pt idx="110">
                  <c:v>1.4837928368977067</c:v>
                </c:pt>
                <c:pt idx="111">
                  <c:v>1.4532208193764493</c:v>
                </c:pt>
                <c:pt idx="112">
                  <c:v>1.450115949497552</c:v>
                </c:pt>
                <c:pt idx="113">
                  <c:v>1.4269389332646223</c:v>
                </c:pt>
                <c:pt idx="114">
                  <c:v>1.4364596753414067</c:v>
                </c:pt>
                <c:pt idx="115">
                  <c:v>1.4262818861118267</c:v>
                </c:pt>
                <c:pt idx="116">
                  <c:v>1.4678175727905178</c:v>
                </c:pt>
                <c:pt idx="117">
                  <c:v>1.4402215923730997</c:v>
                </c:pt>
                <c:pt idx="118">
                  <c:v>1.408709095593919</c:v>
                </c:pt>
                <c:pt idx="119">
                  <c:v>1.400257665550116</c:v>
                </c:pt>
                <c:pt idx="120">
                  <c:v>1.4292321566606543</c:v>
                </c:pt>
                <c:pt idx="121">
                  <c:v>1.4483509404792578</c:v>
                </c:pt>
                <c:pt idx="122">
                  <c:v>1.4185261530533366</c:v>
                </c:pt>
                <c:pt idx="123">
                  <c:v>1.4391265137851068</c:v>
                </c:pt>
                <c:pt idx="124">
                  <c:v>1.4590698273640812</c:v>
                </c:pt>
                <c:pt idx="125">
                  <c:v>1.4716439062097397</c:v>
                </c:pt>
                <c:pt idx="126">
                  <c:v>1.4379541355320795</c:v>
                </c:pt>
                <c:pt idx="127">
                  <c:v>1.4279438289100745</c:v>
                </c:pt>
                <c:pt idx="128">
                  <c:v>1.3971270291162072</c:v>
                </c:pt>
                <c:pt idx="129">
                  <c:v>1.3902731254831229</c:v>
                </c:pt>
                <c:pt idx="130">
                  <c:v>1.3946147900025765</c:v>
                </c:pt>
                <c:pt idx="131">
                  <c:v>1.3958387013656275</c:v>
                </c:pt>
                <c:pt idx="132">
                  <c:v>1.3818989951043545</c:v>
                </c:pt>
                <c:pt idx="133">
                  <c:v>1.360371038392167</c:v>
                </c:pt>
                <c:pt idx="134">
                  <c:v>1.297062612728678</c:v>
                </c:pt>
                <c:pt idx="135">
                  <c:v>1.2588508116464827</c:v>
                </c:pt>
                <c:pt idx="136">
                  <c:v>1.2817057459417676</c:v>
                </c:pt>
                <c:pt idx="137">
                  <c:v>1.3073305849007988</c:v>
                </c:pt>
                <c:pt idx="138">
                  <c:v>1.271437773769647</c:v>
                </c:pt>
                <c:pt idx="139">
                  <c:v>1.2374774542643647</c:v>
                </c:pt>
                <c:pt idx="140">
                  <c:v>1.2280468951301211</c:v>
                </c:pt>
                <c:pt idx="141">
                  <c:v>1.2155243493944858</c:v>
                </c:pt>
                <c:pt idx="142">
                  <c:v>1.1996392682298376</c:v>
                </c:pt>
                <c:pt idx="143">
                  <c:v>1.2129605771708323</c:v>
                </c:pt>
                <c:pt idx="144">
                  <c:v>1.203684617366658</c:v>
                </c:pt>
                <c:pt idx="145">
                  <c:v>1.1877222365369748</c:v>
                </c:pt>
                <c:pt idx="146">
                  <c:v>1.1981061582066477</c:v>
                </c:pt>
                <c:pt idx="147">
                  <c:v>1.1622906467405307</c:v>
                </c:pt>
                <c:pt idx="148">
                  <c:v>1.1724426694150991</c:v>
                </c:pt>
                <c:pt idx="149">
                  <c:v>1.1844885338830198</c:v>
                </c:pt>
                <c:pt idx="150">
                  <c:v>1.1276990466374646</c:v>
                </c:pt>
                <c:pt idx="151">
                  <c:v>1.0924632826591085</c:v>
                </c:pt>
                <c:pt idx="152">
                  <c:v>1.0452847204328781</c:v>
                </c:pt>
                <c:pt idx="153">
                  <c:v>1.0508760628703941</c:v>
                </c:pt>
                <c:pt idx="154">
                  <c:v>1</c:v>
                </c:pt>
              </c:numCache>
            </c:numRef>
          </c:val>
          <c:smooth val="0"/>
          <c:extLst>
            <c:ext xmlns:c16="http://schemas.microsoft.com/office/drawing/2014/chart" uri="{C3380CC4-5D6E-409C-BE32-E72D297353CC}">
              <c16:uniqueId val="{00000002-0BFC-4092-BBEE-7B7B9EC025B0}"/>
            </c:ext>
          </c:extLst>
        </c:ser>
        <c:dLbls>
          <c:showLegendKey val="0"/>
          <c:showVal val="0"/>
          <c:showCatName val="0"/>
          <c:showSerName val="0"/>
          <c:showPercent val="0"/>
          <c:showBubbleSize val="0"/>
        </c:dLbls>
        <c:smooth val="0"/>
        <c:axId val="1007329848"/>
        <c:axId val="1007330176"/>
      </c:lineChart>
      <c:dateAx>
        <c:axId val="10073298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07330176"/>
        <c:crosses val="autoZero"/>
        <c:auto val="1"/>
        <c:lblOffset val="100"/>
        <c:baseTimeUnit val="days"/>
      </c:dateAx>
      <c:valAx>
        <c:axId val="100733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07329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2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106198353200924E-2"/>
          <c:y val="3.4470114165230686E-2"/>
          <c:w val="0.93213475215892583"/>
          <c:h val="0.63969330964910764"/>
        </c:manualLayout>
      </c:layout>
      <c:lineChart>
        <c:grouping val="standard"/>
        <c:varyColors val="0"/>
        <c:ser>
          <c:idx val="0"/>
          <c:order val="0"/>
          <c:tx>
            <c:strRef>
              <c:f>Inputs!$S$7</c:f>
              <c:strCache>
                <c:ptCount val="1"/>
                <c:pt idx="0">
                  <c:v>LOCKHEED MARTIN</c:v>
                </c:pt>
              </c:strCache>
            </c:strRef>
          </c:tx>
          <c:spPr>
            <a:ln w="28575" cap="rnd">
              <a:solidFill>
                <a:schemeClr val="accent1"/>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Data'!$AF$5:$AF$159</c:f>
              <c:numCache>
                <c:formatCode>General</c:formatCode>
                <c:ptCount val="155"/>
                <c:pt idx="0">
                  <c:v>1.1319857907639965</c:v>
                </c:pt>
                <c:pt idx="1">
                  <c:v>1.1319857907639965</c:v>
                </c:pt>
                <c:pt idx="2">
                  <c:v>1.1393906038925301</c:v>
                </c:pt>
                <c:pt idx="3">
                  <c:v>1.1034672537149148</c:v>
                </c:pt>
                <c:pt idx="4">
                  <c:v>1.0796017411317356</c:v>
                </c:pt>
                <c:pt idx="5">
                  <c:v>1.0712963426227047</c:v>
                </c:pt>
                <c:pt idx="6">
                  <c:v>1.0510081553009456</c:v>
                </c:pt>
                <c:pt idx="7">
                  <c:v>1.0275178866263071</c:v>
                </c:pt>
                <c:pt idx="8">
                  <c:v>1.1760644418872266</c:v>
                </c:pt>
                <c:pt idx="9">
                  <c:v>1.1582778806224046</c:v>
                </c:pt>
                <c:pt idx="10">
                  <c:v>1.1656076449692299</c:v>
                </c:pt>
                <c:pt idx="11">
                  <c:v>1.1512483114024115</c:v>
                </c:pt>
                <c:pt idx="12">
                  <c:v>1.1991294341321859</c:v>
                </c:pt>
                <c:pt idx="13">
                  <c:v>1.1930254665532596</c:v>
                </c:pt>
                <c:pt idx="14">
                  <c:v>1.2012057837594436</c:v>
                </c:pt>
                <c:pt idx="15">
                  <c:v>1.1929003852504128</c:v>
                </c:pt>
                <c:pt idx="16">
                  <c:v>1.1903237104117677</c:v>
                </c:pt>
                <c:pt idx="17">
                  <c:v>1.1503227097613449</c:v>
                </c:pt>
                <c:pt idx="18">
                  <c:v>1.1712863361184769</c:v>
                </c:pt>
                <c:pt idx="19">
                  <c:v>1.1904738079751838</c:v>
                </c:pt>
                <c:pt idx="20">
                  <c:v>1.1559513683894531</c:v>
                </c:pt>
                <c:pt idx="21">
                  <c:v>1.1747135638164807</c:v>
                </c:pt>
                <c:pt idx="22">
                  <c:v>1.1091209286035923</c:v>
                </c:pt>
                <c:pt idx="23">
                  <c:v>1.1223295141842198</c:v>
                </c:pt>
                <c:pt idx="24">
                  <c:v>1.1058938309901436</c:v>
                </c:pt>
                <c:pt idx="25">
                  <c:v>1.1739630759993995</c:v>
                </c:pt>
                <c:pt idx="26">
                  <c:v>1.1729624255766247</c:v>
                </c:pt>
                <c:pt idx="27">
                  <c:v>1.1227798068744683</c:v>
                </c:pt>
                <c:pt idx="28">
                  <c:v>1.121879221493971</c:v>
                </c:pt>
                <c:pt idx="29">
                  <c:v>1.0720468304397859</c:v>
                </c:pt>
                <c:pt idx="30">
                  <c:v>1.1241306849452144</c:v>
                </c:pt>
                <c:pt idx="31">
                  <c:v>1.1349377095111823</c:v>
                </c:pt>
                <c:pt idx="32">
                  <c:v>1.1443688397458347</c:v>
                </c:pt>
                <c:pt idx="33">
                  <c:v>1.2665482563666384</c:v>
                </c:pt>
                <c:pt idx="34">
                  <c:v>1.2119377595437033</c:v>
                </c:pt>
                <c:pt idx="35">
                  <c:v>1.1606544253764945</c:v>
                </c:pt>
                <c:pt idx="36">
                  <c:v>1.2156401661079701</c:v>
                </c:pt>
                <c:pt idx="37">
                  <c:v>1.2211187271726622</c:v>
                </c:pt>
                <c:pt idx="38">
                  <c:v>1.2273227597938661</c:v>
                </c:pt>
                <c:pt idx="39">
                  <c:v>1.2831840696452694</c:v>
                </c:pt>
                <c:pt idx="40">
                  <c:v>1.2933406714364337</c:v>
                </c:pt>
                <c:pt idx="41">
                  <c:v>1.3044729073898034</c:v>
                </c:pt>
                <c:pt idx="42">
                  <c:v>1.3340171111222294</c:v>
                </c:pt>
                <c:pt idx="43">
                  <c:v>1.4158202831840696</c:v>
                </c:pt>
                <c:pt idx="44">
                  <c:v>1.3677640466303096</c:v>
                </c:pt>
                <c:pt idx="45">
                  <c:v>1.3678891279331564</c:v>
                </c:pt>
                <c:pt idx="46">
                  <c:v>1.4433882023315154</c:v>
                </c:pt>
                <c:pt idx="47">
                  <c:v>1.5134837644468904</c:v>
                </c:pt>
                <c:pt idx="48">
                  <c:v>1.5211137239205481</c:v>
                </c:pt>
                <c:pt idx="49">
                  <c:v>1.5156351628558562</c:v>
                </c:pt>
                <c:pt idx="50">
                  <c:v>1.4475158853254615</c:v>
                </c:pt>
                <c:pt idx="51">
                  <c:v>1.4184469905438535</c:v>
                </c:pt>
                <c:pt idx="52">
                  <c:v>1.4314054135187873</c:v>
                </c:pt>
                <c:pt idx="53">
                  <c:v>1.4189723320158103</c:v>
                </c:pt>
                <c:pt idx="54">
                  <c:v>1.401936258568069</c:v>
                </c:pt>
                <c:pt idx="55">
                  <c:v>1.3934307299744833</c:v>
                </c:pt>
                <c:pt idx="56">
                  <c:v>1.3994596487717015</c:v>
                </c:pt>
                <c:pt idx="57">
                  <c:v>1.3547806073948065</c:v>
                </c:pt>
                <c:pt idx="58">
                  <c:v>1.3450242657727522</c:v>
                </c:pt>
                <c:pt idx="59">
                  <c:v>1.2540401260819534</c:v>
                </c:pt>
                <c:pt idx="60">
                  <c:v>1.1722119377595437</c:v>
                </c:pt>
                <c:pt idx="61">
                  <c:v>1.1514984740081053</c:v>
                </c:pt>
                <c:pt idx="62">
                  <c:v>1.165007254715565</c:v>
                </c:pt>
                <c:pt idx="63">
                  <c:v>1.1709361084705059</c:v>
                </c:pt>
                <c:pt idx="64">
                  <c:v>1.1507479861910241</c:v>
                </c:pt>
                <c:pt idx="65">
                  <c:v>1.1577525391504477</c:v>
                </c:pt>
                <c:pt idx="66">
                  <c:v>1.1729874418371942</c:v>
                </c:pt>
                <c:pt idx="67">
                  <c:v>1.14694551458448</c:v>
                </c:pt>
                <c:pt idx="68">
                  <c:v>1.1715364987241708</c:v>
                </c:pt>
                <c:pt idx="69">
                  <c:v>1.1687096612798318</c:v>
                </c:pt>
                <c:pt idx="70">
                  <c:v>1.1674588482513635</c:v>
                </c:pt>
                <c:pt idx="71">
                  <c:v>1.1630810026517235</c:v>
                </c:pt>
                <c:pt idx="72">
                  <c:v>1.150948116275579</c:v>
                </c:pt>
                <c:pt idx="73">
                  <c:v>1.1365137339270526</c:v>
                </c:pt>
                <c:pt idx="74">
                  <c:v>1.1196527743032971</c:v>
                </c:pt>
                <c:pt idx="75">
                  <c:v>1.1338369940461299</c:v>
                </c:pt>
                <c:pt idx="76">
                  <c:v>1.1157002051333367</c:v>
                </c:pt>
                <c:pt idx="77">
                  <c:v>1.093685895832291</c:v>
                </c:pt>
                <c:pt idx="78">
                  <c:v>1.0879821884224747</c:v>
                </c:pt>
                <c:pt idx="79">
                  <c:v>1.0806524240756492</c:v>
                </c:pt>
                <c:pt idx="80">
                  <c:v>1.0767749036873968</c:v>
                </c:pt>
                <c:pt idx="81">
                  <c:v>1.0613648871766648</c:v>
                </c:pt>
                <c:pt idx="82">
                  <c:v>1.066993545804773</c:v>
                </c:pt>
                <c:pt idx="83">
                  <c:v>1.0680692450092559</c:v>
                </c:pt>
                <c:pt idx="84">
                  <c:v>1.079901936258568</c:v>
                </c:pt>
                <c:pt idx="85">
                  <c:v>1.0998899284534949</c:v>
                </c:pt>
                <c:pt idx="86">
                  <c:v>1.1453444739080401</c:v>
                </c:pt>
                <c:pt idx="87">
                  <c:v>1.1414669535197879</c:v>
                </c:pt>
                <c:pt idx="88">
                  <c:v>1.1410416770901086</c:v>
                </c:pt>
                <c:pt idx="89">
                  <c:v>1.1261820183119027</c:v>
                </c:pt>
                <c:pt idx="90">
                  <c:v>1.1202031320358232</c:v>
                </c:pt>
                <c:pt idx="91">
                  <c:v>1.1298093760944614</c:v>
                </c:pt>
                <c:pt idx="92">
                  <c:v>1.1163256116475708</c:v>
                </c:pt>
                <c:pt idx="93">
                  <c:v>1.121403912543153</c:v>
                </c:pt>
                <c:pt idx="94">
                  <c:v>1.1211037174163205</c:v>
                </c:pt>
                <c:pt idx="95">
                  <c:v>1.1112723270125582</c:v>
                </c:pt>
                <c:pt idx="96">
                  <c:v>1.1261069695301946</c:v>
                </c:pt>
                <c:pt idx="97">
                  <c:v>1.1373392705258418</c:v>
                </c:pt>
                <c:pt idx="98">
                  <c:v>1.1029669285035273</c:v>
                </c:pt>
                <c:pt idx="99">
                  <c:v>1.1035423024966227</c:v>
                </c:pt>
                <c:pt idx="100">
                  <c:v>1.0884574973732928</c:v>
                </c:pt>
                <c:pt idx="101">
                  <c:v>1.0102316505728723</c:v>
                </c:pt>
                <c:pt idx="102">
                  <c:v>1.0225396507730025</c:v>
                </c:pt>
                <c:pt idx="103">
                  <c:v>1.0639665782758794</c:v>
                </c:pt>
                <c:pt idx="104">
                  <c:v>1.0452544153699905</c:v>
                </c:pt>
                <c:pt idx="105">
                  <c:v>1.113698904287787</c:v>
                </c:pt>
                <c:pt idx="106">
                  <c:v>1.1217291239305547</c:v>
                </c:pt>
                <c:pt idx="107">
                  <c:v>1.1330865062290489</c:v>
                </c:pt>
                <c:pt idx="108">
                  <c:v>1.1096712863361184</c:v>
                </c:pt>
                <c:pt idx="109">
                  <c:v>1.1244058638114776</c:v>
                </c:pt>
                <c:pt idx="110">
                  <c:v>1.1289338069745334</c:v>
                </c:pt>
                <c:pt idx="111">
                  <c:v>1.1361134737579426</c:v>
                </c:pt>
                <c:pt idx="112">
                  <c:v>1.139990994146195</c:v>
                </c:pt>
                <c:pt idx="113">
                  <c:v>1.1664832140891579</c:v>
                </c:pt>
                <c:pt idx="114">
                  <c:v>1.1336118477010055</c:v>
                </c:pt>
                <c:pt idx="115">
                  <c:v>1.1336118477010055</c:v>
                </c:pt>
                <c:pt idx="116">
                  <c:v>1.1466953519787861</c:v>
                </c:pt>
                <c:pt idx="117">
                  <c:v>1.1316605793765948</c:v>
                </c:pt>
                <c:pt idx="118">
                  <c:v>1.1473207584930205</c:v>
                </c:pt>
                <c:pt idx="119">
                  <c:v>1.120653424726072</c:v>
                </c:pt>
                <c:pt idx="120">
                  <c:v>1.1323110021513985</c:v>
                </c:pt>
                <c:pt idx="121">
                  <c:v>1.1200530344724071</c:v>
                </c:pt>
                <c:pt idx="122">
                  <c:v>1.1308350427778056</c:v>
                </c:pt>
                <c:pt idx="123">
                  <c:v>1.1479711812678239</c:v>
                </c:pt>
                <c:pt idx="124">
                  <c:v>1.1897233201581028</c:v>
                </c:pt>
                <c:pt idx="125">
                  <c:v>1.2543403212087858</c:v>
                </c:pt>
                <c:pt idx="126">
                  <c:v>1.2203932556161503</c:v>
                </c:pt>
                <c:pt idx="127">
                  <c:v>1.2221443938560064</c:v>
                </c:pt>
                <c:pt idx="128">
                  <c:v>1.1793665882823836</c:v>
                </c:pt>
                <c:pt idx="129">
                  <c:v>1.1876719867914143</c:v>
                </c:pt>
                <c:pt idx="130">
                  <c:v>1.1979536698854256</c:v>
                </c:pt>
                <c:pt idx="131">
                  <c:v>1.1974283284134688</c:v>
                </c:pt>
                <c:pt idx="132">
                  <c:v>1.1864211737629458</c:v>
                </c:pt>
                <c:pt idx="133">
                  <c:v>1.1987541902236454</c:v>
                </c:pt>
                <c:pt idx="134">
                  <c:v>1.2047330764997248</c:v>
                </c:pt>
                <c:pt idx="135">
                  <c:v>1.1715865312453093</c:v>
                </c:pt>
                <c:pt idx="136">
                  <c:v>1.1589032871366387</c:v>
                </c:pt>
                <c:pt idx="137">
                  <c:v>1.1238054735578127</c:v>
                </c:pt>
                <c:pt idx="138">
                  <c:v>1.118627107619953</c:v>
                </c:pt>
                <c:pt idx="139">
                  <c:v>1.1564767098614099</c:v>
                </c:pt>
                <c:pt idx="140">
                  <c:v>1.1946014909691298</c:v>
                </c:pt>
                <c:pt idx="141">
                  <c:v>1.2145394506429179</c:v>
                </c:pt>
                <c:pt idx="142">
                  <c:v>1.2161655075799269</c:v>
                </c:pt>
                <c:pt idx="143">
                  <c:v>1.2013308650622905</c:v>
                </c:pt>
                <c:pt idx="144">
                  <c:v>1.2107870115575123</c:v>
                </c:pt>
                <c:pt idx="145">
                  <c:v>1.2110371741632062</c:v>
                </c:pt>
                <c:pt idx="146">
                  <c:v>1.1995296943012959</c:v>
                </c:pt>
                <c:pt idx="147">
                  <c:v>1.1688847751038174</c:v>
                </c:pt>
                <c:pt idx="148">
                  <c:v>1.236103467253715</c:v>
                </c:pt>
                <c:pt idx="149">
                  <c:v>1.2148646620303196</c:v>
                </c:pt>
                <c:pt idx="150">
                  <c:v>1.1511232300995646</c:v>
                </c:pt>
                <c:pt idx="151">
                  <c:v>1.080302196427678</c:v>
                </c:pt>
                <c:pt idx="152">
                  <c:v>1.028318406964527</c:v>
                </c:pt>
                <c:pt idx="153">
                  <c:v>1.0159353579826889</c:v>
                </c:pt>
                <c:pt idx="154">
                  <c:v>1</c:v>
                </c:pt>
              </c:numCache>
            </c:numRef>
          </c:val>
          <c:smooth val="0"/>
          <c:extLst>
            <c:ext xmlns:c16="http://schemas.microsoft.com/office/drawing/2014/chart" uri="{C3380CC4-5D6E-409C-BE32-E72D297353CC}">
              <c16:uniqueId val="{00000000-7FCB-4865-8E32-ABAA033EDCFC}"/>
            </c:ext>
          </c:extLst>
        </c:ser>
        <c:ser>
          <c:idx val="1"/>
          <c:order val="1"/>
          <c:tx>
            <c:strRef>
              <c:f>Inputs!$B$21</c:f>
              <c:strCache>
                <c:ptCount val="1"/>
                <c:pt idx="0">
                  <c:v>RTX CORP</c:v>
                </c:pt>
              </c:strCache>
            </c:strRef>
          </c:tx>
          <c:spPr>
            <a:ln w="28575" cap="rnd">
              <a:solidFill>
                <a:schemeClr val="accent3"/>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Data'!$AG$5:$AG$159</c:f>
              <c:numCache>
                <c:formatCode>General</c:formatCode>
                <c:ptCount val="155"/>
                <c:pt idx="0">
                  <c:v>1.8835852874657779</c:v>
                </c:pt>
                <c:pt idx="1">
                  <c:v>1.8551362932984168</c:v>
                </c:pt>
                <c:pt idx="2">
                  <c:v>1.8750148791810499</c:v>
                </c:pt>
                <c:pt idx="3">
                  <c:v>1.8878704916081417</c:v>
                </c:pt>
                <c:pt idx="4">
                  <c:v>1.8597785977859778</c:v>
                </c:pt>
                <c:pt idx="5">
                  <c:v>1.8341864063801927</c:v>
                </c:pt>
                <c:pt idx="6">
                  <c:v>1.843351981906916</c:v>
                </c:pt>
                <c:pt idx="7">
                  <c:v>1.8665635043447208</c:v>
                </c:pt>
                <c:pt idx="8">
                  <c:v>1.8673967384835137</c:v>
                </c:pt>
                <c:pt idx="9">
                  <c:v>1.8033567432448516</c:v>
                </c:pt>
                <c:pt idx="10">
                  <c:v>1.7482442566361147</c:v>
                </c:pt>
                <c:pt idx="11">
                  <c:v>1.7219378645399355</c:v>
                </c:pt>
                <c:pt idx="12">
                  <c:v>1.7219378645399355</c:v>
                </c:pt>
                <c:pt idx="13">
                  <c:v>1.7455064873229376</c:v>
                </c:pt>
                <c:pt idx="14">
                  <c:v>1.7341983097250326</c:v>
                </c:pt>
                <c:pt idx="15">
                  <c:v>1.6557552672300915</c:v>
                </c:pt>
                <c:pt idx="16">
                  <c:v>1.6245685037495534</c:v>
                </c:pt>
                <c:pt idx="17">
                  <c:v>1.5754076895607665</c:v>
                </c:pt>
                <c:pt idx="18">
                  <c:v>1.6126651589096535</c:v>
                </c:pt>
                <c:pt idx="19">
                  <c:v>1.5316033805499343</c:v>
                </c:pt>
                <c:pt idx="20">
                  <c:v>1.5499345316033806</c:v>
                </c:pt>
                <c:pt idx="21">
                  <c:v>1.4905368408522794</c:v>
                </c:pt>
                <c:pt idx="22">
                  <c:v>1.5267230091655752</c:v>
                </c:pt>
                <c:pt idx="23">
                  <c:v>1.5267230091655752</c:v>
                </c:pt>
                <c:pt idx="24">
                  <c:v>1.3980478514462564</c:v>
                </c:pt>
                <c:pt idx="25">
                  <c:v>1.5679085823116294</c:v>
                </c:pt>
                <c:pt idx="26">
                  <c:v>1.5756457564575646</c:v>
                </c:pt>
                <c:pt idx="27">
                  <c:v>1.5473157957386026</c:v>
                </c:pt>
                <c:pt idx="28">
                  <c:v>1.5283894774431614</c:v>
                </c:pt>
                <c:pt idx="29">
                  <c:v>1.5830258302583027</c:v>
                </c:pt>
                <c:pt idx="30">
                  <c:v>1.4675633853112724</c:v>
                </c:pt>
                <c:pt idx="31">
                  <c:v>1.4570884418521604</c:v>
                </c:pt>
                <c:pt idx="32">
                  <c:v>1.5230329722652065</c:v>
                </c:pt>
                <c:pt idx="33">
                  <c:v>1.5349363171051063</c:v>
                </c:pt>
                <c:pt idx="34">
                  <c:v>1.4916081418878704</c:v>
                </c:pt>
                <c:pt idx="35">
                  <c:v>1.4416140935602904</c:v>
                </c:pt>
                <c:pt idx="36">
                  <c:v>1.3701940245208903</c:v>
                </c:pt>
                <c:pt idx="37">
                  <c:v>1.3792405665992145</c:v>
                </c:pt>
                <c:pt idx="38">
                  <c:v>1.3892393762647302</c:v>
                </c:pt>
                <c:pt idx="39">
                  <c:v>1.3865016069515534</c:v>
                </c:pt>
                <c:pt idx="40">
                  <c:v>1.4016188548982262</c:v>
                </c:pt>
                <c:pt idx="41">
                  <c:v>1.4044756576598023</c:v>
                </c:pt>
                <c:pt idx="42">
                  <c:v>1.4501845018450183</c:v>
                </c:pt>
                <c:pt idx="43">
                  <c:v>1.4375669563147242</c:v>
                </c:pt>
                <c:pt idx="44">
                  <c:v>1.4109034638733484</c:v>
                </c:pt>
                <c:pt idx="45">
                  <c:v>1.4706582549696463</c:v>
                </c:pt>
                <c:pt idx="46">
                  <c:v>1.4135221997381264</c:v>
                </c:pt>
                <c:pt idx="47">
                  <c:v>1.4898226401618853</c:v>
                </c:pt>
                <c:pt idx="48">
                  <c:v>1.4988691822402094</c:v>
                </c:pt>
                <c:pt idx="49">
                  <c:v>1.4751815260088084</c:v>
                </c:pt>
                <c:pt idx="50">
                  <c:v>1.4868468039519103</c:v>
                </c:pt>
                <c:pt idx="51">
                  <c:v>1.4330436852755624</c:v>
                </c:pt>
                <c:pt idx="52">
                  <c:v>1.4063801928341864</c:v>
                </c:pt>
                <c:pt idx="53">
                  <c:v>1.4179264373288893</c:v>
                </c:pt>
                <c:pt idx="54">
                  <c:v>1.4098321628377573</c:v>
                </c:pt>
                <c:pt idx="55">
                  <c:v>1.4681585525532674</c:v>
                </c:pt>
                <c:pt idx="56">
                  <c:v>1.4107844304249493</c:v>
                </c:pt>
                <c:pt idx="57">
                  <c:v>1.4039995238662064</c:v>
                </c:pt>
                <c:pt idx="58">
                  <c:v>1.3825735031543864</c:v>
                </c:pt>
                <c:pt idx="59">
                  <c:v>1.3860254731579573</c:v>
                </c:pt>
                <c:pt idx="60">
                  <c:v>1.3563861445066063</c:v>
                </c:pt>
                <c:pt idx="61">
                  <c:v>1.2237828829901203</c:v>
                </c:pt>
                <c:pt idx="62">
                  <c:v>1.2055707653850731</c:v>
                </c:pt>
                <c:pt idx="63">
                  <c:v>1.1947387215807641</c:v>
                </c:pt>
                <c:pt idx="64">
                  <c:v>1.1949767884775622</c:v>
                </c:pt>
                <c:pt idx="65">
                  <c:v>1.2571122485418402</c:v>
                </c:pt>
                <c:pt idx="66">
                  <c:v>1.2406856326627782</c:v>
                </c:pt>
                <c:pt idx="67">
                  <c:v>1.2868706106415901</c:v>
                </c:pt>
                <c:pt idx="68">
                  <c:v>1.2832996071896203</c:v>
                </c:pt>
                <c:pt idx="69">
                  <c:v>1.264968456136174</c:v>
                </c:pt>
                <c:pt idx="70">
                  <c:v>1.2400904654207832</c:v>
                </c:pt>
                <c:pt idx="71">
                  <c:v>1.2655636233781691</c:v>
                </c:pt>
                <c:pt idx="72">
                  <c:v>1.2069991667658613</c:v>
                </c:pt>
                <c:pt idx="73">
                  <c:v>1.2071182002142602</c:v>
                </c:pt>
                <c:pt idx="74">
                  <c:v>1.2089037019402451</c:v>
                </c:pt>
                <c:pt idx="75">
                  <c:v>1.1915248184739911</c:v>
                </c:pt>
                <c:pt idx="76">
                  <c:v>1.2104511367694322</c:v>
                </c:pt>
                <c:pt idx="77">
                  <c:v>1.1372455660040472</c:v>
                </c:pt>
                <c:pt idx="78">
                  <c:v>1.1372455660040472</c:v>
                </c:pt>
                <c:pt idx="79">
                  <c:v>1.1061778359719081</c:v>
                </c:pt>
                <c:pt idx="80">
                  <c:v>1.0817759790501129</c:v>
                </c:pt>
                <c:pt idx="81">
                  <c:v>1.0689203666230209</c:v>
                </c:pt>
                <c:pt idx="82">
                  <c:v>1.0714200690394</c:v>
                </c:pt>
                <c:pt idx="83">
                  <c:v>1.0833234138793</c:v>
                </c:pt>
                <c:pt idx="84">
                  <c:v>1.07737174145935</c:v>
                </c:pt>
                <c:pt idx="85">
                  <c:v>1.0948696583740032</c:v>
                </c:pt>
                <c:pt idx="86">
                  <c:v>1.0761814069753599</c:v>
                </c:pt>
                <c:pt idx="87">
                  <c:v>1.018093084156648</c:v>
                </c:pt>
                <c:pt idx="88">
                  <c:v>1.027615760028568</c:v>
                </c:pt>
                <c:pt idx="89">
                  <c:v>1.0163075824306629</c:v>
                </c:pt>
                <c:pt idx="90">
                  <c:v>1.0015474348291868</c:v>
                </c:pt>
                <c:pt idx="91">
                  <c:v>0.99071539102487793</c:v>
                </c:pt>
                <c:pt idx="92">
                  <c:v>0.95560052374717286</c:v>
                </c:pt>
                <c:pt idx="93">
                  <c:v>0.96798000238066884</c:v>
                </c:pt>
                <c:pt idx="94">
                  <c:v>0.9798833472205688</c:v>
                </c:pt>
                <c:pt idx="95">
                  <c:v>0.95202952029520294</c:v>
                </c:pt>
                <c:pt idx="96">
                  <c:v>0.94845851684323301</c:v>
                </c:pt>
                <c:pt idx="97">
                  <c:v>0.97869301273657894</c:v>
                </c:pt>
                <c:pt idx="98">
                  <c:v>0.98464468515652892</c:v>
                </c:pt>
                <c:pt idx="99">
                  <c:v>0.94226877752648486</c:v>
                </c:pt>
                <c:pt idx="100">
                  <c:v>0.86358766813474575</c:v>
                </c:pt>
                <c:pt idx="101">
                  <c:v>0.87192000952267579</c:v>
                </c:pt>
                <c:pt idx="102">
                  <c:v>0.83049636947982375</c:v>
                </c:pt>
                <c:pt idx="103">
                  <c:v>0.85668372812760374</c:v>
                </c:pt>
                <c:pt idx="104">
                  <c:v>0.85204142364004276</c:v>
                </c:pt>
                <c:pt idx="105">
                  <c:v>0.90227353886442085</c:v>
                </c:pt>
                <c:pt idx="106">
                  <c:v>0.99369122723485293</c:v>
                </c:pt>
                <c:pt idx="107">
                  <c:v>1.027020592786573</c:v>
                </c:pt>
                <c:pt idx="108">
                  <c:v>1.0080942744911319</c:v>
                </c:pt>
                <c:pt idx="109">
                  <c:v>1.0213069872634208</c:v>
                </c:pt>
                <c:pt idx="110">
                  <c:v>1.0336864658969169</c:v>
                </c:pt>
                <c:pt idx="111">
                  <c:v>1.0064278062135459</c:v>
                </c:pt>
                <c:pt idx="112">
                  <c:v>1.0396381383168669</c:v>
                </c:pt>
                <c:pt idx="113">
                  <c:v>1.1473634091179621</c:v>
                </c:pt>
                <c:pt idx="114">
                  <c:v>1.1447446732531841</c:v>
                </c:pt>
                <c:pt idx="115">
                  <c:v>1.159623854303059</c:v>
                </c:pt>
                <c:pt idx="116">
                  <c:v>1.1660516605166049</c:v>
                </c:pt>
                <c:pt idx="117">
                  <c:v>1.1535531484347101</c:v>
                </c:pt>
                <c:pt idx="118">
                  <c:v>1.1634329246518271</c:v>
                </c:pt>
                <c:pt idx="119">
                  <c:v>1.1824782763956672</c:v>
                </c:pt>
                <c:pt idx="120">
                  <c:v>1.1436733722175931</c:v>
                </c:pt>
                <c:pt idx="121">
                  <c:v>1.1101059397690751</c:v>
                </c:pt>
                <c:pt idx="122">
                  <c:v>1.144268539459588</c:v>
                </c:pt>
                <c:pt idx="123">
                  <c:v>1.142602071182002</c:v>
                </c:pt>
                <c:pt idx="124">
                  <c:v>1.1496250446375431</c:v>
                </c:pt>
                <c:pt idx="125">
                  <c:v>1.1891441495060111</c:v>
                </c:pt>
                <c:pt idx="126">
                  <c:v>1.2171170098797761</c:v>
                </c:pt>
                <c:pt idx="127">
                  <c:v>1.2103321033210332</c:v>
                </c:pt>
                <c:pt idx="128">
                  <c:v>1.1656945601714082</c:v>
                </c:pt>
                <c:pt idx="129">
                  <c:v>1.1656945601714082</c:v>
                </c:pt>
                <c:pt idx="130">
                  <c:v>1.1479585763599571</c:v>
                </c:pt>
                <c:pt idx="131">
                  <c:v>1.1397452684204261</c:v>
                </c:pt>
                <c:pt idx="132">
                  <c:v>1.1427211046304011</c:v>
                </c:pt>
                <c:pt idx="133">
                  <c:v>1.1786692060468991</c:v>
                </c:pt>
                <c:pt idx="134">
                  <c:v>1.1858112129508391</c:v>
                </c:pt>
                <c:pt idx="135">
                  <c:v>1.2083085346982503</c:v>
                </c:pt>
                <c:pt idx="136">
                  <c:v>1.1975955243423402</c:v>
                </c:pt>
                <c:pt idx="137">
                  <c:v>1.148434710153553</c:v>
                </c:pt>
                <c:pt idx="138">
                  <c:v>1.1855731460540411</c:v>
                </c:pt>
                <c:pt idx="139">
                  <c:v>1.123199619092965</c:v>
                </c:pt>
                <c:pt idx="140">
                  <c:v>1.1746220688013331</c:v>
                </c:pt>
                <c:pt idx="141">
                  <c:v>1.219616712296155</c:v>
                </c:pt>
                <c:pt idx="142">
                  <c:v>1.2012855612427091</c:v>
                </c:pt>
                <c:pt idx="143">
                  <c:v>1.182002142602071</c:v>
                </c:pt>
                <c:pt idx="144">
                  <c:v>1.1705749315557672</c:v>
                </c:pt>
                <c:pt idx="145">
                  <c:v>1.1697416974169741</c:v>
                </c:pt>
                <c:pt idx="146">
                  <c:v>1.2023568622783003</c:v>
                </c:pt>
                <c:pt idx="147">
                  <c:v>1.1602190215450541</c:v>
                </c:pt>
                <c:pt idx="148">
                  <c:v>1.1351029639328651</c:v>
                </c:pt>
                <c:pt idx="149">
                  <c:v>1.1147482442566361</c:v>
                </c:pt>
                <c:pt idx="150">
                  <c:v>1.1334364956552792</c:v>
                </c:pt>
                <c:pt idx="151">
                  <c:v>1.1317700273776929</c:v>
                </c:pt>
                <c:pt idx="152">
                  <c:v>1.053922152124747</c:v>
                </c:pt>
                <c:pt idx="153">
                  <c:v>0.98309725032734196</c:v>
                </c:pt>
                <c:pt idx="154">
                  <c:v>1</c:v>
                </c:pt>
              </c:numCache>
            </c:numRef>
          </c:val>
          <c:smooth val="0"/>
          <c:extLst>
            <c:ext xmlns:c16="http://schemas.microsoft.com/office/drawing/2014/chart" uri="{C3380CC4-5D6E-409C-BE32-E72D297353CC}">
              <c16:uniqueId val="{00000001-7FCB-4865-8E32-ABAA033EDCFC}"/>
            </c:ext>
          </c:extLst>
        </c:ser>
        <c:ser>
          <c:idx val="2"/>
          <c:order val="2"/>
          <c:tx>
            <c:strRef>
              <c:f>Inputs!$B$22</c:f>
              <c:strCache>
                <c:ptCount val="1"/>
                <c:pt idx="0">
                  <c:v>NORTHROP GRUMMAN</c:v>
                </c:pt>
              </c:strCache>
            </c:strRef>
          </c:tx>
          <c:spPr>
            <a:ln w="28575" cap="rnd">
              <a:solidFill>
                <a:schemeClr val="accent5"/>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Data'!$AH$5:$AH$159</c:f>
              <c:numCache>
                <c:formatCode>General</c:formatCode>
                <c:ptCount val="155"/>
                <c:pt idx="0">
                  <c:v>1.1550928258985265</c:v>
                </c:pt>
                <c:pt idx="1">
                  <c:v>1.1609990122759983</c:v>
                </c:pt>
                <c:pt idx="2">
                  <c:v>1.170755306496805</c:v>
                </c:pt>
                <c:pt idx="3">
                  <c:v>1.1893809591001632</c:v>
                </c:pt>
                <c:pt idx="4">
                  <c:v>1.1942187909451916</c:v>
                </c:pt>
                <c:pt idx="5">
                  <c:v>1.1771251184260922</c:v>
                </c:pt>
                <c:pt idx="6">
                  <c:v>1.1713801931101213</c:v>
                </c:pt>
                <c:pt idx="7">
                  <c:v>1.1821242113326214</c:v>
                </c:pt>
                <c:pt idx="8">
                  <c:v>1.1484609647443005</c:v>
                </c:pt>
                <c:pt idx="9">
                  <c:v>1.0462617670180814</c:v>
                </c:pt>
                <c:pt idx="10">
                  <c:v>1.0373117781047794</c:v>
                </c:pt>
                <c:pt idx="11">
                  <c:v>0.9957870547682881</c:v>
                </c:pt>
                <c:pt idx="12">
                  <c:v>0.9957870547682881</c:v>
                </c:pt>
                <c:pt idx="13">
                  <c:v>1.0032453788627065</c:v>
                </c:pt>
                <c:pt idx="14">
                  <c:v>1.0415851962345544</c:v>
                </c:pt>
                <c:pt idx="15">
                  <c:v>0.98653470136467181</c:v>
                </c:pt>
                <c:pt idx="16">
                  <c:v>0.97718155979761734</c:v>
                </c:pt>
                <c:pt idx="17">
                  <c:v>0.9503517506903989</c:v>
                </c:pt>
                <c:pt idx="18">
                  <c:v>0.9537987058799815</c:v>
                </c:pt>
                <c:pt idx="19">
                  <c:v>0.97284766876977968</c:v>
                </c:pt>
                <c:pt idx="20">
                  <c:v>0.99058638553488287</c:v>
                </c:pt>
                <c:pt idx="21">
                  <c:v>0.95385917877804438</c:v>
                </c:pt>
                <c:pt idx="22">
                  <c:v>1.0763974278860691</c:v>
                </c:pt>
                <c:pt idx="23">
                  <c:v>1.0763974278860691</c:v>
                </c:pt>
                <c:pt idx="24">
                  <c:v>0.97869338224918867</c:v>
                </c:pt>
                <c:pt idx="25">
                  <c:v>1.0324537886270637</c:v>
                </c:pt>
                <c:pt idx="26">
                  <c:v>0.98917535124674971</c:v>
                </c:pt>
                <c:pt idx="27">
                  <c:v>0.97750408192061933</c:v>
                </c:pt>
                <c:pt idx="28">
                  <c:v>0.98070914551795041</c:v>
                </c:pt>
                <c:pt idx="29">
                  <c:v>0.93075853171803513</c:v>
                </c:pt>
                <c:pt idx="30">
                  <c:v>0.90298131387449854</c:v>
                </c:pt>
                <c:pt idx="31">
                  <c:v>0.88471849865951746</c:v>
                </c:pt>
                <c:pt idx="32">
                  <c:v>0.9445463524763652</c:v>
                </c:pt>
                <c:pt idx="33">
                  <c:v>0.98222096796952163</c:v>
                </c:pt>
                <c:pt idx="34">
                  <c:v>1.0018746598399484</c:v>
                </c:pt>
                <c:pt idx="35">
                  <c:v>0.97236388558527687</c:v>
                </c:pt>
                <c:pt idx="36">
                  <c:v>0.92461045374831186</c:v>
                </c:pt>
                <c:pt idx="37">
                  <c:v>0.94301437239210628</c:v>
                </c:pt>
                <c:pt idx="38">
                  <c:v>0.95013001673083519</c:v>
                </c:pt>
                <c:pt idx="39">
                  <c:v>0.94648148521437647</c:v>
                </c:pt>
                <c:pt idx="40">
                  <c:v>0.96756636900562398</c:v>
                </c:pt>
                <c:pt idx="41">
                  <c:v>0.95476627224898714</c:v>
                </c:pt>
                <c:pt idx="42">
                  <c:v>0.98701848454917451</c:v>
                </c:pt>
                <c:pt idx="43">
                  <c:v>1.0015722953496342</c:v>
                </c:pt>
                <c:pt idx="44">
                  <c:v>0.99576689713560051</c:v>
                </c:pt>
                <c:pt idx="45">
                  <c:v>1.0663186115422605</c:v>
                </c:pt>
                <c:pt idx="46">
                  <c:v>1.0218911890987523</c:v>
                </c:pt>
                <c:pt idx="47">
                  <c:v>1.0468866536313977</c:v>
                </c:pt>
                <c:pt idx="48">
                  <c:v>1.0699469854260315</c:v>
                </c:pt>
                <c:pt idx="49">
                  <c:v>1.0657340401943198</c:v>
                </c:pt>
                <c:pt idx="50">
                  <c:v>1.0819407768751639</c:v>
                </c:pt>
                <c:pt idx="51">
                  <c:v>1.0618839323509848</c:v>
                </c:pt>
                <c:pt idx="52">
                  <c:v>1.0585377653248402</c:v>
                </c:pt>
                <c:pt idx="53">
                  <c:v>1.047753431836965</c:v>
                </c:pt>
                <c:pt idx="54">
                  <c:v>1.0381180834122841</c:v>
                </c:pt>
                <c:pt idx="55">
                  <c:v>1.0546674998488179</c:v>
                </c:pt>
                <c:pt idx="56">
                  <c:v>1.0267088633110928</c:v>
                </c:pt>
                <c:pt idx="57">
                  <c:v>1.0213066177508114</c:v>
                </c:pt>
                <c:pt idx="58">
                  <c:v>0.99647241427966704</c:v>
                </c:pt>
                <c:pt idx="59">
                  <c:v>0.99689572456610698</c:v>
                </c:pt>
                <c:pt idx="60">
                  <c:v>0.96817109798625256</c:v>
                </c:pt>
                <c:pt idx="61">
                  <c:v>0.88278336592150619</c:v>
                </c:pt>
                <c:pt idx="62">
                  <c:v>0.87129351528956445</c:v>
                </c:pt>
                <c:pt idx="63">
                  <c:v>0.87631276582878115</c:v>
                </c:pt>
                <c:pt idx="64">
                  <c:v>0.87877199701667041</c:v>
                </c:pt>
                <c:pt idx="65">
                  <c:v>0.87099115079925016</c:v>
                </c:pt>
                <c:pt idx="66">
                  <c:v>0.85486504464915636</c:v>
                </c:pt>
                <c:pt idx="67">
                  <c:v>0.8870164687859059</c:v>
                </c:pt>
                <c:pt idx="68">
                  <c:v>0.908645608659719</c:v>
                </c:pt>
                <c:pt idx="69">
                  <c:v>0.94021246144852755</c:v>
                </c:pt>
                <c:pt idx="70">
                  <c:v>0.94785220423713445</c:v>
                </c:pt>
                <c:pt idx="71">
                  <c:v>0.95708440000806316</c:v>
                </c:pt>
                <c:pt idx="72">
                  <c:v>0.94557439174343361</c:v>
                </c:pt>
                <c:pt idx="73">
                  <c:v>0.96847346247656674</c:v>
                </c:pt>
                <c:pt idx="74">
                  <c:v>0.93245177286379488</c:v>
                </c:pt>
                <c:pt idx="75">
                  <c:v>0.91940978451490663</c:v>
                </c:pt>
                <c:pt idx="76">
                  <c:v>0.91616440565220025</c:v>
                </c:pt>
                <c:pt idx="77">
                  <c:v>0.94488903223205467</c:v>
                </c:pt>
                <c:pt idx="78">
                  <c:v>0.94488903223205467</c:v>
                </c:pt>
                <c:pt idx="79">
                  <c:v>0.93077868935072272</c:v>
                </c:pt>
                <c:pt idx="80">
                  <c:v>0.92624322199600884</c:v>
                </c:pt>
                <c:pt idx="81">
                  <c:v>0.91697071095970484</c:v>
                </c:pt>
                <c:pt idx="82">
                  <c:v>0.92946844322602762</c:v>
                </c:pt>
                <c:pt idx="83">
                  <c:v>0.90902860368078375</c:v>
                </c:pt>
                <c:pt idx="84">
                  <c:v>0.91701102622508024</c:v>
                </c:pt>
                <c:pt idx="85">
                  <c:v>0.90019956056360739</c:v>
                </c:pt>
                <c:pt idx="86">
                  <c:v>0.88282368118688137</c:v>
                </c:pt>
                <c:pt idx="87">
                  <c:v>0.94837630268701256</c:v>
                </c:pt>
                <c:pt idx="88">
                  <c:v>0.96974339333588666</c:v>
                </c:pt>
                <c:pt idx="89">
                  <c:v>0.947187002358443</c:v>
                </c:pt>
                <c:pt idx="90">
                  <c:v>0.94365941663811004</c:v>
                </c:pt>
                <c:pt idx="91">
                  <c:v>0.93356044266161387</c:v>
                </c:pt>
                <c:pt idx="92">
                  <c:v>0.92936765506258956</c:v>
                </c:pt>
                <c:pt idx="93">
                  <c:v>0.96000725674776755</c:v>
                </c:pt>
                <c:pt idx="94">
                  <c:v>0.9672438468826221</c:v>
                </c:pt>
                <c:pt idx="95">
                  <c:v>0.95047269648652466</c:v>
                </c:pt>
                <c:pt idx="96">
                  <c:v>0.93565683646112607</c:v>
                </c:pt>
                <c:pt idx="97">
                  <c:v>0.93384264951924045</c:v>
                </c:pt>
                <c:pt idx="98">
                  <c:v>0.94857787901388857</c:v>
                </c:pt>
                <c:pt idx="99">
                  <c:v>0.95359712955310527</c:v>
                </c:pt>
                <c:pt idx="100">
                  <c:v>0.97905621963756584</c:v>
                </c:pt>
                <c:pt idx="101">
                  <c:v>0.98802636618355544</c:v>
                </c:pt>
                <c:pt idx="102">
                  <c:v>0.85315164587070902</c:v>
                </c:pt>
                <c:pt idx="103">
                  <c:v>0.88731883327622008</c:v>
                </c:pt>
                <c:pt idx="104">
                  <c:v>0.85649781289685334</c:v>
                </c:pt>
                <c:pt idx="105">
                  <c:v>0.87381321937551659</c:v>
                </c:pt>
                <c:pt idx="106">
                  <c:v>0.85210344897095291</c:v>
                </c:pt>
                <c:pt idx="107">
                  <c:v>0.87810679513797907</c:v>
                </c:pt>
                <c:pt idx="108">
                  <c:v>0.86589126972928299</c:v>
                </c:pt>
                <c:pt idx="109">
                  <c:v>0.86712088532322773</c:v>
                </c:pt>
                <c:pt idx="110">
                  <c:v>0.86889475699973806</c:v>
                </c:pt>
                <c:pt idx="111">
                  <c:v>0.88399282388276335</c:v>
                </c:pt>
                <c:pt idx="112">
                  <c:v>0.90644842669676884</c:v>
                </c:pt>
                <c:pt idx="113">
                  <c:v>0.91398738132193758</c:v>
                </c:pt>
                <c:pt idx="114">
                  <c:v>0.90838355943478</c:v>
                </c:pt>
                <c:pt idx="115">
                  <c:v>0.91203209095123872</c:v>
                </c:pt>
                <c:pt idx="116">
                  <c:v>0.91878489790159046</c:v>
                </c:pt>
                <c:pt idx="117">
                  <c:v>0.9152573121812575</c:v>
                </c:pt>
                <c:pt idx="118">
                  <c:v>0.92392509423693292</c:v>
                </c:pt>
                <c:pt idx="119">
                  <c:v>0.91568062246769744</c:v>
                </c:pt>
                <c:pt idx="120">
                  <c:v>0.89465621157451269</c:v>
                </c:pt>
                <c:pt idx="121">
                  <c:v>0.88354935596363571</c:v>
                </c:pt>
                <c:pt idx="122">
                  <c:v>0.8936080146747567</c:v>
                </c:pt>
                <c:pt idx="123">
                  <c:v>0.88443629180189076</c:v>
                </c:pt>
                <c:pt idx="124">
                  <c:v>0.90066318611542262</c:v>
                </c:pt>
                <c:pt idx="125">
                  <c:v>0.92981112298171709</c:v>
                </c:pt>
                <c:pt idx="126">
                  <c:v>0.9514201052228427</c:v>
                </c:pt>
                <c:pt idx="127">
                  <c:v>0.95258924791872446</c:v>
                </c:pt>
                <c:pt idx="128">
                  <c:v>0.93071821645265995</c:v>
                </c:pt>
                <c:pt idx="129">
                  <c:v>0.93071821645265995</c:v>
                </c:pt>
                <c:pt idx="130">
                  <c:v>0.91767622810377159</c:v>
                </c:pt>
                <c:pt idx="131">
                  <c:v>0.89419258602269758</c:v>
                </c:pt>
                <c:pt idx="132">
                  <c:v>0.92680763571126201</c:v>
                </c:pt>
                <c:pt idx="133">
                  <c:v>0.94212743655385112</c:v>
                </c:pt>
                <c:pt idx="134">
                  <c:v>0.94924308089258003</c:v>
                </c:pt>
                <c:pt idx="135">
                  <c:v>0.94867866717732674</c:v>
                </c:pt>
                <c:pt idx="136">
                  <c:v>0.93503194984780991</c:v>
                </c:pt>
                <c:pt idx="137">
                  <c:v>0.88822592674716283</c:v>
                </c:pt>
                <c:pt idx="138">
                  <c:v>0.88219879457356531</c:v>
                </c:pt>
                <c:pt idx="139">
                  <c:v>0.90862545102703141</c:v>
                </c:pt>
                <c:pt idx="140">
                  <c:v>0.93013364510471896</c:v>
                </c:pt>
                <c:pt idx="141">
                  <c:v>1.0510592835977342</c:v>
                </c:pt>
                <c:pt idx="142">
                  <c:v>1.0998205970690802</c:v>
                </c:pt>
                <c:pt idx="143">
                  <c:v>1.0779697232357033</c:v>
                </c:pt>
                <c:pt idx="144">
                  <c:v>1.0680924832187708</c:v>
                </c:pt>
                <c:pt idx="145">
                  <c:v>1.0662178233788226</c:v>
                </c:pt>
                <c:pt idx="146">
                  <c:v>1.0998004394363927</c:v>
                </c:pt>
                <c:pt idx="147">
                  <c:v>1.063980326150497</c:v>
                </c:pt>
                <c:pt idx="148">
                  <c:v>1.0490435203289725</c:v>
                </c:pt>
                <c:pt idx="149">
                  <c:v>0.99316656251889779</c:v>
                </c:pt>
                <c:pt idx="150">
                  <c:v>1.0537805640105626</c:v>
                </c:pt>
                <c:pt idx="151">
                  <c:v>1.1048600052409845</c:v>
                </c:pt>
                <c:pt idx="152">
                  <c:v>1.0535588300509988</c:v>
                </c:pt>
                <c:pt idx="153">
                  <c:v>0.93569715172650125</c:v>
                </c:pt>
                <c:pt idx="154">
                  <c:v>1</c:v>
                </c:pt>
              </c:numCache>
            </c:numRef>
          </c:val>
          <c:smooth val="0"/>
          <c:extLst>
            <c:ext xmlns:c16="http://schemas.microsoft.com/office/drawing/2014/chart" uri="{C3380CC4-5D6E-409C-BE32-E72D297353CC}">
              <c16:uniqueId val="{00000002-7FCB-4865-8E32-ABAA033EDCFC}"/>
            </c:ext>
          </c:extLst>
        </c:ser>
        <c:ser>
          <c:idx val="3"/>
          <c:order val="3"/>
          <c:tx>
            <c:strRef>
              <c:f>Inputs!$B$23</c:f>
              <c:strCache>
                <c:ptCount val="1"/>
                <c:pt idx="0">
                  <c:v>AEROVIRONMENT IN</c:v>
                </c:pt>
              </c:strCache>
            </c:strRef>
          </c:tx>
          <c:spPr>
            <a:ln w="28575" cap="rnd">
              <a:solidFill>
                <a:schemeClr val="accent1">
                  <a:lumMod val="60000"/>
                </a:schemeClr>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Data'!$AI$5:$AI$159</c:f>
              <c:numCache>
                <c:formatCode>General</c:formatCode>
                <c:ptCount val="155"/>
                <c:pt idx="0">
                  <c:v>3.6250650702758977</c:v>
                </c:pt>
                <c:pt idx="1">
                  <c:v>3.1624154086413325</c:v>
                </c:pt>
                <c:pt idx="2">
                  <c:v>2.942217595002603</c:v>
                </c:pt>
                <c:pt idx="3">
                  <c:v>3.1409422175950024</c:v>
                </c:pt>
                <c:pt idx="4">
                  <c:v>3.1212909942738158</c:v>
                </c:pt>
                <c:pt idx="5">
                  <c:v>3.2099167100468504</c:v>
                </c:pt>
                <c:pt idx="6">
                  <c:v>3.2203279541905254</c:v>
                </c:pt>
                <c:pt idx="7">
                  <c:v>3.3845653305570012</c:v>
                </c:pt>
                <c:pt idx="8">
                  <c:v>3.5512753774075998</c:v>
                </c:pt>
                <c:pt idx="9">
                  <c:v>3.5662415408641328</c:v>
                </c:pt>
                <c:pt idx="10">
                  <c:v>3.433107756376887</c:v>
                </c:pt>
                <c:pt idx="11">
                  <c:v>3.6188183237896925</c:v>
                </c:pt>
                <c:pt idx="12">
                  <c:v>3.6188183237896925</c:v>
                </c:pt>
                <c:pt idx="13">
                  <c:v>2.4681155648099948</c:v>
                </c:pt>
                <c:pt idx="14">
                  <c:v>2.5390421655387816</c:v>
                </c:pt>
                <c:pt idx="15">
                  <c:v>2.4842529932326909</c:v>
                </c:pt>
                <c:pt idx="16">
                  <c:v>2.316892243623113</c:v>
                </c:pt>
                <c:pt idx="17">
                  <c:v>2.2002863092139511</c:v>
                </c:pt>
                <c:pt idx="18">
                  <c:v>2.1354763144195732</c:v>
                </c:pt>
                <c:pt idx="19">
                  <c:v>2.1534357105674129</c:v>
                </c:pt>
                <c:pt idx="20">
                  <c:v>2.0665018219677251</c:v>
                </c:pt>
                <c:pt idx="21">
                  <c:v>1.9467725143154606</c:v>
                </c:pt>
                <c:pt idx="22">
                  <c:v>1.9043466944299845</c:v>
                </c:pt>
                <c:pt idx="23">
                  <c:v>1.9043466944299845</c:v>
                </c:pt>
                <c:pt idx="24">
                  <c:v>1.4530192608016659</c:v>
                </c:pt>
                <c:pt idx="25">
                  <c:v>1.5737896928682977</c:v>
                </c:pt>
                <c:pt idx="26">
                  <c:v>1.6268870380010412</c:v>
                </c:pt>
                <c:pt idx="27">
                  <c:v>1.6846694429984381</c:v>
                </c:pt>
                <c:pt idx="28">
                  <c:v>1.7221499219156691</c:v>
                </c:pt>
                <c:pt idx="29">
                  <c:v>1.9471629359708484</c:v>
                </c:pt>
                <c:pt idx="30">
                  <c:v>2.0144456012493492</c:v>
                </c:pt>
                <c:pt idx="31">
                  <c:v>2.0430765226444558</c:v>
                </c:pt>
                <c:pt idx="32">
                  <c:v>2.3025767829255597</c:v>
                </c:pt>
                <c:pt idx="33">
                  <c:v>2.344482040603852</c:v>
                </c:pt>
                <c:pt idx="34">
                  <c:v>2.3472149921915668</c:v>
                </c:pt>
                <c:pt idx="35">
                  <c:v>2.195991671004685</c:v>
                </c:pt>
                <c:pt idx="36">
                  <c:v>2.1477095262883914</c:v>
                </c:pt>
                <c:pt idx="37">
                  <c:v>2.0953930244664236</c:v>
                </c:pt>
                <c:pt idx="38">
                  <c:v>2.051795939614784</c:v>
                </c:pt>
                <c:pt idx="39">
                  <c:v>2.1346954711087975</c:v>
                </c:pt>
                <c:pt idx="40">
                  <c:v>2.0366996356064551</c:v>
                </c:pt>
                <c:pt idx="41">
                  <c:v>2.125585632483082</c:v>
                </c:pt>
                <c:pt idx="42">
                  <c:v>2.5312337324310255</c:v>
                </c:pt>
                <c:pt idx="43">
                  <c:v>2.549583550234253</c:v>
                </c:pt>
                <c:pt idx="44">
                  <c:v>2.603591879229568</c:v>
                </c:pt>
                <c:pt idx="45">
                  <c:v>2.965512753774076</c:v>
                </c:pt>
                <c:pt idx="46">
                  <c:v>2.8110359187922955</c:v>
                </c:pt>
                <c:pt idx="47">
                  <c:v>2.8748047891723059</c:v>
                </c:pt>
                <c:pt idx="48">
                  <c:v>2.8236595523165016</c:v>
                </c:pt>
                <c:pt idx="49">
                  <c:v>2.803097345132743</c:v>
                </c:pt>
                <c:pt idx="50">
                  <c:v>2.706272774596564</c:v>
                </c:pt>
                <c:pt idx="51">
                  <c:v>2.5927902134305048</c:v>
                </c:pt>
                <c:pt idx="52">
                  <c:v>2.3784487246225923</c:v>
                </c:pt>
                <c:pt idx="53">
                  <c:v>2.5001301405517959</c:v>
                </c:pt>
                <c:pt idx="54">
                  <c:v>2.3356324830817283</c:v>
                </c:pt>
                <c:pt idx="55">
                  <c:v>2.6517438833940652</c:v>
                </c:pt>
                <c:pt idx="56">
                  <c:v>2.4156038521603334</c:v>
                </c:pt>
                <c:pt idx="57">
                  <c:v>2.4783966684018739</c:v>
                </c:pt>
                <c:pt idx="58">
                  <c:v>2.2907339927121293</c:v>
                </c:pt>
                <c:pt idx="59">
                  <c:v>2.1668401874023946</c:v>
                </c:pt>
                <c:pt idx="60">
                  <c:v>2.2621030713170223</c:v>
                </c:pt>
                <c:pt idx="61">
                  <c:v>2.137298282144716</c:v>
                </c:pt>
                <c:pt idx="62">
                  <c:v>2.2546850598646535</c:v>
                </c:pt>
                <c:pt idx="63">
                  <c:v>2.19807391983342</c:v>
                </c:pt>
                <c:pt idx="64">
                  <c:v>2.3706402915148357</c:v>
                </c:pt>
                <c:pt idx="65">
                  <c:v>2.4659031754294634</c:v>
                </c:pt>
                <c:pt idx="66">
                  <c:v>2.8011452368558043</c:v>
                </c:pt>
                <c:pt idx="67">
                  <c:v>2.6326132222800624</c:v>
                </c:pt>
                <c:pt idx="68">
                  <c:v>2.6307912545549192</c:v>
                </c:pt>
                <c:pt idx="69">
                  <c:v>2.5998178032274857</c:v>
                </c:pt>
                <c:pt idx="70">
                  <c:v>2.5225143154606977</c:v>
                </c:pt>
                <c:pt idx="71">
                  <c:v>2.4267308693388858</c:v>
                </c:pt>
                <c:pt idx="72">
                  <c:v>2.1963820926600728</c:v>
                </c:pt>
                <c:pt idx="73">
                  <c:v>2.0573919833420091</c:v>
                </c:pt>
                <c:pt idx="74">
                  <c:v>1.9523685580426862</c:v>
                </c:pt>
                <c:pt idx="75">
                  <c:v>1.9146277980218636</c:v>
                </c:pt>
                <c:pt idx="76">
                  <c:v>1.9329776158250911</c:v>
                </c:pt>
                <c:pt idx="77">
                  <c:v>1.9379229567933367</c:v>
                </c:pt>
                <c:pt idx="78">
                  <c:v>1.9379229567933367</c:v>
                </c:pt>
                <c:pt idx="79">
                  <c:v>1.9338885996876625</c:v>
                </c:pt>
                <c:pt idx="80">
                  <c:v>2.1633263925039041</c:v>
                </c:pt>
                <c:pt idx="81">
                  <c:v>1.6752993232691304</c:v>
                </c:pt>
                <c:pt idx="82">
                  <c:v>1.6038521603331597</c:v>
                </c:pt>
                <c:pt idx="83">
                  <c:v>1.6194690265486724</c:v>
                </c:pt>
                <c:pt idx="84">
                  <c:v>1.6292295679333679</c:v>
                </c:pt>
                <c:pt idx="85">
                  <c:v>1.5839406559083808</c:v>
                </c:pt>
                <c:pt idx="86">
                  <c:v>1.5890161374284226</c:v>
                </c:pt>
                <c:pt idx="87">
                  <c:v>1.6002082248828733</c:v>
                </c:pt>
                <c:pt idx="88">
                  <c:v>1.6501821967725141</c:v>
                </c:pt>
                <c:pt idx="89">
                  <c:v>1.5395627277459656</c:v>
                </c:pt>
                <c:pt idx="90">
                  <c:v>1.6402915148360229</c:v>
                </c:pt>
                <c:pt idx="91">
                  <c:v>1.6602030192608015</c:v>
                </c:pt>
                <c:pt idx="92">
                  <c:v>1.6421134825611661</c:v>
                </c:pt>
                <c:pt idx="93">
                  <c:v>1.6240239458615304</c:v>
                </c:pt>
                <c:pt idx="94">
                  <c:v>1.8181936491410724</c:v>
                </c:pt>
                <c:pt idx="95">
                  <c:v>1.7356845393024467</c:v>
                </c:pt>
                <c:pt idx="96">
                  <c:v>1.6270171785528369</c:v>
                </c:pt>
                <c:pt idx="97">
                  <c:v>1.5823789692868298</c:v>
                </c:pt>
                <c:pt idx="98">
                  <c:v>1.5593440916189483</c:v>
                </c:pt>
                <c:pt idx="99">
                  <c:v>1.48269130661114</c:v>
                </c:pt>
                <c:pt idx="100">
                  <c:v>1.5209526288391462</c:v>
                </c:pt>
                <c:pt idx="101">
                  <c:v>1.4513274336283184</c:v>
                </c:pt>
                <c:pt idx="102">
                  <c:v>1.3667360749609576</c:v>
                </c:pt>
                <c:pt idx="103">
                  <c:v>1.4514575741801146</c:v>
                </c:pt>
                <c:pt idx="104">
                  <c:v>1.4618688183237896</c:v>
                </c:pt>
                <c:pt idx="105">
                  <c:v>1.4495054659031754</c:v>
                </c:pt>
                <c:pt idx="106">
                  <c:v>1.4768349817803228</c:v>
                </c:pt>
                <c:pt idx="107">
                  <c:v>1.2760281103591877</c:v>
                </c:pt>
                <c:pt idx="108">
                  <c:v>1.2286569495054658</c:v>
                </c:pt>
                <c:pt idx="109">
                  <c:v>1.2165538781884435</c:v>
                </c:pt>
                <c:pt idx="110">
                  <c:v>1.2449245184799582</c:v>
                </c:pt>
                <c:pt idx="111">
                  <c:v>1.2574180114523685</c:v>
                </c:pt>
                <c:pt idx="112">
                  <c:v>1.236725663716814</c:v>
                </c:pt>
                <c:pt idx="113">
                  <c:v>1.2554659031754294</c:v>
                </c:pt>
                <c:pt idx="114">
                  <c:v>1.2552056220718375</c:v>
                </c:pt>
                <c:pt idx="115">
                  <c:v>1.2519521082769391</c:v>
                </c:pt>
                <c:pt idx="116">
                  <c:v>1.3310775637688703</c:v>
                </c:pt>
                <c:pt idx="117">
                  <c:v>1.1828474752732951</c:v>
                </c:pt>
                <c:pt idx="118">
                  <c:v>1.221759500260281</c:v>
                </c:pt>
                <c:pt idx="119">
                  <c:v>1.2747267048412285</c:v>
                </c:pt>
                <c:pt idx="120">
                  <c:v>1.2863092139510672</c:v>
                </c:pt>
                <c:pt idx="121">
                  <c:v>1.2014575741801143</c:v>
                </c:pt>
                <c:pt idx="122">
                  <c:v>1.3862571577303486</c:v>
                </c:pt>
                <c:pt idx="123">
                  <c:v>1.3875585632483081</c:v>
                </c:pt>
                <c:pt idx="124">
                  <c:v>1.338105153565851</c:v>
                </c:pt>
                <c:pt idx="125">
                  <c:v>1.3103852160333158</c:v>
                </c:pt>
                <c:pt idx="126">
                  <c:v>1.3369338885996878</c:v>
                </c:pt>
                <c:pt idx="127">
                  <c:v>1.3836543466944298</c:v>
                </c:pt>
                <c:pt idx="128">
                  <c:v>1.1928682977615823</c:v>
                </c:pt>
                <c:pt idx="129">
                  <c:v>1.1928682977615823</c:v>
                </c:pt>
                <c:pt idx="130">
                  <c:v>1.1720458094742321</c:v>
                </c:pt>
                <c:pt idx="131">
                  <c:v>1.1763404476834982</c:v>
                </c:pt>
                <c:pt idx="132">
                  <c:v>1.1782925559604374</c:v>
                </c:pt>
                <c:pt idx="133">
                  <c:v>1.1617647058823528</c:v>
                </c:pt>
                <c:pt idx="134">
                  <c:v>1.1078865174388339</c:v>
                </c:pt>
                <c:pt idx="135">
                  <c:v>1.1417230609057782</c:v>
                </c:pt>
                <c:pt idx="136">
                  <c:v>1.1483602290473711</c:v>
                </c:pt>
                <c:pt idx="137">
                  <c:v>1.1967725143154606</c:v>
                </c:pt>
                <c:pt idx="138">
                  <c:v>1.1530452889120248</c:v>
                </c:pt>
                <c:pt idx="139">
                  <c:v>1.0789953149401352</c:v>
                </c:pt>
                <c:pt idx="140">
                  <c:v>1.1492712129099427</c:v>
                </c:pt>
                <c:pt idx="141">
                  <c:v>1.1206402915148359</c:v>
                </c:pt>
                <c:pt idx="142">
                  <c:v>1.1147839666840187</c:v>
                </c:pt>
                <c:pt idx="143">
                  <c:v>1.1025507548152003</c:v>
                </c:pt>
                <c:pt idx="144">
                  <c:v>1.0653305570015617</c:v>
                </c:pt>
                <c:pt idx="145">
                  <c:v>1.0688443519000519</c:v>
                </c:pt>
                <c:pt idx="146">
                  <c:v>1.2061426340447683</c:v>
                </c:pt>
                <c:pt idx="147">
                  <c:v>1.1983342009370119</c:v>
                </c:pt>
                <c:pt idx="148">
                  <c:v>1.206793336803748</c:v>
                </c:pt>
                <c:pt idx="149">
                  <c:v>1.2093961478396669</c:v>
                </c:pt>
                <c:pt idx="150">
                  <c:v>1.1056741280583029</c:v>
                </c:pt>
                <c:pt idx="151">
                  <c:v>1.1730869338885996</c:v>
                </c:pt>
                <c:pt idx="152">
                  <c:v>1.0377407600208224</c:v>
                </c:pt>
                <c:pt idx="153">
                  <c:v>0.98373243102550756</c:v>
                </c:pt>
                <c:pt idx="154">
                  <c:v>1</c:v>
                </c:pt>
              </c:numCache>
            </c:numRef>
          </c:val>
          <c:smooth val="0"/>
          <c:extLst>
            <c:ext xmlns:c16="http://schemas.microsoft.com/office/drawing/2014/chart" uri="{C3380CC4-5D6E-409C-BE32-E72D297353CC}">
              <c16:uniqueId val="{00000003-7FCB-4865-8E32-ABAA033EDCFC}"/>
            </c:ext>
          </c:extLst>
        </c:ser>
        <c:ser>
          <c:idx val="4"/>
          <c:order val="4"/>
          <c:tx>
            <c:strRef>
              <c:f>Inputs!$B$24</c:f>
              <c:strCache>
                <c:ptCount val="1"/>
                <c:pt idx="0">
                  <c:v>LEONARDO DRS INC</c:v>
                </c:pt>
              </c:strCache>
            </c:strRef>
          </c:tx>
          <c:spPr>
            <a:ln w="28575" cap="rnd">
              <a:solidFill>
                <a:schemeClr val="accent3">
                  <a:lumMod val="60000"/>
                </a:schemeClr>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Data'!$AJ$5:$AJ$159</c:f>
              <c:numCache>
                <c:formatCode>General</c:formatCode>
                <c:ptCount val="1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numCache>
            </c:numRef>
          </c:val>
          <c:smooth val="0"/>
          <c:extLst>
            <c:ext xmlns:c16="http://schemas.microsoft.com/office/drawing/2014/chart" uri="{C3380CC4-5D6E-409C-BE32-E72D297353CC}">
              <c16:uniqueId val="{00000004-7FCB-4865-8E32-ABAA033EDCFC}"/>
            </c:ext>
          </c:extLst>
        </c:ser>
        <c:ser>
          <c:idx val="5"/>
          <c:order val="5"/>
          <c:tx>
            <c:strRef>
              <c:f>Inputs!$B$25</c:f>
              <c:strCache>
                <c:ptCount val="1"/>
                <c:pt idx="0">
                  <c:v>CURTISS-WRIGHT</c:v>
                </c:pt>
              </c:strCache>
            </c:strRef>
          </c:tx>
          <c:spPr>
            <a:ln w="28575" cap="rnd">
              <a:solidFill>
                <a:schemeClr val="accent5">
                  <a:lumMod val="60000"/>
                </a:schemeClr>
              </a:solidFill>
              <a:round/>
            </a:ln>
            <a:effectLst/>
          </c:spPr>
          <c:marker>
            <c:symbol val="none"/>
          </c:marker>
          <c:cat>
            <c:numRef>
              <c:f>'Stock Data'!$Q$5:$Q$159</c:f>
              <c:numCache>
                <c:formatCode>m/d/yyyy</c:formatCode>
                <c:ptCount val="155"/>
                <c:pt idx="0">
                  <c:v>45919</c:v>
                </c:pt>
                <c:pt idx="1">
                  <c:v>45912</c:v>
                </c:pt>
                <c:pt idx="2">
                  <c:v>45905</c:v>
                </c:pt>
                <c:pt idx="3">
                  <c:v>45898</c:v>
                </c:pt>
                <c:pt idx="4">
                  <c:v>45891</c:v>
                </c:pt>
                <c:pt idx="5">
                  <c:v>45884</c:v>
                </c:pt>
                <c:pt idx="6">
                  <c:v>45877</c:v>
                </c:pt>
                <c:pt idx="7">
                  <c:v>45870</c:v>
                </c:pt>
                <c:pt idx="8">
                  <c:v>45863</c:v>
                </c:pt>
                <c:pt idx="9">
                  <c:v>45856</c:v>
                </c:pt>
                <c:pt idx="10">
                  <c:v>45849</c:v>
                </c:pt>
                <c:pt idx="11">
                  <c:v>45842</c:v>
                </c:pt>
                <c:pt idx="12">
                  <c:v>45835</c:v>
                </c:pt>
                <c:pt idx="13">
                  <c:v>45828</c:v>
                </c:pt>
                <c:pt idx="14">
                  <c:v>45821</c:v>
                </c:pt>
                <c:pt idx="15">
                  <c:v>45814</c:v>
                </c:pt>
                <c:pt idx="16">
                  <c:v>45807</c:v>
                </c:pt>
                <c:pt idx="17">
                  <c:v>45800</c:v>
                </c:pt>
                <c:pt idx="18">
                  <c:v>45793</c:v>
                </c:pt>
                <c:pt idx="19">
                  <c:v>45786</c:v>
                </c:pt>
                <c:pt idx="20">
                  <c:v>45779</c:v>
                </c:pt>
                <c:pt idx="21">
                  <c:v>45772</c:v>
                </c:pt>
                <c:pt idx="22">
                  <c:v>45765</c:v>
                </c:pt>
                <c:pt idx="23">
                  <c:v>45758</c:v>
                </c:pt>
                <c:pt idx="24">
                  <c:v>45751</c:v>
                </c:pt>
                <c:pt idx="25">
                  <c:v>45744</c:v>
                </c:pt>
                <c:pt idx="26">
                  <c:v>45737</c:v>
                </c:pt>
                <c:pt idx="27">
                  <c:v>45730</c:v>
                </c:pt>
                <c:pt idx="28">
                  <c:v>45723</c:v>
                </c:pt>
                <c:pt idx="29">
                  <c:v>45716</c:v>
                </c:pt>
                <c:pt idx="30">
                  <c:v>45709</c:v>
                </c:pt>
                <c:pt idx="31">
                  <c:v>45702</c:v>
                </c:pt>
                <c:pt idx="32">
                  <c:v>45695</c:v>
                </c:pt>
                <c:pt idx="33">
                  <c:v>45688</c:v>
                </c:pt>
                <c:pt idx="34">
                  <c:v>45681</c:v>
                </c:pt>
                <c:pt idx="35">
                  <c:v>45674</c:v>
                </c:pt>
                <c:pt idx="36">
                  <c:v>45667</c:v>
                </c:pt>
                <c:pt idx="37">
                  <c:v>45660</c:v>
                </c:pt>
                <c:pt idx="38">
                  <c:v>45653</c:v>
                </c:pt>
                <c:pt idx="39">
                  <c:v>45646</c:v>
                </c:pt>
                <c:pt idx="40">
                  <c:v>45639</c:v>
                </c:pt>
                <c:pt idx="41">
                  <c:v>45632</c:v>
                </c:pt>
                <c:pt idx="42">
                  <c:v>45625</c:v>
                </c:pt>
                <c:pt idx="43">
                  <c:v>45618</c:v>
                </c:pt>
                <c:pt idx="44">
                  <c:v>45611</c:v>
                </c:pt>
                <c:pt idx="45">
                  <c:v>45604</c:v>
                </c:pt>
                <c:pt idx="46">
                  <c:v>45597</c:v>
                </c:pt>
                <c:pt idx="47">
                  <c:v>45590</c:v>
                </c:pt>
                <c:pt idx="48">
                  <c:v>45583</c:v>
                </c:pt>
                <c:pt idx="49">
                  <c:v>45576</c:v>
                </c:pt>
                <c:pt idx="50">
                  <c:v>45569</c:v>
                </c:pt>
                <c:pt idx="51">
                  <c:v>45562</c:v>
                </c:pt>
                <c:pt idx="52">
                  <c:v>45555</c:v>
                </c:pt>
                <c:pt idx="53">
                  <c:v>45548</c:v>
                </c:pt>
                <c:pt idx="54">
                  <c:v>45541</c:v>
                </c:pt>
                <c:pt idx="55">
                  <c:v>45534</c:v>
                </c:pt>
                <c:pt idx="56">
                  <c:v>45527</c:v>
                </c:pt>
                <c:pt idx="57">
                  <c:v>45520</c:v>
                </c:pt>
                <c:pt idx="58">
                  <c:v>45513</c:v>
                </c:pt>
                <c:pt idx="59">
                  <c:v>45506</c:v>
                </c:pt>
                <c:pt idx="60">
                  <c:v>45499</c:v>
                </c:pt>
                <c:pt idx="61">
                  <c:v>45492</c:v>
                </c:pt>
                <c:pt idx="62">
                  <c:v>45485</c:v>
                </c:pt>
                <c:pt idx="63">
                  <c:v>45478</c:v>
                </c:pt>
                <c:pt idx="64">
                  <c:v>45471</c:v>
                </c:pt>
                <c:pt idx="65">
                  <c:v>45464</c:v>
                </c:pt>
                <c:pt idx="66">
                  <c:v>45457</c:v>
                </c:pt>
                <c:pt idx="67">
                  <c:v>45450</c:v>
                </c:pt>
                <c:pt idx="68">
                  <c:v>45443</c:v>
                </c:pt>
                <c:pt idx="69">
                  <c:v>45436</c:v>
                </c:pt>
                <c:pt idx="70">
                  <c:v>45429</c:v>
                </c:pt>
                <c:pt idx="71">
                  <c:v>45422</c:v>
                </c:pt>
                <c:pt idx="72">
                  <c:v>45415</c:v>
                </c:pt>
                <c:pt idx="73">
                  <c:v>45408</c:v>
                </c:pt>
                <c:pt idx="74">
                  <c:v>45401</c:v>
                </c:pt>
                <c:pt idx="75">
                  <c:v>45394</c:v>
                </c:pt>
                <c:pt idx="76">
                  <c:v>45387</c:v>
                </c:pt>
                <c:pt idx="77">
                  <c:v>45380</c:v>
                </c:pt>
                <c:pt idx="78">
                  <c:v>45373</c:v>
                </c:pt>
                <c:pt idx="79">
                  <c:v>45366</c:v>
                </c:pt>
                <c:pt idx="80">
                  <c:v>45359</c:v>
                </c:pt>
                <c:pt idx="81">
                  <c:v>45352</c:v>
                </c:pt>
                <c:pt idx="82">
                  <c:v>45345</c:v>
                </c:pt>
                <c:pt idx="83">
                  <c:v>45338</c:v>
                </c:pt>
                <c:pt idx="84">
                  <c:v>45331</c:v>
                </c:pt>
                <c:pt idx="85">
                  <c:v>45324</c:v>
                </c:pt>
                <c:pt idx="86">
                  <c:v>45317</c:v>
                </c:pt>
                <c:pt idx="87">
                  <c:v>45310</c:v>
                </c:pt>
                <c:pt idx="88">
                  <c:v>45303</c:v>
                </c:pt>
                <c:pt idx="89">
                  <c:v>45296</c:v>
                </c:pt>
                <c:pt idx="90">
                  <c:v>45289</c:v>
                </c:pt>
                <c:pt idx="91">
                  <c:v>45282</c:v>
                </c:pt>
                <c:pt idx="92">
                  <c:v>45275</c:v>
                </c:pt>
                <c:pt idx="93">
                  <c:v>45268</c:v>
                </c:pt>
                <c:pt idx="94">
                  <c:v>45261</c:v>
                </c:pt>
                <c:pt idx="95">
                  <c:v>45254</c:v>
                </c:pt>
                <c:pt idx="96">
                  <c:v>45247</c:v>
                </c:pt>
                <c:pt idx="97">
                  <c:v>45240</c:v>
                </c:pt>
                <c:pt idx="98">
                  <c:v>45233</c:v>
                </c:pt>
                <c:pt idx="99">
                  <c:v>45226</c:v>
                </c:pt>
                <c:pt idx="100">
                  <c:v>45219</c:v>
                </c:pt>
                <c:pt idx="101">
                  <c:v>45212</c:v>
                </c:pt>
                <c:pt idx="102">
                  <c:v>45205</c:v>
                </c:pt>
                <c:pt idx="103">
                  <c:v>45198</c:v>
                </c:pt>
                <c:pt idx="104">
                  <c:v>45191</c:v>
                </c:pt>
                <c:pt idx="105">
                  <c:v>45184</c:v>
                </c:pt>
                <c:pt idx="106">
                  <c:v>45177</c:v>
                </c:pt>
                <c:pt idx="107">
                  <c:v>45170</c:v>
                </c:pt>
                <c:pt idx="108">
                  <c:v>45163</c:v>
                </c:pt>
                <c:pt idx="109">
                  <c:v>45156</c:v>
                </c:pt>
                <c:pt idx="110">
                  <c:v>45149</c:v>
                </c:pt>
                <c:pt idx="111">
                  <c:v>45142</c:v>
                </c:pt>
                <c:pt idx="112">
                  <c:v>45135</c:v>
                </c:pt>
                <c:pt idx="113">
                  <c:v>45128</c:v>
                </c:pt>
                <c:pt idx="114">
                  <c:v>45121</c:v>
                </c:pt>
                <c:pt idx="115">
                  <c:v>45114</c:v>
                </c:pt>
                <c:pt idx="116">
                  <c:v>45107</c:v>
                </c:pt>
                <c:pt idx="117">
                  <c:v>45100</c:v>
                </c:pt>
                <c:pt idx="118">
                  <c:v>45093</c:v>
                </c:pt>
                <c:pt idx="119">
                  <c:v>45086</c:v>
                </c:pt>
                <c:pt idx="120">
                  <c:v>45079</c:v>
                </c:pt>
                <c:pt idx="121">
                  <c:v>45072</c:v>
                </c:pt>
                <c:pt idx="122">
                  <c:v>45065</c:v>
                </c:pt>
                <c:pt idx="123">
                  <c:v>45058</c:v>
                </c:pt>
                <c:pt idx="124">
                  <c:v>45051</c:v>
                </c:pt>
                <c:pt idx="125">
                  <c:v>45044</c:v>
                </c:pt>
                <c:pt idx="126">
                  <c:v>45037</c:v>
                </c:pt>
                <c:pt idx="127">
                  <c:v>45030</c:v>
                </c:pt>
                <c:pt idx="128">
                  <c:v>45023</c:v>
                </c:pt>
                <c:pt idx="129">
                  <c:v>45016</c:v>
                </c:pt>
                <c:pt idx="130">
                  <c:v>45009</c:v>
                </c:pt>
                <c:pt idx="131">
                  <c:v>45002</c:v>
                </c:pt>
                <c:pt idx="132">
                  <c:v>44995</c:v>
                </c:pt>
                <c:pt idx="133">
                  <c:v>44988</c:v>
                </c:pt>
                <c:pt idx="134">
                  <c:v>44981</c:v>
                </c:pt>
                <c:pt idx="135">
                  <c:v>44974</c:v>
                </c:pt>
                <c:pt idx="136">
                  <c:v>44967</c:v>
                </c:pt>
                <c:pt idx="137">
                  <c:v>44960</c:v>
                </c:pt>
                <c:pt idx="138">
                  <c:v>44953</c:v>
                </c:pt>
                <c:pt idx="139">
                  <c:v>44946</c:v>
                </c:pt>
                <c:pt idx="140">
                  <c:v>44939</c:v>
                </c:pt>
                <c:pt idx="141">
                  <c:v>44932</c:v>
                </c:pt>
                <c:pt idx="142">
                  <c:v>44925</c:v>
                </c:pt>
                <c:pt idx="143">
                  <c:v>44918</c:v>
                </c:pt>
                <c:pt idx="144">
                  <c:v>44911</c:v>
                </c:pt>
                <c:pt idx="145">
                  <c:v>44904</c:v>
                </c:pt>
                <c:pt idx="146">
                  <c:v>44897</c:v>
                </c:pt>
                <c:pt idx="147">
                  <c:v>44890</c:v>
                </c:pt>
                <c:pt idx="148">
                  <c:v>44883</c:v>
                </c:pt>
                <c:pt idx="149">
                  <c:v>44876</c:v>
                </c:pt>
                <c:pt idx="150">
                  <c:v>44869</c:v>
                </c:pt>
                <c:pt idx="151">
                  <c:v>44862</c:v>
                </c:pt>
                <c:pt idx="152">
                  <c:v>44855</c:v>
                </c:pt>
                <c:pt idx="153">
                  <c:v>44848</c:v>
                </c:pt>
                <c:pt idx="154">
                  <c:v>44841</c:v>
                </c:pt>
              </c:numCache>
            </c:numRef>
          </c:cat>
          <c:val>
            <c:numRef>
              <c:f>'Stock Data'!$AK$5:$AK$159</c:f>
              <c:numCache>
                <c:formatCode>General</c:formatCode>
                <c:ptCount val="155"/>
                <c:pt idx="0">
                  <c:v>3.4860819505587539</c:v>
                </c:pt>
                <c:pt idx="1">
                  <c:v>3.4472739586860817</c:v>
                </c:pt>
                <c:pt idx="2">
                  <c:v>3.2623772434812053</c:v>
                </c:pt>
                <c:pt idx="3">
                  <c:v>3.2384016254656278</c:v>
                </c:pt>
                <c:pt idx="4">
                  <c:v>3.257229935658652</c:v>
                </c:pt>
                <c:pt idx="5">
                  <c:v>3.3008465966813407</c:v>
                </c:pt>
                <c:pt idx="6">
                  <c:v>3.1996613613274634</c:v>
                </c:pt>
                <c:pt idx="7">
                  <c:v>3.3429055198103623</c:v>
                </c:pt>
                <c:pt idx="8">
                  <c:v>3.2841178462580425</c:v>
                </c:pt>
                <c:pt idx="9">
                  <c:v>3.3043007111412122</c:v>
                </c:pt>
                <c:pt idx="10">
                  <c:v>3.2053504910260751</c:v>
                </c:pt>
                <c:pt idx="11">
                  <c:v>3.303081611920081</c:v>
                </c:pt>
                <c:pt idx="12">
                  <c:v>3.303081611920081</c:v>
                </c:pt>
                <c:pt idx="13">
                  <c:v>3.1618015577378933</c:v>
                </c:pt>
                <c:pt idx="14">
                  <c:v>3.2056891296986114</c:v>
                </c:pt>
                <c:pt idx="15">
                  <c:v>3.0648154419234674</c:v>
                </c:pt>
                <c:pt idx="16">
                  <c:v>2.9807653233999321</c:v>
                </c:pt>
                <c:pt idx="17">
                  <c:v>2.9017947849644425</c:v>
                </c:pt>
                <c:pt idx="18">
                  <c:v>2.7775821198780899</c:v>
                </c:pt>
                <c:pt idx="19">
                  <c:v>2.604808669150017</c:v>
                </c:pt>
                <c:pt idx="20">
                  <c:v>2.4223501523874029</c:v>
                </c:pt>
                <c:pt idx="21">
                  <c:v>2.2910938029122923</c:v>
                </c:pt>
                <c:pt idx="22">
                  <c:v>2.144598713173044</c:v>
                </c:pt>
                <c:pt idx="23">
                  <c:v>2.144598713173044</c:v>
                </c:pt>
                <c:pt idx="24">
                  <c:v>1.9179139857771756</c:v>
                </c:pt>
                <c:pt idx="25">
                  <c:v>2.1456146291906535</c:v>
                </c:pt>
                <c:pt idx="26">
                  <c:v>2.2032509312563495</c:v>
                </c:pt>
                <c:pt idx="27">
                  <c:v>2.1853030816119201</c:v>
                </c:pt>
                <c:pt idx="28">
                  <c:v>2.1315949881476466</c:v>
                </c:pt>
                <c:pt idx="29">
                  <c:v>2.178530308161192</c:v>
                </c:pt>
                <c:pt idx="30">
                  <c:v>2.1415509651202167</c:v>
                </c:pt>
                <c:pt idx="31">
                  <c:v>2.1889603792753132</c:v>
                </c:pt>
                <c:pt idx="32">
                  <c:v>2.4044023027429731</c:v>
                </c:pt>
                <c:pt idx="33">
                  <c:v>2.3497460209955974</c:v>
                </c:pt>
                <c:pt idx="34">
                  <c:v>2.5996613613274633</c:v>
                </c:pt>
                <c:pt idx="35">
                  <c:v>2.4850660345411448</c:v>
                </c:pt>
                <c:pt idx="36">
                  <c:v>2.3716898069759567</c:v>
                </c:pt>
                <c:pt idx="37">
                  <c:v>2.3665424991534034</c:v>
                </c:pt>
                <c:pt idx="38">
                  <c:v>2.4338638672536406</c:v>
                </c:pt>
                <c:pt idx="39">
                  <c:v>2.3990518117168982</c:v>
                </c:pt>
                <c:pt idx="40">
                  <c:v>2.4850660345411448</c:v>
                </c:pt>
                <c:pt idx="41">
                  <c:v>2.5466305452082625</c:v>
                </c:pt>
                <c:pt idx="42">
                  <c:v>2.53051134439553</c:v>
                </c:pt>
                <c:pt idx="43">
                  <c:v>2.5114798509989837</c:v>
                </c:pt>
                <c:pt idx="44">
                  <c:v>2.4270233660684051</c:v>
                </c:pt>
                <c:pt idx="45">
                  <c:v>2.6132069082289195</c:v>
                </c:pt>
                <c:pt idx="46">
                  <c:v>2.3624788350829662</c:v>
                </c:pt>
                <c:pt idx="47">
                  <c:v>2.3412123264476801</c:v>
                </c:pt>
                <c:pt idx="48">
                  <c:v>2.4675922790382661</c:v>
                </c:pt>
                <c:pt idx="49">
                  <c:v>2.3496105655265831</c:v>
                </c:pt>
                <c:pt idx="50">
                  <c:v>2.2858110396207247</c:v>
                </c:pt>
                <c:pt idx="51">
                  <c:v>2.2055536742295967</c:v>
                </c:pt>
                <c:pt idx="52">
                  <c:v>2.224856078564172</c:v>
                </c:pt>
                <c:pt idx="53">
                  <c:v>2.0992211310531661</c:v>
                </c:pt>
                <c:pt idx="54">
                  <c:v>1.9895022011513714</c:v>
                </c:pt>
                <c:pt idx="55">
                  <c:v>2.1392482221469691</c:v>
                </c:pt>
                <c:pt idx="56">
                  <c:v>2.0994920419911955</c:v>
                </c:pt>
                <c:pt idx="57">
                  <c:v>2.0400948188283103</c:v>
                </c:pt>
                <c:pt idx="58">
                  <c:v>1.9731120894006093</c:v>
                </c:pt>
                <c:pt idx="59">
                  <c:v>1.8691500169319337</c:v>
                </c:pt>
                <c:pt idx="60">
                  <c:v>1.8985438537080934</c:v>
                </c:pt>
                <c:pt idx="61">
                  <c:v>1.8763291567897054</c:v>
                </c:pt>
                <c:pt idx="62">
                  <c:v>1.8931256349475107</c:v>
                </c:pt>
                <c:pt idx="63">
                  <c:v>1.8370470707754825</c:v>
                </c:pt>
                <c:pt idx="64">
                  <c:v>1.8352861496782933</c:v>
                </c:pt>
                <c:pt idx="65">
                  <c:v>1.8625804266847272</c:v>
                </c:pt>
                <c:pt idx="66">
                  <c:v>1.8030477480528277</c:v>
                </c:pt>
                <c:pt idx="67">
                  <c:v>1.8391466305452082</c:v>
                </c:pt>
                <c:pt idx="68">
                  <c:v>1.9154757873349135</c:v>
                </c:pt>
                <c:pt idx="69">
                  <c:v>1.9011852353538772</c:v>
                </c:pt>
                <c:pt idx="70">
                  <c:v>1.8842533017270571</c:v>
                </c:pt>
                <c:pt idx="71">
                  <c:v>1.8782932610904164</c:v>
                </c:pt>
                <c:pt idx="72">
                  <c:v>1.8162546562817474</c:v>
                </c:pt>
                <c:pt idx="73">
                  <c:v>1.7203521842194378</c:v>
                </c:pt>
                <c:pt idx="74">
                  <c:v>1.694818828310193</c:v>
                </c:pt>
                <c:pt idx="75">
                  <c:v>1.6891974263460887</c:v>
                </c:pt>
                <c:pt idx="76">
                  <c:v>1.7550287842871655</c:v>
                </c:pt>
                <c:pt idx="77">
                  <c:v>1.6932610904165255</c:v>
                </c:pt>
                <c:pt idx="78">
                  <c:v>1.6932610904165255</c:v>
                </c:pt>
                <c:pt idx="79">
                  <c:v>1.6449034879783271</c:v>
                </c:pt>
                <c:pt idx="80">
                  <c:v>1.6384016254656282</c:v>
                </c:pt>
                <c:pt idx="81">
                  <c:v>1.612800541821876</c:v>
                </c:pt>
                <c:pt idx="82">
                  <c:v>1.6186251269895022</c:v>
                </c:pt>
                <c:pt idx="83">
                  <c:v>1.5828648831696579</c:v>
                </c:pt>
                <c:pt idx="84">
                  <c:v>1.5497460209955976</c:v>
                </c:pt>
                <c:pt idx="85">
                  <c:v>1.5298340670504571</c:v>
                </c:pt>
                <c:pt idx="86">
                  <c:v>1.5288181510328478</c:v>
                </c:pt>
                <c:pt idx="87">
                  <c:v>1.5087707416186928</c:v>
                </c:pt>
                <c:pt idx="88">
                  <c:v>1.5069420927869963</c:v>
                </c:pt>
                <c:pt idx="89">
                  <c:v>1.4746359634270232</c:v>
                </c:pt>
                <c:pt idx="90">
                  <c:v>1.5089061970877073</c:v>
                </c:pt>
                <c:pt idx="91">
                  <c:v>1.4963765662038604</c:v>
                </c:pt>
                <c:pt idx="92">
                  <c:v>1.4879105993904502</c:v>
                </c:pt>
                <c:pt idx="93">
                  <c:v>1.4601422282424652</c:v>
                </c:pt>
                <c:pt idx="94">
                  <c:v>1.4835760243819844</c:v>
                </c:pt>
                <c:pt idx="95">
                  <c:v>1.4501185235353877</c:v>
                </c:pt>
                <c:pt idx="96">
                  <c:v>1.4244497121571282</c:v>
                </c:pt>
                <c:pt idx="97">
                  <c:v>1.4052150355570605</c:v>
                </c:pt>
                <c:pt idx="98">
                  <c:v>1.3799525905858447</c:v>
                </c:pt>
                <c:pt idx="99">
                  <c:v>1.3252285811039619</c:v>
                </c:pt>
                <c:pt idx="100">
                  <c:v>1.3647138503217067</c:v>
                </c:pt>
                <c:pt idx="101">
                  <c:v>1.3926176769387064</c:v>
                </c:pt>
                <c:pt idx="102">
                  <c:v>1.3133762275651879</c:v>
                </c:pt>
                <c:pt idx="103">
                  <c:v>1.3249576701659329</c:v>
                </c:pt>
                <c:pt idx="104">
                  <c:v>1.3395868608195054</c:v>
                </c:pt>
                <c:pt idx="105">
                  <c:v>1.358482898747037</c:v>
                </c:pt>
                <c:pt idx="106">
                  <c:v>1.3514392143582796</c:v>
                </c:pt>
                <c:pt idx="107">
                  <c:v>1.4143582797155436</c:v>
                </c:pt>
                <c:pt idx="108">
                  <c:v>1.3923467660006774</c:v>
                </c:pt>
                <c:pt idx="109">
                  <c:v>1.365458855401287</c:v>
                </c:pt>
                <c:pt idx="110">
                  <c:v>1.4029122925838129</c:v>
                </c:pt>
                <c:pt idx="111">
                  <c:v>1.3704707077548255</c:v>
                </c:pt>
                <c:pt idx="112">
                  <c:v>1.2900778868946832</c:v>
                </c:pt>
                <c:pt idx="113">
                  <c:v>1.2971892990179479</c:v>
                </c:pt>
                <c:pt idx="114">
                  <c:v>1.275042329834067</c:v>
                </c:pt>
                <c:pt idx="115">
                  <c:v>1.2520149001015917</c:v>
                </c:pt>
                <c:pt idx="116">
                  <c:v>1.2438875719607179</c:v>
                </c:pt>
                <c:pt idx="117">
                  <c:v>1.1716898069759567</c:v>
                </c:pt>
                <c:pt idx="118">
                  <c:v>1.1955299695225194</c:v>
                </c:pt>
                <c:pt idx="119">
                  <c:v>1.1775143921435829</c:v>
                </c:pt>
                <c:pt idx="120">
                  <c:v>1.1325431764307483</c:v>
                </c:pt>
                <c:pt idx="121">
                  <c:v>1.0792414493735183</c:v>
                </c:pt>
                <c:pt idx="122">
                  <c:v>1.107416186928547</c:v>
                </c:pt>
                <c:pt idx="123">
                  <c:v>1.1062648154419235</c:v>
                </c:pt>
                <c:pt idx="124">
                  <c:v>1.1070098205215035</c:v>
                </c:pt>
                <c:pt idx="125">
                  <c:v>1.1502201151371487</c:v>
                </c:pt>
                <c:pt idx="126">
                  <c:v>1.1834067050457162</c:v>
                </c:pt>
                <c:pt idx="127">
                  <c:v>1.1861835421605147</c:v>
                </c:pt>
                <c:pt idx="128">
                  <c:v>1.19376904842533</c:v>
                </c:pt>
                <c:pt idx="129">
                  <c:v>1.19376904842533</c:v>
                </c:pt>
                <c:pt idx="130">
                  <c:v>1.1508973924822214</c:v>
                </c:pt>
                <c:pt idx="131">
                  <c:v>1.112698950220115</c:v>
                </c:pt>
                <c:pt idx="132">
                  <c:v>1.1542837792075855</c:v>
                </c:pt>
                <c:pt idx="133">
                  <c:v>1.2033186589908567</c:v>
                </c:pt>
                <c:pt idx="134">
                  <c:v>1.2023027429732476</c:v>
                </c:pt>
                <c:pt idx="135">
                  <c:v>1.1808330511344394</c:v>
                </c:pt>
                <c:pt idx="136">
                  <c:v>1.1579410768709786</c:v>
                </c:pt>
                <c:pt idx="137">
                  <c:v>1.1488655604470031</c:v>
                </c:pt>
                <c:pt idx="138">
                  <c:v>1.0858110396207246</c:v>
                </c:pt>
                <c:pt idx="139">
                  <c:v>1.0781578056214018</c:v>
                </c:pt>
                <c:pt idx="140">
                  <c:v>1.1234676600067728</c:v>
                </c:pt>
                <c:pt idx="141">
                  <c:v>1.1511005756857433</c:v>
                </c:pt>
                <c:pt idx="142">
                  <c:v>1.130985438537081</c:v>
                </c:pt>
                <c:pt idx="143">
                  <c:v>1.1175076193701321</c:v>
                </c:pt>
                <c:pt idx="144">
                  <c:v>1.1198780900778869</c:v>
                </c:pt>
                <c:pt idx="145">
                  <c:v>1.1496782932610903</c:v>
                </c:pt>
                <c:pt idx="146">
                  <c:v>1.2214696918388079</c:v>
                </c:pt>
                <c:pt idx="147">
                  <c:v>1.2145614629190653</c:v>
                </c:pt>
                <c:pt idx="148">
                  <c:v>1.1880121909922112</c:v>
                </c:pt>
                <c:pt idx="149">
                  <c:v>1.1320690822891974</c:v>
                </c:pt>
                <c:pt idx="150">
                  <c:v>1.1635624788350829</c:v>
                </c:pt>
                <c:pt idx="151">
                  <c:v>1.1455469014561461</c:v>
                </c:pt>
                <c:pt idx="152">
                  <c:v>1.1150016931933626</c:v>
                </c:pt>
                <c:pt idx="153">
                  <c:v>1.0041313918049439</c:v>
                </c:pt>
                <c:pt idx="154">
                  <c:v>1</c:v>
                </c:pt>
              </c:numCache>
            </c:numRef>
          </c:val>
          <c:smooth val="0"/>
          <c:extLst>
            <c:ext xmlns:c16="http://schemas.microsoft.com/office/drawing/2014/chart" uri="{C3380CC4-5D6E-409C-BE32-E72D297353CC}">
              <c16:uniqueId val="{00000005-7FCB-4865-8E32-ABAA033EDCFC}"/>
            </c:ext>
          </c:extLst>
        </c:ser>
        <c:dLbls>
          <c:showLegendKey val="0"/>
          <c:showVal val="0"/>
          <c:showCatName val="0"/>
          <c:showSerName val="0"/>
          <c:showPercent val="0"/>
          <c:showBubbleSize val="0"/>
        </c:dLbls>
        <c:smooth val="0"/>
        <c:axId val="1046459376"/>
        <c:axId val="1046460032"/>
      </c:lineChart>
      <c:dateAx>
        <c:axId val="10464593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46460032"/>
        <c:crosses val="autoZero"/>
        <c:auto val="1"/>
        <c:lblOffset val="100"/>
        <c:baseTimeUnit val="days"/>
      </c:dateAx>
      <c:valAx>
        <c:axId val="104646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crossAx val="1046459376"/>
        <c:crosses val="autoZero"/>
        <c:crossBetween val="between"/>
      </c:valAx>
      <c:spPr>
        <a:noFill/>
        <a:ln>
          <a:noFill/>
        </a:ln>
        <a:effectLst/>
      </c:spPr>
    </c:plotArea>
    <c:legend>
      <c:legendPos val="b"/>
      <c:layout>
        <c:manualLayout>
          <c:xMode val="edge"/>
          <c:yMode val="edge"/>
          <c:x val="0"/>
          <c:y val="0.86841770168981003"/>
          <c:w val="1"/>
          <c:h val="0.11413088286756529"/>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Nova" panose="020B0504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200">
          <a:solidFill>
            <a:sysClr val="windowText" lastClr="000000"/>
          </a:solidFill>
          <a:latin typeface="Arial Nova" panose="020B05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Trading Comps'!A1"/><Relationship Id="rId13" Type="http://schemas.openxmlformats.org/officeDocument/2006/relationships/hyperlink" Target="#BS!A1"/><Relationship Id="rId18" Type="http://schemas.openxmlformats.org/officeDocument/2006/relationships/chart" Target="../charts/chart2.xml"/><Relationship Id="rId3" Type="http://schemas.openxmlformats.org/officeDocument/2006/relationships/hyperlink" Target="#'Key Info'!A1"/><Relationship Id="rId21" Type="http://schemas.openxmlformats.org/officeDocument/2006/relationships/chart" Target="../charts/chart5.xml"/><Relationship Id="rId7" Type="http://schemas.openxmlformats.org/officeDocument/2006/relationships/hyperlink" Target="#Peers!A1"/><Relationship Id="rId12" Type="http://schemas.openxmlformats.org/officeDocument/2006/relationships/hyperlink" Target="#IS!A1"/><Relationship Id="rId17" Type="http://schemas.openxmlformats.org/officeDocument/2006/relationships/chart" Target="../charts/chart1.xml"/><Relationship Id="rId2" Type="http://schemas.openxmlformats.org/officeDocument/2006/relationships/image" Target="../media/image16.png"/><Relationship Id="rId16" Type="http://schemas.openxmlformats.org/officeDocument/2006/relationships/hyperlink" Target="#Inputs!A1"/><Relationship Id="rId20" Type="http://schemas.openxmlformats.org/officeDocument/2006/relationships/chart" Target="../charts/chart4.xml"/><Relationship Id="rId1" Type="http://schemas.openxmlformats.org/officeDocument/2006/relationships/hyperlink" Target="#Sensitivity!A1"/><Relationship Id="rId6" Type="http://schemas.openxmlformats.org/officeDocument/2006/relationships/hyperlink" Target="#Segments!A1"/><Relationship Id="rId11" Type="http://schemas.openxmlformats.org/officeDocument/2006/relationships/hyperlink" Target="#LBO!A1"/><Relationship Id="rId5" Type="http://schemas.openxmlformats.org/officeDocument/2006/relationships/hyperlink" Target="#ESG!A1"/><Relationship Id="rId15" Type="http://schemas.openxmlformats.org/officeDocument/2006/relationships/hyperlink" Target="#'Error Check'!A1"/><Relationship Id="rId10" Type="http://schemas.openxmlformats.org/officeDocument/2006/relationships/hyperlink" Target="#FCFF!A1"/><Relationship Id="rId19" Type="http://schemas.openxmlformats.org/officeDocument/2006/relationships/chart" Target="../charts/chart3.xml"/><Relationship Id="rId4" Type="http://schemas.openxmlformats.org/officeDocument/2006/relationships/hyperlink" Target="#Industry!A1"/><Relationship Id="rId9" Type="http://schemas.openxmlformats.org/officeDocument/2006/relationships/hyperlink" Target="#WACC!A1"/><Relationship Id="rId14" Type="http://schemas.openxmlformats.org/officeDocument/2006/relationships/hyperlink" Target="#CF!A1"/><Relationship Id="rId22"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Segments!A1"/><Relationship Id="rId13" Type="http://schemas.openxmlformats.org/officeDocument/2006/relationships/hyperlink" Target="#LBO!A1"/><Relationship Id="rId18" Type="http://schemas.openxmlformats.org/officeDocument/2006/relationships/hyperlink" Target="#Inputs!A1"/><Relationship Id="rId3" Type="http://schemas.openxmlformats.org/officeDocument/2006/relationships/image" Target="../media/image16.png"/><Relationship Id="rId7" Type="http://schemas.openxmlformats.org/officeDocument/2006/relationships/hyperlink" Target="#ESG!A1"/><Relationship Id="rId12" Type="http://schemas.openxmlformats.org/officeDocument/2006/relationships/hyperlink" Target="#FCFF!A1"/><Relationship Id="rId17" Type="http://schemas.openxmlformats.org/officeDocument/2006/relationships/hyperlink" Target="#'Error Check'!A1"/><Relationship Id="rId2" Type="http://schemas.openxmlformats.org/officeDocument/2006/relationships/hyperlink" Target="#Sensitivity!A1"/><Relationship Id="rId16" Type="http://schemas.openxmlformats.org/officeDocument/2006/relationships/hyperlink" Target="#CF!A1"/><Relationship Id="rId1" Type="http://schemas.openxmlformats.org/officeDocument/2006/relationships/chart" Target="../charts/chart6.xml"/><Relationship Id="rId6" Type="http://schemas.openxmlformats.org/officeDocument/2006/relationships/hyperlink" Target="#Industry!A1"/><Relationship Id="rId11" Type="http://schemas.openxmlformats.org/officeDocument/2006/relationships/hyperlink" Target="#WACC!A1"/><Relationship Id="rId5" Type="http://schemas.openxmlformats.org/officeDocument/2006/relationships/hyperlink" Target="#'Key Info'!A1"/><Relationship Id="rId15" Type="http://schemas.openxmlformats.org/officeDocument/2006/relationships/hyperlink" Target="#BS!A1"/><Relationship Id="rId10" Type="http://schemas.openxmlformats.org/officeDocument/2006/relationships/hyperlink" Target="#'Trading Comps'!A1"/><Relationship Id="rId4" Type="http://schemas.openxmlformats.org/officeDocument/2006/relationships/hyperlink" Target="#Dashboard!A1"/><Relationship Id="rId9" Type="http://schemas.openxmlformats.org/officeDocument/2006/relationships/hyperlink" Target="#Peers!A1"/><Relationship Id="rId14" Type="http://schemas.openxmlformats.org/officeDocument/2006/relationships/hyperlink" Target="#IS!A1"/></Relationships>
</file>

<file path=xl/drawings/_rels/drawing3.xml.rels><?xml version="1.0" encoding="UTF-8" standalone="yes"?>
<Relationships xmlns="http://schemas.openxmlformats.org/package/2006/relationships"><Relationship Id="rId8" Type="http://schemas.openxmlformats.org/officeDocument/2006/relationships/hyperlink" Target="#ESG!A1"/><Relationship Id="rId13" Type="http://schemas.openxmlformats.org/officeDocument/2006/relationships/hyperlink" Target="#FCFF!A1"/><Relationship Id="rId18" Type="http://schemas.openxmlformats.org/officeDocument/2006/relationships/hyperlink" Target="#'Error Check'!A1"/><Relationship Id="rId3" Type="http://schemas.openxmlformats.org/officeDocument/2006/relationships/hyperlink" Target="#Sensitivity!A1"/><Relationship Id="rId7" Type="http://schemas.openxmlformats.org/officeDocument/2006/relationships/hyperlink" Target="#Industry!A1"/><Relationship Id="rId12" Type="http://schemas.openxmlformats.org/officeDocument/2006/relationships/hyperlink" Target="#WACC!A1"/><Relationship Id="rId17" Type="http://schemas.openxmlformats.org/officeDocument/2006/relationships/hyperlink" Target="#CF!A1"/><Relationship Id="rId2" Type="http://schemas.openxmlformats.org/officeDocument/2006/relationships/chart" Target="../charts/chart8.xml"/><Relationship Id="rId16" Type="http://schemas.openxmlformats.org/officeDocument/2006/relationships/hyperlink" Target="#BS!A1"/><Relationship Id="rId20" Type="http://schemas.openxmlformats.org/officeDocument/2006/relationships/chart" Target="../charts/chart9.xml"/><Relationship Id="rId1" Type="http://schemas.openxmlformats.org/officeDocument/2006/relationships/chart" Target="../charts/chart7.xml"/><Relationship Id="rId6" Type="http://schemas.openxmlformats.org/officeDocument/2006/relationships/hyperlink" Target="#'Key Info'!A1"/><Relationship Id="rId11" Type="http://schemas.openxmlformats.org/officeDocument/2006/relationships/hyperlink" Target="#'Trading Comps'!A1"/><Relationship Id="rId5" Type="http://schemas.openxmlformats.org/officeDocument/2006/relationships/hyperlink" Target="#Dashboard!A1"/><Relationship Id="rId15" Type="http://schemas.openxmlformats.org/officeDocument/2006/relationships/hyperlink" Target="#IS!A1"/><Relationship Id="rId10" Type="http://schemas.openxmlformats.org/officeDocument/2006/relationships/hyperlink" Target="#Peers!A1"/><Relationship Id="rId19" Type="http://schemas.openxmlformats.org/officeDocument/2006/relationships/hyperlink" Target="#Inputs!A1"/><Relationship Id="rId4" Type="http://schemas.openxmlformats.org/officeDocument/2006/relationships/image" Target="../media/image16.png"/><Relationship Id="rId9" Type="http://schemas.openxmlformats.org/officeDocument/2006/relationships/hyperlink" Target="#Segments!A1"/><Relationship Id="rId14" Type="http://schemas.openxmlformats.org/officeDocument/2006/relationships/hyperlink" Target="#LBO!A1"/></Relationships>
</file>

<file path=xl/drawings/_rels/drawing4.xml.rels><?xml version="1.0" encoding="UTF-8" standalone="yes"?>
<Relationships xmlns="http://schemas.openxmlformats.org/package/2006/relationships"><Relationship Id="rId8" Type="http://schemas.openxmlformats.org/officeDocument/2006/relationships/hyperlink" Target="#'Key Info'!A1"/><Relationship Id="rId13" Type="http://schemas.openxmlformats.org/officeDocument/2006/relationships/hyperlink" Target="#'Trading Comps'!A1"/><Relationship Id="rId18" Type="http://schemas.openxmlformats.org/officeDocument/2006/relationships/hyperlink" Target="#BS!A1"/><Relationship Id="rId3" Type="http://schemas.openxmlformats.org/officeDocument/2006/relationships/chart" Target="../charts/chart12.xml"/><Relationship Id="rId21" Type="http://schemas.openxmlformats.org/officeDocument/2006/relationships/hyperlink" Target="#Inputs!A1"/><Relationship Id="rId7" Type="http://schemas.openxmlformats.org/officeDocument/2006/relationships/hyperlink" Target="#Dashboard!A1"/><Relationship Id="rId12" Type="http://schemas.openxmlformats.org/officeDocument/2006/relationships/hyperlink" Target="#Peers!A1"/><Relationship Id="rId17" Type="http://schemas.openxmlformats.org/officeDocument/2006/relationships/hyperlink" Target="#IS!A1"/><Relationship Id="rId2" Type="http://schemas.openxmlformats.org/officeDocument/2006/relationships/chart" Target="../charts/chart11.xml"/><Relationship Id="rId16" Type="http://schemas.openxmlformats.org/officeDocument/2006/relationships/hyperlink" Target="#LBO!A1"/><Relationship Id="rId20" Type="http://schemas.openxmlformats.org/officeDocument/2006/relationships/hyperlink" Target="#'Error Check'!A1"/><Relationship Id="rId1" Type="http://schemas.openxmlformats.org/officeDocument/2006/relationships/chart" Target="../charts/chart10.xml"/><Relationship Id="rId6" Type="http://schemas.openxmlformats.org/officeDocument/2006/relationships/image" Target="../media/image16.png"/><Relationship Id="rId11" Type="http://schemas.openxmlformats.org/officeDocument/2006/relationships/hyperlink" Target="#Segments!A1"/><Relationship Id="rId5" Type="http://schemas.openxmlformats.org/officeDocument/2006/relationships/hyperlink" Target="#Sensitivity!A1"/><Relationship Id="rId15" Type="http://schemas.openxmlformats.org/officeDocument/2006/relationships/hyperlink" Target="#FCFF!A1"/><Relationship Id="rId10" Type="http://schemas.openxmlformats.org/officeDocument/2006/relationships/hyperlink" Target="#ESG!A1"/><Relationship Id="rId19" Type="http://schemas.openxmlformats.org/officeDocument/2006/relationships/hyperlink" Target="#CF!A1"/><Relationship Id="rId4" Type="http://schemas.openxmlformats.org/officeDocument/2006/relationships/chart" Target="../charts/chart13.xml"/><Relationship Id="rId9" Type="http://schemas.openxmlformats.org/officeDocument/2006/relationships/hyperlink" Target="#Industry!A1"/><Relationship Id="rId14" Type="http://schemas.openxmlformats.org/officeDocument/2006/relationships/hyperlink" Target="#WACC!A1"/></Relationships>
</file>

<file path=xl/drawings/_rels/drawing5.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18" Type="http://schemas.openxmlformats.org/officeDocument/2006/relationships/image" Target="../media/image17.png"/><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20" Type="http://schemas.openxmlformats.org/officeDocument/2006/relationships/image" Target="../media/image19.png"/><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19" Type="http://schemas.openxmlformats.org/officeDocument/2006/relationships/image" Target="../media/image18.png"/><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6.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7.xml.rels><?xml version="1.0" encoding="UTF-8" standalone="yes"?>
<Relationships xmlns="http://schemas.openxmlformats.org/package/2006/relationships"><Relationship Id="rId8" Type="http://schemas.openxmlformats.org/officeDocument/2006/relationships/hyperlink" Target="#ESG!A1"/><Relationship Id="rId13" Type="http://schemas.openxmlformats.org/officeDocument/2006/relationships/hyperlink" Target="#FCFF!A1"/><Relationship Id="rId18" Type="http://schemas.openxmlformats.org/officeDocument/2006/relationships/hyperlink" Target="#'Error Check'!A1"/><Relationship Id="rId3" Type="http://schemas.openxmlformats.org/officeDocument/2006/relationships/hyperlink" Target="#Sensitivity!A1"/><Relationship Id="rId7" Type="http://schemas.openxmlformats.org/officeDocument/2006/relationships/hyperlink" Target="#Industry!A1"/><Relationship Id="rId12" Type="http://schemas.openxmlformats.org/officeDocument/2006/relationships/hyperlink" Target="#WACC!A1"/><Relationship Id="rId17" Type="http://schemas.openxmlformats.org/officeDocument/2006/relationships/hyperlink" Target="#CF!A1"/><Relationship Id="rId2" Type="http://schemas.openxmlformats.org/officeDocument/2006/relationships/chart" Target="../charts/chart15.xml"/><Relationship Id="rId16" Type="http://schemas.openxmlformats.org/officeDocument/2006/relationships/hyperlink" Target="#BS!A1"/><Relationship Id="rId1" Type="http://schemas.openxmlformats.org/officeDocument/2006/relationships/chart" Target="../charts/chart14.xml"/><Relationship Id="rId6" Type="http://schemas.openxmlformats.org/officeDocument/2006/relationships/hyperlink" Target="#'Key Info'!A1"/><Relationship Id="rId11" Type="http://schemas.openxmlformats.org/officeDocument/2006/relationships/hyperlink" Target="#'Trading Comps'!A1"/><Relationship Id="rId5" Type="http://schemas.openxmlformats.org/officeDocument/2006/relationships/hyperlink" Target="#Dashboard!A1"/><Relationship Id="rId15" Type="http://schemas.openxmlformats.org/officeDocument/2006/relationships/hyperlink" Target="#IS!A1"/><Relationship Id="rId10" Type="http://schemas.openxmlformats.org/officeDocument/2006/relationships/hyperlink" Target="#Peers!A1"/><Relationship Id="rId19" Type="http://schemas.openxmlformats.org/officeDocument/2006/relationships/hyperlink" Target="#Inputs!A1"/><Relationship Id="rId4" Type="http://schemas.openxmlformats.org/officeDocument/2006/relationships/image" Target="../media/image16.png"/><Relationship Id="rId9" Type="http://schemas.openxmlformats.org/officeDocument/2006/relationships/hyperlink" Target="#Segments!A1"/><Relationship Id="rId14" Type="http://schemas.openxmlformats.org/officeDocument/2006/relationships/hyperlink" Target="#LBO!A1"/></Relationships>
</file>

<file path=xl/drawings/_rels/drawing8.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18" Type="http://schemas.openxmlformats.org/officeDocument/2006/relationships/chart" Target="../charts/chart16.xml"/><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9.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10.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11.xml.rels><?xml version="1.0" encoding="UTF-8" standalone="yes"?>
<Relationships xmlns="http://schemas.openxmlformats.org/package/2006/relationships"><Relationship Id="rId8" Type="http://schemas.openxmlformats.org/officeDocument/2006/relationships/hyperlink" Target="#Segments!A1"/><Relationship Id="rId13" Type="http://schemas.openxmlformats.org/officeDocument/2006/relationships/hyperlink" Target="#LBO!A1"/><Relationship Id="rId18" Type="http://schemas.openxmlformats.org/officeDocument/2006/relationships/hyperlink" Target="#Inputs!A1"/><Relationship Id="rId3" Type="http://schemas.openxmlformats.org/officeDocument/2006/relationships/image" Target="../media/image16.png"/><Relationship Id="rId7" Type="http://schemas.openxmlformats.org/officeDocument/2006/relationships/hyperlink" Target="#ESG!A1"/><Relationship Id="rId12" Type="http://schemas.openxmlformats.org/officeDocument/2006/relationships/hyperlink" Target="#FCFF!A1"/><Relationship Id="rId17" Type="http://schemas.openxmlformats.org/officeDocument/2006/relationships/hyperlink" Target="#'Error Check'!A1"/><Relationship Id="rId2" Type="http://schemas.openxmlformats.org/officeDocument/2006/relationships/hyperlink" Target="#Sensitivity!A1"/><Relationship Id="rId16" Type="http://schemas.openxmlformats.org/officeDocument/2006/relationships/hyperlink" Target="#CF!A1"/><Relationship Id="rId1" Type="http://schemas.openxmlformats.org/officeDocument/2006/relationships/chart" Target="../charts/chart17.xml"/><Relationship Id="rId6" Type="http://schemas.openxmlformats.org/officeDocument/2006/relationships/hyperlink" Target="#Industry!A1"/><Relationship Id="rId11" Type="http://schemas.openxmlformats.org/officeDocument/2006/relationships/hyperlink" Target="#WACC!A1"/><Relationship Id="rId5" Type="http://schemas.openxmlformats.org/officeDocument/2006/relationships/hyperlink" Target="#'Key Info'!A1"/><Relationship Id="rId15" Type="http://schemas.openxmlformats.org/officeDocument/2006/relationships/hyperlink" Target="#BS!A1"/><Relationship Id="rId10" Type="http://schemas.openxmlformats.org/officeDocument/2006/relationships/hyperlink" Target="#'Trading Comps'!A1"/><Relationship Id="rId19" Type="http://schemas.openxmlformats.org/officeDocument/2006/relationships/image" Target="../media/image20.png"/><Relationship Id="rId4" Type="http://schemas.openxmlformats.org/officeDocument/2006/relationships/hyperlink" Target="#Dashboard!A1"/><Relationship Id="rId9" Type="http://schemas.openxmlformats.org/officeDocument/2006/relationships/hyperlink" Target="#Peers!A1"/><Relationship Id="rId14" Type="http://schemas.openxmlformats.org/officeDocument/2006/relationships/hyperlink" Target="#IS!A1"/></Relationships>
</file>

<file path=xl/drawings/_rels/drawing12.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13.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14.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15.xml.rels><?xml version="1.0" encoding="UTF-8" standalone="yes"?>
<Relationships xmlns="http://schemas.openxmlformats.org/package/2006/relationships"><Relationship Id="rId8" Type="http://schemas.openxmlformats.org/officeDocument/2006/relationships/hyperlink" Target="#Peers!A1"/><Relationship Id="rId13" Type="http://schemas.openxmlformats.org/officeDocument/2006/relationships/hyperlink" Target="#IS!A1"/><Relationship Id="rId3" Type="http://schemas.openxmlformats.org/officeDocument/2006/relationships/hyperlink" Target="#Dashboard!A1"/><Relationship Id="rId7" Type="http://schemas.openxmlformats.org/officeDocument/2006/relationships/hyperlink" Target="#Segments!A1"/><Relationship Id="rId12" Type="http://schemas.openxmlformats.org/officeDocument/2006/relationships/hyperlink" Target="#LBO!A1"/><Relationship Id="rId17" Type="http://schemas.openxmlformats.org/officeDocument/2006/relationships/hyperlink" Target="#Inputs!A1"/><Relationship Id="rId2" Type="http://schemas.openxmlformats.org/officeDocument/2006/relationships/image" Target="../media/image16.png"/><Relationship Id="rId16" Type="http://schemas.openxmlformats.org/officeDocument/2006/relationships/hyperlink" Target="#'Error Check'!A1"/><Relationship Id="rId1" Type="http://schemas.openxmlformats.org/officeDocument/2006/relationships/hyperlink" Target="#Sensitivity!A1"/><Relationship Id="rId6" Type="http://schemas.openxmlformats.org/officeDocument/2006/relationships/hyperlink" Target="#ESG!A1"/><Relationship Id="rId11" Type="http://schemas.openxmlformats.org/officeDocument/2006/relationships/hyperlink" Target="#FCFF!A1"/><Relationship Id="rId5" Type="http://schemas.openxmlformats.org/officeDocument/2006/relationships/hyperlink" Target="#Industry!A1"/><Relationship Id="rId15" Type="http://schemas.openxmlformats.org/officeDocument/2006/relationships/hyperlink" Target="#CF!A1"/><Relationship Id="rId10" Type="http://schemas.openxmlformats.org/officeDocument/2006/relationships/hyperlink" Target="#WACC!A1"/><Relationship Id="rId4" Type="http://schemas.openxmlformats.org/officeDocument/2006/relationships/hyperlink" Target="#'Key Info'!A1"/><Relationship Id="rId9" Type="http://schemas.openxmlformats.org/officeDocument/2006/relationships/hyperlink" Target="#'Trading Comps'!A1"/><Relationship Id="rId14" Type="http://schemas.openxmlformats.org/officeDocument/2006/relationships/hyperlink" Target="#BS!A1"/></Relationships>
</file>

<file path=xl/drawings/_rels/drawing16.xml.rels><?xml version="1.0" encoding="UTF-8" standalone="yes"?>
<Relationships xmlns="http://schemas.openxmlformats.org/package/2006/relationships"><Relationship Id="rId8" Type="http://schemas.openxmlformats.org/officeDocument/2006/relationships/hyperlink" Target="#ESG!A1"/><Relationship Id="rId13" Type="http://schemas.openxmlformats.org/officeDocument/2006/relationships/hyperlink" Target="#FCFF!A1"/><Relationship Id="rId18" Type="http://schemas.openxmlformats.org/officeDocument/2006/relationships/hyperlink" Target="#'Error Check'!A1"/><Relationship Id="rId3" Type="http://schemas.openxmlformats.org/officeDocument/2006/relationships/hyperlink" Target="#Sensitivity!A1"/><Relationship Id="rId7" Type="http://schemas.openxmlformats.org/officeDocument/2006/relationships/hyperlink" Target="#Industry!A1"/><Relationship Id="rId12" Type="http://schemas.openxmlformats.org/officeDocument/2006/relationships/hyperlink" Target="#WACC!A1"/><Relationship Id="rId17" Type="http://schemas.openxmlformats.org/officeDocument/2006/relationships/hyperlink" Target="#CF!A1"/><Relationship Id="rId2" Type="http://schemas.openxmlformats.org/officeDocument/2006/relationships/chart" Target="../charts/chart19.xml"/><Relationship Id="rId16" Type="http://schemas.openxmlformats.org/officeDocument/2006/relationships/hyperlink" Target="#BS!A1"/><Relationship Id="rId1" Type="http://schemas.openxmlformats.org/officeDocument/2006/relationships/chart" Target="../charts/chart18.xml"/><Relationship Id="rId6" Type="http://schemas.openxmlformats.org/officeDocument/2006/relationships/hyperlink" Target="#'Key Info'!A1"/><Relationship Id="rId11" Type="http://schemas.openxmlformats.org/officeDocument/2006/relationships/hyperlink" Target="#'Trading Comps'!A1"/><Relationship Id="rId5" Type="http://schemas.openxmlformats.org/officeDocument/2006/relationships/hyperlink" Target="#Dashboard!A1"/><Relationship Id="rId15" Type="http://schemas.openxmlformats.org/officeDocument/2006/relationships/hyperlink" Target="#IS!A1"/><Relationship Id="rId10" Type="http://schemas.openxmlformats.org/officeDocument/2006/relationships/hyperlink" Target="#Peers!A1"/><Relationship Id="rId19" Type="http://schemas.openxmlformats.org/officeDocument/2006/relationships/hyperlink" Target="#Inputs!A1"/><Relationship Id="rId4" Type="http://schemas.openxmlformats.org/officeDocument/2006/relationships/image" Target="../media/image16.png"/><Relationship Id="rId9" Type="http://schemas.openxmlformats.org/officeDocument/2006/relationships/hyperlink" Target="#Segments!A1"/><Relationship Id="rId14" Type="http://schemas.openxmlformats.org/officeDocument/2006/relationships/hyperlink" Target="#LBO!A1"/></Relationships>
</file>

<file path=xl/drawings/drawing1.xml><?xml version="1.0" encoding="utf-8"?>
<xdr:wsDr xmlns:xdr="http://schemas.openxmlformats.org/drawingml/2006/spreadsheetDrawing" xmlns:a="http://schemas.openxmlformats.org/drawingml/2006/main">
  <xdr:twoCellAnchor>
    <xdr:from>
      <xdr:col>0</xdr:col>
      <xdr:colOff>234398</xdr:colOff>
      <xdr:row>5</xdr:row>
      <xdr:rowOff>61949</xdr:rowOff>
    </xdr:from>
    <xdr:to>
      <xdr:col>5</xdr:col>
      <xdr:colOff>596566</xdr:colOff>
      <xdr:row>17</xdr:row>
      <xdr:rowOff>116402</xdr:rowOff>
    </xdr:to>
    <xdr:sp macro="" textlink="">
      <xdr:nvSpPr>
        <xdr:cNvPr id="3" name="Rounded Rectangle 2">
          <a:extLst>
            <a:ext uri="{FF2B5EF4-FFF2-40B4-BE49-F238E27FC236}">
              <a16:creationId xmlns:a16="http://schemas.microsoft.com/office/drawing/2014/main" id="{00000000-0008-0000-0000-000003000000}"/>
            </a:ext>
          </a:extLst>
        </xdr:cNvPr>
        <xdr:cNvSpPr/>
      </xdr:nvSpPr>
      <xdr:spPr>
        <a:xfrm>
          <a:off x="234398" y="871574"/>
          <a:ext cx="4048343" cy="2340453"/>
        </a:xfrm>
        <a:prstGeom prst="roundRect">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85726</xdr:colOff>
      <xdr:row>7</xdr:row>
      <xdr:rowOff>112059</xdr:rowOff>
    </xdr:from>
    <xdr:to>
      <xdr:col>5</xdr:col>
      <xdr:colOff>307666</xdr:colOff>
      <xdr:row>21</xdr:row>
      <xdr:rowOff>73960</xdr:rowOff>
    </xdr:to>
    <xdr:sp macro="" textlink="">
      <xdr:nvSpPr>
        <xdr:cNvPr id="4" name="Rounded Rectangle 3">
          <a:extLst>
            <a:ext uri="{FF2B5EF4-FFF2-40B4-BE49-F238E27FC236}">
              <a16:creationId xmlns:a16="http://schemas.microsoft.com/office/drawing/2014/main" id="{00000000-0008-0000-0000-000004000000}"/>
            </a:ext>
          </a:extLst>
        </xdr:cNvPr>
        <xdr:cNvSpPr/>
      </xdr:nvSpPr>
      <xdr:spPr>
        <a:xfrm>
          <a:off x="769285" y="1445559"/>
          <a:ext cx="2956175" cy="262890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296310</xdr:colOff>
      <xdr:row>5</xdr:row>
      <xdr:rowOff>127796</xdr:rowOff>
    </xdr:from>
    <xdr:to>
      <xdr:col>5</xdr:col>
      <xdr:colOff>505497</xdr:colOff>
      <xdr:row>17</xdr:row>
      <xdr:rowOff>4637</xdr:rowOff>
    </xdr:to>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296310" y="937421"/>
          <a:ext cx="3895362" cy="2162841"/>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366163</xdr:colOff>
      <xdr:row>5</xdr:row>
      <xdr:rowOff>175421</xdr:rowOff>
    </xdr:from>
    <xdr:to>
      <xdr:col>5</xdr:col>
      <xdr:colOff>457200</xdr:colOff>
      <xdr:row>16</xdr:row>
      <xdr:rowOff>114300</xdr:rowOff>
    </xdr:to>
    <xdr:sp macro="" textlink="">
      <xdr:nvSpPr>
        <xdr:cNvPr id="21" name="Rounded Rectangle 1">
          <a:extLst>
            <a:ext uri="{FF2B5EF4-FFF2-40B4-BE49-F238E27FC236}">
              <a16:creationId xmlns:a16="http://schemas.microsoft.com/office/drawing/2014/main" id="{00000000-0008-0000-0000-000002000000}"/>
            </a:ext>
            <a:ext uri="{147F2762-F138-4A5C-976F-8EAC2B608ADB}">
              <a16:predDERef xmlns:a16="http://schemas.microsoft.com/office/drawing/2014/main" pred="{00000000-0008-0000-0000-000009000000}"/>
            </a:ext>
          </a:extLst>
        </xdr:cNvPr>
        <xdr:cNvSpPr/>
      </xdr:nvSpPr>
      <xdr:spPr>
        <a:xfrm>
          <a:off x="366163" y="985046"/>
          <a:ext cx="3777212" cy="2034379"/>
        </a:xfrm>
        <a:prstGeom prst="roundRect">
          <a:avLst/>
        </a:prstGeom>
        <a:gradFill flip="none" rotWithShape="1">
          <a:gsLst>
            <a:gs pos="0">
              <a:schemeClr val="bg1"/>
            </a:gs>
            <a:gs pos="46000">
              <a:schemeClr val="bg2"/>
            </a:gs>
            <a:gs pos="100000">
              <a:schemeClr val="accent1">
                <a:lumMod val="20000"/>
                <a:lumOff val="8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0</xdr:col>
      <xdr:colOff>566944</xdr:colOff>
      <xdr:row>11</xdr:row>
      <xdr:rowOff>133265</xdr:rowOff>
    </xdr:from>
    <xdr:to>
      <xdr:col>4</xdr:col>
      <xdr:colOff>395494</xdr:colOff>
      <xdr:row>16</xdr:row>
      <xdr:rowOff>76116</xdr:rowOff>
    </xdr:to>
    <xdr:sp macro="" textlink="FCFF!R166">
      <xdr:nvSpPr>
        <xdr:cNvPr id="6" name="TextBox 5">
          <a:extLst>
            <a:ext uri="{FF2B5EF4-FFF2-40B4-BE49-F238E27FC236}">
              <a16:creationId xmlns:a16="http://schemas.microsoft.com/office/drawing/2014/main" id="{00000000-0008-0000-0000-000006000000}"/>
            </a:ext>
          </a:extLst>
        </xdr:cNvPr>
        <xdr:cNvSpPr txBox="1"/>
      </xdr:nvSpPr>
      <xdr:spPr>
        <a:xfrm>
          <a:off x="566944" y="2085890"/>
          <a:ext cx="2743200" cy="8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65EA20-3753-4CCE-BFB8-4A3D51EE86A5}" type="TxLink">
            <a:rPr lang="en-US" sz="2400" b="0" i="0" u="none" strike="noStrike" cap="none" spc="0">
              <a:ln w="0"/>
              <a:solidFill>
                <a:schemeClr val="accent1"/>
              </a:solidFill>
              <a:effectLst>
                <a:outerShdw blurRad="50800" dist="38100" dir="2700000" algn="tl" rotWithShape="0">
                  <a:prstClr val="black">
                    <a:alpha val="40000"/>
                  </a:prstClr>
                </a:outerShdw>
              </a:effectLst>
              <a:latin typeface="Arial Nova"/>
              <a:cs typeface="Arial"/>
            </a:rPr>
            <a:pPr/>
            <a:t>Downside</a:t>
          </a:fld>
          <a:endParaRPr lang="en-US" sz="6600" b="0" cap="none" spc="0">
            <a:ln w="0"/>
            <a:solidFill>
              <a:schemeClr val="accent1"/>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1</xdr:col>
      <xdr:colOff>95251</xdr:colOff>
      <xdr:row>7</xdr:row>
      <xdr:rowOff>112059</xdr:rowOff>
    </xdr:from>
    <xdr:to>
      <xdr:col>5</xdr:col>
      <xdr:colOff>317191</xdr:colOff>
      <xdr:row>21</xdr:row>
      <xdr:rowOff>112060</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778810" y="1445559"/>
          <a:ext cx="2956175" cy="266700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18</xdr:row>
      <xdr:rowOff>26335</xdr:rowOff>
    </xdr:from>
    <xdr:to>
      <xdr:col>8</xdr:col>
      <xdr:colOff>522194</xdr:colOff>
      <xdr:row>35</xdr:row>
      <xdr:rowOff>122647</xdr:rowOff>
    </xdr:to>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71450" y="3312460"/>
          <a:ext cx="6094319" cy="3334812"/>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218419</xdr:colOff>
      <xdr:row>18</xdr:row>
      <xdr:rowOff>73959</xdr:rowOff>
    </xdr:from>
    <xdr:to>
      <xdr:col>8</xdr:col>
      <xdr:colOff>435252</xdr:colOff>
      <xdr:row>35</xdr:row>
      <xdr:rowOff>76200</xdr:rowOff>
    </xdr:to>
    <xdr:sp macro="" textlink="">
      <xdr:nvSpPr>
        <xdr:cNvPr id="12" name="Rounded Rectangle 11">
          <a:extLst>
            <a:ext uri="{FF2B5EF4-FFF2-40B4-BE49-F238E27FC236}">
              <a16:creationId xmlns:a16="http://schemas.microsoft.com/office/drawing/2014/main" id="{00000000-0008-0000-0000-00000C000000}"/>
            </a:ext>
          </a:extLst>
        </xdr:cNvPr>
        <xdr:cNvSpPr/>
      </xdr:nvSpPr>
      <xdr:spPr>
        <a:xfrm>
          <a:off x="218419" y="3358442"/>
          <a:ext cx="5938402" cy="3240741"/>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rial Nova" panose="020B0504020202020204" pitchFamily="34" charset="0"/>
          </a:endParaRPr>
        </a:p>
      </xdr:txBody>
    </xdr:sp>
    <xdr:clientData/>
  </xdr:twoCellAnchor>
  <xdr:twoCellAnchor>
    <xdr:from>
      <xdr:col>0</xdr:col>
      <xdr:colOff>304799</xdr:colOff>
      <xdr:row>18</xdr:row>
      <xdr:rowOff>140635</xdr:rowOff>
    </xdr:from>
    <xdr:to>
      <xdr:col>8</xdr:col>
      <xdr:colOff>398929</xdr:colOff>
      <xdr:row>35</xdr:row>
      <xdr:rowOff>24415</xdr:rowOff>
    </xdr:to>
    <xdr:sp macro="" textlink="">
      <xdr:nvSpPr>
        <xdr:cNvPr id="15" name="Rounded Rectangle 14">
          <a:extLst>
            <a:ext uri="{FF2B5EF4-FFF2-40B4-BE49-F238E27FC236}">
              <a16:creationId xmlns:a16="http://schemas.microsoft.com/office/drawing/2014/main" id="{00000000-0008-0000-0000-00000F000000}"/>
            </a:ext>
          </a:extLst>
        </xdr:cNvPr>
        <xdr:cNvSpPr/>
      </xdr:nvSpPr>
      <xdr:spPr>
        <a:xfrm>
          <a:off x="304799" y="3426760"/>
          <a:ext cx="5837705" cy="3122280"/>
        </a:xfrm>
        <a:prstGeom prst="roundRect">
          <a:avLst/>
        </a:prstGeom>
        <a:gradFill flip="none" rotWithShape="1">
          <a:gsLst>
            <a:gs pos="0">
              <a:schemeClr val="bg1"/>
            </a:gs>
            <a:gs pos="46000">
              <a:schemeClr val="bg2"/>
            </a:gs>
            <a:gs pos="100000">
              <a:schemeClr val="accent1">
                <a:lumMod val="20000"/>
                <a:lumOff val="8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rial Nova" panose="020B0504020202020204" pitchFamily="34" charset="0"/>
          </a:endParaRPr>
        </a:p>
      </xdr:txBody>
    </xdr:sp>
    <xdr:clientData/>
  </xdr:twoCellAnchor>
  <xdr:twoCellAnchor>
    <xdr:from>
      <xdr:col>5</xdr:col>
      <xdr:colOff>676275</xdr:colOff>
      <xdr:row>5</xdr:row>
      <xdr:rowOff>92221</xdr:rowOff>
    </xdr:from>
    <xdr:to>
      <xdr:col>16</xdr:col>
      <xdr:colOff>438150</xdr:colOff>
      <xdr:row>17</xdr:row>
      <xdr:rowOff>123825</xdr:rowOff>
    </xdr:to>
    <xdr:sp macro="" textlink="">
      <xdr:nvSpPr>
        <xdr:cNvPr id="17" name="Rounded Rectangle 16">
          <a:extLst>
            <a:ext uri="{FF2B5EF4-FFF2-40B4-BE49-F238E27FC236}">
              <a16:creationId xmlns:a16="http://schemas.microsoft.com/office/drawing/2014/main" id="{00000000-0008-0000-0000-000011000000}"/>
            </a:ext>
          </a:extLst>
        </xdr:cNvPr>
        <xdr:cNvSpPr/>
      </xdr:nvSpPr>
      <xdr:spPr>
        <a:xfrm>
          <a:off x="4362450" y="901846"/>
          <a:ext cx="7305675" cy="2317604"/>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45190</xdr:colOff>
      <xdr:row>5</xdr:row>
      <xdr:rowOff>171451</xdr:rowOff>
    </xdr:from>
    <xdr:to>
      <xdr:col>16</xdr:col>
      <xdr:colOff>381000</xdr:colOff>
      <xdr:row>17</xdr:row>
      <xdr:rowOff>24233</xdr:rowOff>
    </xdr:to>
    <xdr:sp macro="" textlink="">
      <xdr:nvSpPr>
        <xdr:cNvPr id="18" name="Rounded Rectangle 17">
          <a:extLst>
            <a:ext uri="{FF2B5EF4-FFF2-40B4-BE49-F238E27FC236}">
              <a16:creationId xmlns:a16="http://schemas.microsoft.com/office/drawing/2014/main" id="{00000000-0008-0000-0000-000012000000}"/>
            </a:ext>
          </a:extLst>
        </xdr:cNvPr>
        <xdr:cNvSpPr/>
      </xdr:nvSpPr>
      <xdr:spPr>
        <a:xfrm>
          <a:off x="4417165" y="981076"/>
          <a:ext cx="7193810" cy="2138782"/>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98986</xdr:colOff>
      <xdr:row>6</xdr:row>
      <xdr:rowOff>48394</xdr:rowOff>
    </xdr:from>
    <xdr:to>
      <xdr:col>16</xdr:col>
      <xdr:colOff>314326</xdr:colOff>
      <xdr:row>16</xdr:row>
      <xdr:rowOff>135568</xdr:rowOff>
    </xdr:to>
    <xdr:sp macro="" textlink="">
      <xdr:nvSpPr>
        <xdr:cNvPr id="19" name="Rounded Rectangle 18">
          <a:extLst>
            <a:ext uri="{FF2B5EF4-FFF2-40B4-BE49-F238E27FC236}">
              <a16:creationId xmlns:a16="http://schemas.microsoft.com/office/drawing/2014/main" id="{00000000-0008-0000-0000-000013000000}"/>
            </a:ext>
          </a:extLst>
        </xdr:cNvPr>
        <xdr:cNvSpPr/>
      </xdr:nvSpPr>
      <xdr:spPr>
        <a:xfrm>
          <a:off x="4470961" y="1048519"/>
          <a:ext cx="7073340" cy="1992174"/>
        </a:xfrm>
        <a:prstGeom prst="roundRect">
          <a:avLst/>
        </a:prstGeom>
        <a:gradFill flip="none" rotWithShape="1">
          <a:gsLst>
            <a:gs pos="0">
              <a:schemeClr val="bg1"/>
            </a:gs>
            <a:gs pos="46000">
              <a:schemeClr val="bg2"/>
            </a:gs>
            <a:gs pos="100000">
              <a:schemeClr val="accent1">
                <a:lumMod val="20000"/>
                <a:lumOff val="8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u="none">
            <a:solidFill>
              <a:schemeClr val="accent1">
                <a:lumMod val="50000"/>
              </a:schemeClr>
            </a:solidFill>
          </a:endParaRPr>
        </a:p>
      </xdr:txBody>
    </xdr:sp>
    <xdr:clientData/>
  </xdr:twoCellAnchor>
  <xdr:twoCellAnchor>
    <xdr:from>
      <xdr:col>0</xdr:col>
      <xdr:colOff>0</xdr:colOff>
      <xdr:row>0</xdr:row>
      <xdr:rowOff>0</xdr:rowOff>
    </xdr:from>
    <xdr:to>
      <xdr:col>62</xdr:col>
      <xdr:colOff>589561</xdr:colOff>
      <xdr:row>4</xdr:row>
      <xdr:rowOff>0</xdr:rowOff>
    </xdr:to>
    <xdr:sp macro="" textlink="">
      <xdr:nvSpPr>
        <xdr:cNvPr id="58" name="Rectangle 57">
          <a:extLst>
            <a:ext uri="{FF2B5EF4-FFF2-40B4-BE49-F238E27FC236}">
              <a16:creationId xmlns:a16="http://schemas.microsoft.com/office/drawing/2014/main" id="{AF733DE3-35E1-4EEC-B834-C1DBBEAA33BF}"/>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208947</xdr:colOff>
      <xdr:row>1</xdr:row>
      <xdr:rowOff>19879</xdr:rowOff>
    </xdr:from>
    <xdr:to>
      <xdr:col>19</xdr:col>
      <xdr:colOff>474115</xdr:colOff>
      <xdr:row>3</xdr:row>
      <xdr:rowOff>10354</xdr:rowOff>
    </xdr:to>
    <xdr:sp macro="" textlink="">
      <xdr:nvSpPr>
        <xdr:cNvPr id="59" name="TextBox 58">
          <a:hlinkClick xmlns:r="http://schemas.openxmlformats.org/officeDocument/2006/relationships" r:id="rId1"/>
          <a:extLst>
            <a:ext uri="{FF2B5EF4-FFF2-40B4-BE49-F238E27FC236}">
              <a16:creationId xmlns:a16="http://schemas.microsoft.com/office/drawing/2014/main" id="{1FCA6EB7-95F6-4D97-9B19-5BAE7D22A7ED}"/>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60" name="Picture 59">
          <a:extLst>
            <a:ext uri="{FF2B5EF4-FFF2-40B4-BE49-F238E27FC236}">
              <a16:creationId xmlns:a16="http://schemas.microsoft.com/office/drawing/2014/main" id="{1F2B1FCB-97BE-434F-9A93-E40D6B8F05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2</xdr:col>
      <xdr:colOff>88127</xdr:colOff>
      <xdr:row>1</xdr:row>
      <xdr:rowOff>28201</xdr:rowOff>
    </xdr:from>
    <xdr:to>
      <xdr:col>2</xdr:col>
      <xdr:colOff>88127</xdr:colOff>
      <xdr:row>2</xdr:row>
      <xdr:rowOff>138545</xdr:rowOff>
    </xdr:to>
    <xdr:cxnSp macro="">
      <xdr:nvCxnSpPr>
        <xdr:cNvPr id="62" name="Straight Connector 61">
          <a:extLst>
            <a:ext uri="{FF2B5EF4-FFF2-40B4-BE49-F238E27FC236}">
              <a16:creationId xmlns:a16="http://schemas.microsoft.com/office/drawing/2014/main" id="{7F983B49-BEA6-4327-A2CC-6E44AC24A0EA}"/>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20378</xdr:colOff>
      <xdr:row>1</xdr:row>
      <xdr:rowOff>19879</xdr:rowOff>
    </xdr:from>
    <xdr:to>
      <xdr:col>8</xdr:col>
      <xdr:colOff>293001</xdr:colOff>
      <xdr:row>3</xdr:row>
      <xdr:rowOff>10354</xdr:rowOff>
    </xdr:to>
    <xdr:sp macro="" textlink="">
      <xdr:nvSpPr>
        <xdr:cNvPr id="64" name="TextBox 63">
          <a:hlinkClick xmlns:r="http://schemas.openxmlformats.org/officeDocument/2006/relationships" r:id="rId3"/>
          <a:extLst>
            <a:ext uri="{FF2B5EF4-FFF2-40B4-BE49-F238E27FC236}">
              <a16:creationId xmlns:a16="http://schemas.microsoft.com/office/drawing/2014/main" id="{6BB4CA84-4E6D-4A61-8FD7-E93FE7FC9BD7}"/>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8</xdr:col>
      <xdr:colOff>195727</xdr:colOff>
      <xdr:row>1</xdr:row>
      <xdr:rowOff>19879</xdr:rowOff>
    </xdr:from>
    <xdr:to>
      <xdr:col>9</xdr:col>
      <xdr:colOff>462291</xdr:colOff>
      <xdr:row>3</xdr:row>
      <xdr:rowOff>10354</xdr:rowOff>
    </xdr:to>
    <xdr:sp macro="" textlink="">
      <xdr:nvSpPr>
        <xdr:cNvPr id="65" name="TextBox 64">
          <a:hlinkClick xmlns:r="http://schemas.openxmlformats.org/officeDocument/2006/relationships" r:id="rId4"/>
          <a:extLst>
            <a:ext uri="{FF2B5EF4-FFF2-40B4-BE49-F238E27FC236}">
              <a16:creationId xmlns:a16="http://schemas.microsoft.com/office/drawing/2014/main" id="{5E788863-28A2-4C8D-A16F-D4A62DF4ED60}"/>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9</xdr:col>
      <xdr:colOff>365017</xdr:colOff>
      <xdr:row>1</xdr:row>
      <xdr:rowOff>19879</xdr:rowOff>
    </xdr:from>
    <xdr:to>
      <xdr:col>10</xdr:col>
      <xdr:colOff>637612</xdr:colOff>
      <xdr:row>3</xdr:row>
      <xdr:rowOff>10354</xdr:rowOff>
    </xdr:to>
    <xdr:sp macro="" textlink="">
      <xdr:nvSpPr>
        <xdr:cNvPr id="66" name="TextBox 65">
          <a:hlinkClick xmlns:r="http://schemas.openxmlformats.org/officeDocument/2006/relationships" r:id="rId5"/>
          <a:extLst>
            <a:ext uri="{FF2B5EF4-FFF2-40B4-BE49-F238E27FC236}">
              <a16:creationId xmlns:a16="http://schemas.microsoft.com/office/drawing/2014/main" id="{8E63717A-9DA7-4A62-9F4B-5EC2C4B82751}"/>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10</xdr:col>
      <xdr:colOff>540338</xdr:colOff>
      <xdr:row>1</xdr:row>
      <xdr:rowOff>19879</xdr:rowOff>
    </xdr:from>
    <xdr:to>
      <xdr:col>12</xdr:col>
      <xdr:colOff>131214</xdr:colOff>
      <xdr:row>3</xdr:row>
      <xdr:rowOff>10354</xdr:rowOff>
    </xdr:to>
    <xdr:sp macro="" textlink="">
      <xdr:nvSpPr>
        <xdr:cNvPr id="67" name="TextBox 66">
          <a:hlinkClick xmlns:r="http://schemas.openxmlformats.org/officeDocument/2006/relationships" r:id="rId6"/>
          <a:extLst>
            <a:ext uri="{FF2B5EF4-FFF2-40B4-BE49-F238E27FC236}">
              <a16:creationId xmlns:a16="http://schemas.microsoft.com/office/drawing/2014/main" id="{DAA5A255-A636-4B09-AAFE-9A04E9CCB95C}"/>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12</xdr:col>
      <xdr:colOff>33940</xdr:colOff>
      <xdr:row>1</xdr:row>
      <xdr:rowOff>19879</xdr:rowOff>
    </xdr:from>
    <xdr:to>
      <xdr:col>13</xdr:col>
      <xdr:colOff>303545</xdr:colOff>
      <xdr:row>3</xdr:row>
      <xdr:rowOff>10354</xdr:rowOff>
    </xdr:to>
    <xdr:sp macro="" textlink="">
      <xdr:nvSpPr>
        <xdr:cNvPr id="68" name="TextBox 67">
          <a:hlinkClick xmlns:r="http://schemas.openxmlformats.org/officeDocument/2006/relationships" r:id="rId7"/>
          <a:extLst>
            <a:ext uri="{FF2B5EF4-FFF2-40B4-BE49-F238E27FC236}">
              <a16:creationId xmlns:a16="http://schemas.microsoft.com/office/drawing/2014/main" id="{03EC94A1-4B9F-45EB-AEFA-6A8A5D8CDCD9}"/>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13</xdr:col>
      <xdr:colOff>207952</xdr:colOff>
      <xdr:row>1</xdr:row>
      <xdr:rowOff>19879</xdr:rowOff>
    </xdr:from>
    <xdr:to>
      <xdr:col>14</xdr:col>
      <xdr:colOff>475877</xdr:colOff>
      <xdr:row>3</xdr:row>
      <xdr:rowOff>10354</xdr:rowOff>
    </xdr:to>
    <xdr:sp macro="" textlink="">
      <xdr:nvSpPr>
        <xdr:cNvPr id="69" name="TextBox 68">
          <a:hlinkClick xmlns:r="http://schemas.openxmlformats.org/officeDocument/2006/relationships" r:id="rId8"/>
          <a:extLst>
            <a:ext uri="{FF2B5EF4-FFF2-40B4-BE49-F238E27FC236}">
              <a16:creationId xmlns:a16="http://schemas.microsoft.com/office/drawing/2014/main" id="{B182EBCB-B912-4705-89AA-5FC7543697BE}"/>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14</xdr:col>
      <xdr:colOff>380284</xdr:colOff>
      <xdr:row>1</xdr:row>
      <xdr:rowOff>19879</xdr:rowOff>
    </xdr:from>
    <xdr:to>
      <xdr:col>15</xdr:col>
      <xdr:colOff>650667</xdr:colOff>
      <xdr:row>3</xdr:row>
      <xdr:rowOff>10354</xdr:rowOff>
    </xdr:to>
    <xdr:sp macro="" textlink="">
      <xdr:nvSpPr>
        <xdr:cNvPr id="70" name="TextBox 69">
          <a:hlinkClick xmlns:r="http://schemas.openxmlformats.org/officeDocument/2006/relationships" r:id="rId9"/>
          <a:extLst>
            <a:ext uri="{FF2B5EF4-FFF2-40B4-BE49-F238E27FC236}">
              <a16:creationId xmlns:a16="http://schemas.microsoft.com/office/drawing/2014/main" id="{8E24EAE8-D0D9-4385-9FCB-AE319BD9AF4F}"/>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15</xdr:col>
      <xdr:colOff>553393</xdr:colOff>
      <xdr:row>1</xdr:row>
      <xdr:rowOff>19879</xdr:rowOff>
    </xdr:from>
    <xdr:to>
      <xdr:col>17</xdr:col>
      <xdr:colOff>138329</xdr:colOff>
      <xdr:row>3</xdr:row>
      <xdr:rowOff>10354</xdr:rowOff>
    </xdr:to>
    <xdr:sp macro="" textlink="">
      <xdr:nvSpPr>
        <xdr:cNvPr id="71" name="TextBox 70">
          <a:hlinkClick xmlns:r="http://schemas.openxmlformats.org/officeDocument/2006/relationships" r:id="rId10"/>
          <a:extLst>
            <a:ext uri="{FF2B5EF4-FFF2-40B4-BE49-F238E27FC236}">
              <a16:creationId xmlns:a16="http://schemas.microsoft.com/office/drawing/2014/main" id="{FBA45ED2-1CB1-4705-8D68-282891BF6B41}"/>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17</xdr:col>
      <xdr:colOff>41055</xdr:colOff>
      <xdr:row>1</xdr:row>
      <xdr:rowOff>19879</xdr:rowOff>
    </xdr:from>
    <xdr:to>
      <xdr:col>18</xdr:col>
      <xdr:colOff>306221</xdr:colOff>
      <xdr:row>3</xdr:row>
      <xdr:rowOff>10354</xdr:rowOff>
    </xdr:to>
    <xdr:sp macro="" textlink="">
      <xdr:nvSpPr>
        <xdr:cNvPr id="72" name="TextBox 71">
          <a:hlinkClick xmlns:r="http://schemas.openxmlformats.org/officeDocument/2006/relationships" r:id="rId11"/>
          <a:extLst>
            <a:ext uri="{FF2B5EF4-FFF2-40B4-BE49-F238E27FC236}">
              <a16:creationId xmlns:a16="http://schemas.microsoft.com/office/drawing/2014/main" id="{CBD6013A-3815-459D-99CC-C5FB0FCD93D7}"/>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19</xdr:col>
      <xdr:colOff>376841</xdr:colOff>
      <xdr:row>1</xdr:row>
      <xdr:rowOff>19879</xdr:rowOff>
    </xdr:from>
    <xdr:to>
      <xdr:col>20</xdr:col>
      <xdr:colOff>645182</xdr:colOff>
      <xdr:row>3</xdr:row>
      <xdr:rowOff>10354</xdr:rowOff>
    </xdr:to>
    <xdr:sp macro="" textlink="">
      <xdr:nvSpPr>
        <xdr:cNvPr id="73" name="TextBox 72">
          <a:hlinkClick xmlns:r="http://schemas.openxmlformats.org/officeDocument/2006/relationships" r:id="rId12"/>
          <a:extLst>
            <a:ext uri="{FF2B5EF4-FFF2-40B4-BE49-F238E27FC236}">
              <a16:creationId xmlns:a16="http://schemas.microsoft.com/office/drawing/2014/main" id="{AD8B6910-B64A-4111-B4E8-DE5B9C578551}"/>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20</xdr:col>
      <xdr:colOff>547908</xdr:colOff>
      <xdr:row>1</xdr:row>
      <xdr:rowOff>19879</xdr:rowOff>
    </xdr:from>
    <xdr:to>
      <xdr:col>22</xdr:col>
      <xdr:colOff>133461</xdr:colOff>
      <xdr:row>3</xdr:row>
      <xdr:rowOff>10354</xdr:rowOff>
    </xdr:to>
    <xdr:sp macro="" textlink="">
      <xdr:nvSpPr>
        <xdr:cNvPr id="74" name="TextBox 73">
          <a:hlinkClick xmlns:r="http://schemas.openxmlformats.org/officeDocument/2006/relationships" r:id="rId13"/>
          <a:extLst>
            <a:ext uri="{FF2B5EF4-FFF2-40B4-BE49-F238E27FC236}">
              <a16:creationId xmlns:a16="http://schemas.microsoft.com/office/drawing/2014/main" id="{ECD5056D-985C-4AF7-9F8A-C26477B1CD6A}"/>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22</xdr:col>
      <xdr:colOff>36187</xdr:colOff>
      <xdr:row>1</xdr:row>
      <xdr:rowOff>19879</xdr:rowOff>
    </xdr:from>
    <xdr:to>
      <xdr:col>23</xdr:col>
      <xdr:colOff>305882</xdr:colOff>
      <xdr:row>3</xdr:row>
      <xdr:rowOff>10354</xdr:rowOff>
    </xdr:to>
    <xdr:sp macro="" textlink="">
      <xdr:nvSpPr>
        <xdr:cNvPr id="75" name="TextBox 74">
          <a:hlinkClick xmlns:r="http://schemas.openxmlformats.org/officeDocument/2006/relationships" r:id="rId14"/>
          <a:extLst>
            <a:ext uri="{FF2B5EF4-FFF2-40B4-BE49-F238E27FC236}">
              <a16:creationId xmlns:a16="http://schemas.microsoft.com/office/drawing/2014/main" id="{C1402E3A-702D-48FC-800A-114E0117A99A}"/>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23</xdr:col>
      <xdr:colOff>208608</xdr:colOff>
      <xdr:row>1</xdr:row>
      <xdr:rowOff>19879</xdr:rowOff>
    </xdr:from>
    <xdr:to>
      <xdr:col>24</xdr:col>
      <xdr:colOff>482000</xdr:colOff>
      <xdr:row>3</xdr:row>
      <xdr:rowOff>10354</xdr:rowOff>
    </xdr:to>
    <xdr:sp macro="" textlink="">
      <xdr:nvSpPr>
        <xdr:cNvPr id="76" name="TextBox 75">
          <a:hlinkClick xmlns:r="http://schemas.openxmlformats.org/officeDocument/2006/relationships" r:id="rId15"/>
          <a:extLst>
            <a:ext uri="{FF2B5EF4-FFF2-40B4-BE49-F238E27FC236}">
              <a16:creationId xmlns:a16="http://schemas.microsoft.com/office/drawing/2014/main" id="{DE123833-0431-4A06-BDDC-57CDB371FE2E}"/>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24</xdr:col>
      <xdr:colOff>384737</xdr:colOff>
      <xdr:row>1</xdr:row>
      <xdr:rowOff>19879</xdr:rowOff>
    </xdr:from>
    <xdr:to>
      <xdr:col>25</xdr:col>
      <xdr:colOff>655702</xdr:colOff>
      <xdr:row>3</xdr:row>
      <xdr:rowOff>10354</xdr:rowOff>
    </xdr:to>
    <xdr:sp macro="" textlink="">
      <xdr:nvSpPr>
        <xdr:cNvPr id="77" name="TextBox 76">
          <a:hlinkClick xmlns:r="http://schemas.openxmlformats.org/officeDocument/2006/relationships" r:id="rId16"/>
          <a:extLst>
            <a:ext uri="{FF2B5EF4-FFF2-40B4-BE49-F238E27FC236}">
              <a16:creationId xmlns:a16="http://schemas.microsoft.com/office/drawing/2014/main" id="{B83CB797-6225-4825-B7D8-45F4AD762299}"/>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9</xdr:col>
      <xdr:colOff>413654</xdr:colOff>
      <xdr:row>1</xdr:row>
      <xdr:rowOff>103586</xdr:rowOff>
    </xdr:from>
    <xdr:to>
      <xdr:col>9</xdr:col>
      <xdr:colOff>413654</xdr:colOff>
      <xdr:row>2</xdr:row>
      <xdr:rowOff>117146</xdr:rowOff>
    </xdr:to>
    <xdr:cxnSp macro="">
      <xdr:nvCxnSpPr>
        <xdr:cNvPr id="78" name="Straight Connector 77">
          <a:extLst>
            <a:ext uri="{FF2B5EF4-FFF2-40B4-BE49-F238E27FC236}">
              <a16:creationId xmlns:a16="http://schemas.microsoft.com/office/drawing/2014/main" id="{E67AEF58-80F3-420C-B0AE-F034D5E73C54}"/>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244364</xdr:colOff>
      <xdr:row>1</xdr:row>
      <xdr:rowOff>103586</xdr:rowOff>
    </xdr:from>
    <xdr:to>
      <xdr:col>8</xdr:col>
      <xdr:colOff>244364</xdr:colOff>
      <xdr:row>2</xdr:row>
      <xdr:rowOff>117146</xdr:rowOff>
    </xdr:to>
    <xdr:cxnSp macro="">
      <xdr:nvCxnSpPr>
        <xdr:cNvPr id="79" name="Straight Connector 78">
          <a:extLst>
            <a:ext uri="{FF2B5EF4-FFF2-40B4-BE49-F238E27FC236}">
              <a16:creationId xmlns:a16="http://schemas.microsoft.com/office/drawing/2014/main" id="{0F22A2E0-A526-47DB-B928-1D0F3C6D6A54}"/>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69015</xdr:colOff>
      <xdr:row>1</xdr:row>
      <xdr:rowOff>103586</xdr:rowOff>
    </xdr:from>
    <xdr:to>
      <xdr:col>7</xdr:col>
      <xdr:colOff>69015</xdr:colOff>
      <xdr:row>2</xdr:row>
      <xdr:rowOff>117146</xdr:rowOff>
    </xdr:to>
    <xdr:cxnSp macro="">
      <xdr:nvCxnSpPr>
        <xdr:cNvPr id="80" name="Straight Connector 79">
          <a:extLst>
            <a:ext uri="{FF2B5EF4-FFF2-40B4-BE49-F238E27FC236}">
              <a16:creationId xmlns:a16="http://schemas.microsoft.com/office/drawing/2014/main" id="{DFD3ED74-129F-409A-BA13-111C6924F81A}"/>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588975</xdr:colOff>
      <xdr:row>1</xdr:row>
      <xdr:rowOff>103586</xdr:rowOff>
    </xdr:from>
    <xdr:to>
      <xdr:col>10</xdr:col>
      <xdr:colOff>588975</xdr:colOff>
      <xdr:row>2</xdr:row>
      <xdr:rowOff>117146</xdr:rowOff>
    </xdr:to>
    <xdr:cxnSp macro="">
      <xdr:nvCxnSpPr>
        <xdr:cNvPr id="81" name="Straight Connector 80">
          <a:extLst>
            <a:ext uri="{FF2B5EF4-FFF2-40B4-BE49-F238E27FC236}">
              <a16:creationId xmlns:a16="http://schemas.microsoft.com/office/drawing/2014/main" id="{C2FB533F-14DF-4A4A-A9A5-B03B6FFEEEB3}"/>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82577</xdr:colOff>
      <xdr:row>1</xdr:row>
      <xdr:rowOff>103586</xdr:rowOff>
    </xdr:from>
    <xdr:to>
      <xdr:col>12</xdr:col>
      <xdr:colOff>82577</xdr:colOff>
      <xdr:row>2</xdr:row>
      <xdr:rowOff>117146</xdr:rowOff>
    </xdr:to>
    <xdr:cxnSp macro="">
      <xdr:nvCxnSpPr>
        <xdr:cNvPr id="82" name="Straight Connector 81">
          <a:extLst>
            <a:ext uri="{FF2B5EF4-FFF2-40B4-BE49-F238E27FC236}">
              <a16:creationId xmlns:a16="http://schemas.microsoft.com/office/drawing/2014/main" id="{37B60877-9501-43BB-A948-11B4D2AE22A0}"/>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254908</xdr:colOff>
      <xdr:row>1</xdr:row>
      <xdr:rowOff>103586</xdr:rowOff>
    </xdr:from>
    <xdr:to>
      <xdr:col>13</xdr:col>
      <xdr:colOff>254908</xdr:colOff>
      <xdr:row>2</xdr:row>
      <xdr:rowOff>117146</xdr:rowOff>
    </xdr:to>
    <xdr:cxnSp macro="">
      <xdr:nvCxnSpPr>
        <xdr:cNvPr id="84" name="Straight Connector 83">
          <a:extLst>
            <a:ext uri="{FF2B5EF4-FFF2-40B4-BE49-F238E27FC236}">
              <a16:creationId xmlns:a16="http://schemas.microsoft.com/office/drawing/2014/main" id="{876F524B-14A9-48AD-923A-496857E55639}"/>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428921</xdr:colOff>
      <xdr:row>1</xdr:row>
      <xdr:rowOff>103586</xdr:rowOff>
    </xdr:from>
    <xdr:to>
      <xdr:col>14</xdr:col>
      <xdr:colOff>428921</xdr:colOff>
      <xdr:row>2</xdr:row>
      <xdr:rowOff>117146</xdr:rowOff>
    </xdr:to>
    <xdr:cxnSp macro="">
      <xdr:nvCxnSpPr>
        <xdr:cNvPr id="85" name="Straight Connector 84">
          <a:extLst>
            <a:ext uri="{FF2B5EF4-FFF2-40B4-BE49-F238E27FC236}">
              <a16:creationId xmlns:a16="http://schemas.microsoft.com/office/drawing/2014/main" id="{20BC7918-103B-4AFF-B156-967F87A70344}"/>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602030</xdr:colOff>
      <xdr:row>1</xdr:row>
      <xdr:rowOff>103586</xdr:rowOff>
    </xdr:from>
    <xdr:to>
      <xdr:col>15</xdr:col>
      <xdr:colOff>602030</xdr:colOff>
      <xdr:row>2</xdr:row>
      <xdr:rowOff>117146</xdr:rowOff>
    </xdr:to>
    <xdr:cxnSp macro="">
      <xdr:nvCxnSpPr>
        <xdr:cNvPr id="115" name="Straight Connector 114">
          <a:extLst>
            <a:ext uri="{FF2B5EF4-FFF2-40B4-BE49-F238E27FC236}">
              <a16:creationId xmlns:a16="http://schemas.microsoft.com/office/drawing/2014/main" id="{1E18C591-8FE2-4FE4-B845-7E94E82E8E6E}"/>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89692</xdr:colOff>
      <xdr:row>1</xdr:row>
      <xdr:rowOff>103586</xdr:rowOff>
    </xdr:from>
    <xdr:to>
      <xdr:col>17</xdr:col>
      <xdr:colOff>89692</xdr:colOff>
      <xdr:row>2</xdr:row>
      <xdr:rowOff>117146</xdr:rowOff>
    </xdr:to>
    <xdr:cxnSp macro="">
      <xdr:nvCxnSpPr>
        <xdr:cNvPr id="116" name="Straight Connector 115">
          <a:extLst>
            <a:ext uri="{FF2B5EF4-FFF2-40B4-BE49-F238E27FC236}">
              <a16:creationId xmlns:a16="http://schemas.microsoft.com/office/drawing/2014/main" id="{316B61E2-D170-477F-A2C7-E319C4D145FB}"/>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425478</xdr:colOff>
      <xdr:row>1</xdr:row>
      <xdr:rowOff>103586</xdr:rowOff>
    </xdr:from>
    <xdr:to>
      <xdr:col>19</xdr:col>
      <xdr:colOff>425478</xdr:colOff>
      <xdr:row>2</xdr:row>
      <xdr:rowOff>117146</xdr:rowOff>
    </xdr:to>
    <xdr:cxnSp macro="">
      <xdr:nvCxnSpPr>
        <xdr:cNvPr id="117" name="Straight Connector 116">
          <a:extLst>
            <a:ext uri="{FF2B5EF4-FFF2-40B4-BE49-F238E27FC236}">
              <a16:creationId xmlns:a16="http://schemas.microsoft.com/office/drawing/2014/main" id="{A82630A1-8FF0-4992-870A-786C9D846077}"/>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596545</xdr:colOff>
      <xdr:row>1</xdr:row>
      <xdr:rowOff>103586</xdr:rowOff>
    </xdr:from>
    <xdr:to>
      <xdr:col>20</xdr:col>
      <xdr:colOff>596545</xdr:colOff>
      <xdr:row>2</xdr:row>
      <xdr:rowOff>117146</xdr:rowOff>
    </xdr:to>
    <xdr:cxnSp macro="">
      <xdr:nvCxnSpPr>
        <xdr:cNvPr id="118" name="Straight Connector 117">
          <a:extLst>
            <a:ext uri="{FF2B5EF4-FFF2-40B4-BE49-F238E27FC236}">
              <a16:creationId xmlns:a16="http://schemas.microsoft.com/office/drawing/2014/main" id="{279DE7FB-3DA7-4C33-9224-4380880BCD7E}"/>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84824</xdr:colOff>
      <xdr:row>1</xdr:row>
      <xdr:rowOff>103586</xdr:rowOff>
    </xdr:from>
    <xdr:to>
      <xdr:col>22</xdr:col>
      <xdr:colOff>84824</xdr:colOff>
      <xdr:row>2</xdr:row>
      <xdr:rowOff>117146</xdr:rowOff>
    </xdr:to>
    <xdr:cxnSp macro="">
      <xdr:nvCxnSpPr>
        <xdr:cNvPr id="119" name="Straight Connector 118">
          <a:extLst>
            <a:ext uri="{FF2B5EF4-FFF2-40B4-BE49-F238E27FC236}">
              <a16:creationId xmlns:a16="http://schemas.microsoft.com/office/drawing/2014/main" id="{DF23A989-B048-49BE-AB98-C72B7DF62345}"/>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257245</xdr:colOff>
      <xdr:row>1</xdr:row>
      <xdr:rowOff>103586</xdr:rowOff>
    </xdr:from>
    <xdr:to>
      <xdr:col>23</xdr:col>
      <xdr:colOff>257245</xdr:colOff>
      <xdr:row>2</xdr:row>
      <xdr:rowOff>117146</xdr:rowOff>
    </xdr:to>
    <xdr:cxnSp macro="">
      <xdr:nvCxnSpPr>
        <xdr:cNvPr id="120" name="Straight Connector 119">
          <a:extLst>
            <a:ext uri="{FF2B5EF4-FFF2-40B4-BE49-F238E27FC236}">
              <a16:creationId xmlns:a16="http://schemas.microsoft.com/office/drawing/2014/main" id="{271AD687-A2BA-4C32-90BF-1361E0F6E18A}"/>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433363</xdr:colOff>
      <xdr:row>1</xdr:row>
      <xdr:rowOff>103586</xdr:rowOff>
    </xdr:from>
    <xdr:to>
      <xdr:col>24</xdr:col>
      <xdr:colOff>433363</xdr:colOff>
      <xdr:row>2</xdr:row>
      <xdr:rowOff>117146</xdr:rowOff>
    </xdr:to>
    <xdr:cxnSp macro="">
      <xdr:nvCxnSpPr>
        <xdr:cNvPr id="121" name="Straight Connector 120">
          <a:extLst>
            <a:ext uri="{FF2B5EF4-FFF2-40B4-BE49-F238E27FC236}">
              <a16:creationId xmlns:a16="http://schemas.microsoft.com/office/drawing/2014/main" id="{4C77FFF6-F4DC-4181-BAB8-F713C9DFF6D6}"/>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257584</xdr:colOff>
      <xdr:row>1</xdr:row>
      <xdr:rowOff>103586</xdr:rowOff>
    </xdr:from>
    <xdr:to>
      <xdr:col>18</xdr:col>
      <xdr:colOff>257584</xdr:colOff>
      <xdr:row>2</xdr:row>
      <xdr:rowOff>117146</xdr:rowOff>
    </xdr:to>
    <xdr:cxnSp macro="">
      <xdr:nvCxnSpPr>
        <xdr:cNvPr id="122" name="Straight Connector 121">
          <a:extLst>
            <a:ext uri="{FF2B5EF4-FFF2-40B4-BE49-F238E27FC236}">
              <a16:creationId xmlns:a16="http://schemas.microsoft.com/office/drawing/2014/main" id="{2965A0F9-619F-4DF3-894C-8E792C0195FE}"/>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xdr:row>
      <xdr:rowOff>47625</xdr:rowOff>
    </xdr:from>
    <xdr:to>
      <xdr:col>5</xdr:col>
      <xdr:colOff>371474</xdr:colOff>
      <xdr:row>16</xdr:row>
      <xdr:rowOff>123825</xdr:rowOff>
    </xdr:to>
    <xdr:graphicFrame macro="">
      <xdr:nvGraphicFramePr>
        <xdr:cNvPr id="26" name="Chart 25">
          <a:extLst>
            <a:ext uri="{FF2B5EF4-FFF2-40B4-BE49-F238E27FC236}">
              <a16:creationId xmlns:a16="http://schemas.microsoft.com/office/drawing/2014/main" id="{68539338-8E37-474B-81FD-5C005BA70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624111</xdr:colOff>
      <xdr:row>5</xdr:row>
      <xdr:rowOff>85725</xdr:rowOff>
    </xdr:from>
    <xdr:to>
      <xdr:col>25</xdr:col>
      <xdr:colOff>283509</xdr:colOff>
      <xdr:row>35</xdr:row>
      <xdr:rowOff>68829</xdr:rowOff>
    </xdr:to>
    <xdr:sp macro="" textlink="">
      <xdr:nvSpPr>
        <xdr:cNvPr id="32" name="Rounded Rectangle 16">
          <a:extLst>
            <a:ext uri="{FF2B5EF4-FFF2-40B4-BE49-F238E27FC236}">
              <a16:creationId xmlns:a16="http://schemas.microsoft.com/office/drawing/2014/main" id="{46D9BA80-56FC-4E28-8153-8EACCC6D2817}"/>
            </a:ext>
          </a:extLst>
        </xdr:cNvPr>
        <xdr:cNvSpPr/>
      </xdr:nvSpPr>
      <xdr:spPr>
        <a:xfrm>
          <a:off x="11854086" y="895350"/>
          <a:ext cx="5831598" cy="5698104"/>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656282</xdr:colOff>
      <xdr:row>5</xdr:row>
      <xdr:rowOff>133350</xdr:rowOff>
    </xdr:from>
    <xdr:to>
      <xdr:col>25</xdr:col>
      <xdr:colOff>226359</xdr:colOff>
      <xdr:row>34</xdr:row>
      <xdr:rowOff>178733</xdr:rowOff>
    </xdr:to>
    <xdr:sp macro="" textlink="">
      <xdr:nvSpPr>
        <xdr:cNvPr id="33" name="Rounded Rectangle 17">
          <a:extLst>
            <a:ext uri="{FF2B5EF4-FFF2-40B4-BE49-F238E27FC236}">
              <a16:creationId xmlns:a16="http://schemas.microsoft.com/office/drawing/2014/main" id="{67724C0E-2EEA-421E-9EBA-6368226C5899}"/>
            </a:ext>
          </a:extLst>
        </xdr:cNvPr>
        <xdr:cNvSpPr/>
      </xdr:nvSpPr>
      <xdr:spPr>
        <a:xfrm>
          <a:off x="11886257" y="942975"/>
          <a:ext cx="5742277" cy="5569883"/>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28575</xdr:colOff>
      <xdr:row>6</xdr:row>
      <xdr:rowOff>9525</xdr:rowOff>
    </xdr:from>
    <xdr:to>
      <xdr:col>25</xdr:col>
      <xdr:colOff>188260</xdr:colOff>
      <xdr:row>34</xdr:row>
      <xdr:rowOff>122705</xdr:rowOff>
    </xdr:to>
    <xdr:sp macro="" textlink="">
      <xdr:nvSpPr>
        <xdr:cNvPr id="34" name="Rounded Rectangle 18">
          <a:extLst>
            <a:ext uri="{FF2B5EF4-FFF2-40B4-BE49-F238E27FC236}">
              <a16:creationId xmlns:a16="http://schemas.microsoft.com/office/drawing/2014/main" id="{CDDB93CD-33C0-40F6-8B5D-2ED2511119D8}"/>
            </a:ext>
          </a:extLst>
        </xdr:cNvPr>
        <xdr:cNvSpPr/>
      </xdr:nvSpPr>
      <xdr:spPr>
        <a:xfrm>
          <a:off x="11944350" y="1009650"/>
          <a:ext cx="5646085" cy="5447180"/>
        </a:xfrm>
        <a:prstGeom prst="roundRect">
          <a:avLst/>
        </a:prstGeom>
        <a:gradFill flip="none" rotWithShape="1">
          <a:gsLst>
            <a:gs pos="0">
              <a:schemeClr val="bg1"/>
            </a:gs>
            <a:gs pos="46000">
              <a:schemeClr val="bg2"/>
            </a:gs>
            <a:gs pos="100000">
              <a:schemeClr val="accent1">
                <a:lumMod val="20000"/>
                <a:lumOff val="8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u="none"/>
        </a:p>
      </xdr:txBody>
    </xdr:sp>
    <xdr:clientData/>
  </xdr:twoCellAnchor>
  <xdr:twoCellAnchor>
    <xdr:from>
      <xdr:col>17</xdr:col>
      <xdr:colOff>164139</xdr:colOff>
      <xdr:row>7</xdr:row>
      <xdr:rowOff>171451</xdr:rowOff>
    </xdr:from>
    <xdr:to>
      <xdr:col>24</xdr:col>
      <xdr:colOff>624729</xdr:colOff>
      <xdr:row>34</xdr:row>
      <xdr:rowOff>55471</xdr:rowOff>
    </xdr:to>
    <xdr:graphicFrame macro="">
      <xdr:nvGraphicFramePr>
        <xdr:cNvPr id="31" name="Chart 30">
          <a:extLst>
            <a:ext uri="{FF2B5EF4-FFF2-40B4-BE49-F238E27FC236}">
              <a16:creationId xmlns:a16="http://schemas.microsoft.com/office/drawing/2014/main" id="{F3A1A598-F56B-435F-B2BA-82065D656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381000</xdr:colOff>
      <xdr:row>19</xdr:row>
      <xdr:rowOff>77560</xdr:rowOff>
    </xdr:from>
    <xdr:to>
      <xdr:col>8</xdr:col>
      <xdr:colOff>283780</xdr:colOff>
      <xdr:row>34</xdr:row>
      <xdr:rowOff>96957</xdr:rowOff>
    </xdr:to>
    <xdr:graphicFrame macro="">
      <xdr:nvGraphicFramePr>
        <xdr:cNvPr id="36" name="Chart 35">
          <a:extLst>
            <a:ext uri="{FF2B5EF4-FFF2-40B4-BE49-F238E27FC236}">
              <a16:creationId xmlns:a16="http://schemas.microsoft.com/office/drawing/2014/main" id="{A62C2B4E-E52A-4877-B4D0-ADF4C95E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103532</xdr:colOff>
      <xdr:row>6</xdr:row>
      <xdr:rowOff>152108</xdr:rowOff>
    </xdr:from>
    <xdr:to>
      <xdr:col>4</xdr:col>
      <xdr:colOff>762000</xdr:colOff>
      <xdr:row>12</xdr:row>
      <xdr:rowOff>142583</xdr:rowOff>
    </xdr:to>
    <xdr:sp macro="" textlink="FCFF!R164">
      <xdr:nvSpPr>
        <xdr:cNvPr id="22" name="TextBox 4">
          <a:extLst>
            <a:ext uri="{FF2B5EF4-FFF2-40B4-BE49-F238E27FC236}">
              <a16:creationId xmlns:a16="http://schemas.microsoft.com/office/drawing/2014/main" id="{00000000-0008-0000-0000-000005000000}"/>
            </a:ext>
            <a:ext uri="{147F2762-F138-4A5C-976F-8EAC2B608ADB}">
              <a16:predDERef xmlns:a16="http://schemas.microsoft.com/office/drawing/2014/main" pred="{A62C2B4E-E52A-4877-B4D0-ADF4C95EC8D0}"/>
            </a:ext>
          </a:extLst>
        </xdr:cNvPr>
        <xdr:cNvSpPr txBox="1"/>
      </xdr:nvSpPr>
      <xdr:spPr>
        <a:xfrm>
          <a:off x="789332" y="1152233"/>
          <a:ext cx="2887318" cy="1133475"/>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B416593-3911-4086-9678-272915FA7569}" type="TxLink">
            <a:rPr lang="en-US" sz="6000" b="0" i="0" u="none" strike="noStrike" cap="none" spc="0">
              <a:ln w="0"/>
              <a:solidFill>
                <a:schemeClr val="accent1"/>
              </a:solidFill>
              <a:effectLst>
                <a:outerShdw blurRad="38100" dist="25400" dir="5400000" algn="ctr" rotWithShape="0">
                  <a:srgbClr val="6E747A">
                    <a:alpha val="43000"/>
                  </a:srgbClr>
                </a:outerShdw>
              </a:effectLst>
              <a:latin typeface="Arial Nova"/>
              <a:cs typeface="Arial"/>
            </a:rPr>
            <a:pPr/>
            <a:t>-34.3%</a:t>
          </a:fld>
          <a:endParaRPr lang="en-US" sz="41300" b="0" cap="none" spc="0">
            <a:ln w="0"/>
            <a:solidFill>
              <a:schemeClr val="accent1"/>
            </a:solidFill>
            <a:effectLst>
              <a:outerShdw blurRad="38100" dist="25400" dir="5400000" algn="ctr" rotWithShape="0">
                <a:srgbClr val="6E747A">
                  <a:alpha val="43000"/>
                </a:srgbClr>
              </a:outerShdw>
            </a:effectLst>
            <a:latin typeface="Arial Black" panose="020B0A04020102020204" pitchFamily="34" charset="0"/>
          </a:endParaRPr>
        </a:p>
      </xdr:txBody>
    </xdr:sp>
    <xdr:clientData/>
  </xdr:twoCellAnchor>
  <xdr:twoCellAnchor>
    <xdr:from>
      <xdr:col>8</xdr:col>
      <xdr:colOff>680939</xdr:colOff>
      <xdr:row>18</xdr:row>
      <xdr:rowOff>26335</xdr:rowOff>
    </xdr:from>
    <xdr:to>
      <xdr:col>16</xdr:col>
      <xdr:colOff>480522</xdr:colOff>
      <xdr:row>35</xdr:row>
      <xdr:rowOff>122647</xdr:rowOff>
    </xdr:to>
    <xdr:sp macro="" textlink="">
      <xdr:nvSpPr>
        <xdr:cNvPr id="7" name="Rounded Rectangle 10">
          <a:extLst>
            <a:ext uri="{FF2B5EF4-FFF2-40B4-BE49-F238E27FC236}">
              <a16:creationId xmlns:a16="http://schemas.microsoft.com/office/drawing/2014/main" id="{8490BD13-3504-E948-E037-FA939D752C03}"/>
            </a:ext>
          </a:extLst>
        </xdr:cNvPr>
        <xdr:cNvSpPr/>
      </xdr:nvSpPr>
      <xdr:spPr>
        <a:xfrm>
          <a:off x="6425705" y="3312460"/>
          <a:ext cx="5276458" cy="3334812"/>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45244</xdr:colOff>
      <xdr:row>18</xdr:row>
      <xdr:rowOff>73959</xdr:rowOff>
    </xdr:from>
    <xdr:to>
      <xdr:col>16</xdr:col>
      <xdr:colOff>413287</xdr:colOff>
      <xdr:row>35</xdr:row>
      <xdr:rowOff>76200</xdr:rowOff>
    </xdr:to>
    <xdr:sp macro="" textlink="">
      <xdr:nvSpPr>
        <xdr:cNvPr id="10" name="Rounded Rectangle 11">
          <a:extLst>
            <a:ext uri="{FF2B5EF4-FFF2-40B4-BE49-F238E27FC236}">
              <a16:creationId xmlns:a16="http://schemas.microsoft.com/office/drawing/2014/main" id="{B80D1CD0-7E40-B6FE-DBD7-6C70CAAA467B}"/>
            </a:ext>
          </a:extLst>
        </xdr:cNvPr>
        <xdr:cNvSpPr/>
      </xdr:nvSpPr>
      <xdr:spPr>
        <a:xfrm>
          <a:off x="6474619" y="3360084"/>
          <a:ext cx="5160309" cy="3240741"/>
        </a:xfrm>
        <a:prstGeom prst="roundRect">
          <a:avLst/>
        </a:prstGeom>
        <a:solidFill>
          <a:schemeClr val="bg1">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94451</xdr:colOff>
      <xdr:row>18</xdr:row>
      <xdr:rowOff>140635</xdr:rowOff>
    </xdr:from>
    <xdr:to>
      <xdr:col>16</xdr:col>
      <xdr:colOff>357257</xdr:colOff>
      <xdr:row>35</xdr:row>
      <xdr:rowOff>24415</xdr:rowOff>
    </xdr:to>
    <xdr:sp macro="" textlink="">
      <xdr:nvSpPr>
        <xdr:cNvPr id="13" name="Rounded Rectangle 14">
          <a:extLst>
            <a:ext uri="{FF2B5EF4-FFF2-40B4-BE49-F238E27FC236}">
              <a16:creationId xmlns:a16="http://schemas.microsoft.com/office/drawing/2014/main" id="{01C2A47D-4BD3-4EB9-C6AA-A4BE89298E14}"/>
            </a:ext>
          </a:extLst>
        </xdr:cNvPr>
        <xdr:cNvSpPr/>
      </xdr:nvSpPr>
      <xdr:spPr>
        <a:xfrm>
          <a:off x="6523826" y="3426760"/>
          <a:ext cx="5055072" cy="3122280"/>
        </a:xfrm>
        <a:prstGeom prst="roundRect">
          <a:avLst/>
        </a:prstGeom>
        <a:gradFill flip="none" rotWithShape="1">
          <a:gsLst>
            <a:gs pos="0">
              <a:schemeClr val="bg1"/>
            </a:gs>
            <a:gs pos="46000">
              <a:schemeClr val="bg2"/>
            </a:gs>
            <a:gs pos="100000">
              <a:schemeClr val="accent1">
                <a:lumMod val="20000"/>
                <a:lumOff val="8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247649</xdr:colOff>
      <xdr:row>19</xdr:row>
      <xdr:rowOff>66675</xdr:rowOff>
    </xdr:from>
    <xdr:to>
      <xdr:col>16</xdr:col>
      <xdr:colOff>161924</xdr:colOff>
      <xdr:row>34</xdr:row>
      <xdr:rowOff>47624</xdr:rowOff>
    </xdr:to>
    <xdr:graphicFrame macro="">
      <xdr:nvGraphicFramePr>
        <xdr:cNvPr id="14" name="Chart 13">
          <a:extLst>
            <a:ext uri="{FF2B5EF4-FFF2-40B4-BE49-F238E27FC236}">
              <a16:creationId xmlns:a16="http://schemas.microsoft.com/office/drawing/2014/main" id="{BC41E0A5-4240-4AC5-A691-2AA770B95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219076</xdr:colOff>
      <xdr:row>6</xdr:row>
      <xdr:rowOff>171450</xdr:rowOff>
    </xdr:from>
    <xdr:to>
      <xdr:col>16</xdr:col>
      <xdr:colOff>161926</xdr:colOff>
      <xdr:row>16</xdr:row>
      <xdr:rowOff>142875</xdr:rowOff>
    </xdr:to>
    <xdr:graphicFrame macro="">
      <xdr:nvGraphicFramePr>
        <xdr:cNvPr id="16" name="Chart 15">
          <a:extLst>
            <a:ext uri="{FF2B5EF4-FFF2-40B4-BE49-F238E27FC236}">
              <a16:creationId xmlns:a16="http://schemas.microsoft.com/office/drawing/2014/main" id="{559FB92E-12C7-4529-B6C2-6C782CCCF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476250</xdr:colOff>
      <xdr:row>1</xdr:row>
      <xdr:rowOff>57151</xdr:rowOff>
    </xdr:from>
    <xdr:to>
      <xdr:col>7</xdr:col>
      <xdr:colOff>59177</xdr:colOff>
      <xdr:row>3</xdr:row>
      <xdr:rowOff>1</xdr:rowOff>
    </xdr:to>
    <xdr:sp macro="" textlink="">
      <xdr:nvSpPr>
        <xdr:cNvPr id="20" name="TextBox 19">
          <a:hlinkClick xmlns:r="http://schemas.openxmlformats.org/officeDocument/2006/relationships" r:id="rId22"/>
          <a:extLst>
            <a:ext uri="{FF2B5EF4-FFF2-40B4-BE49-F238E27FC236}">
              <a16:creationId xmlns:a16="http://schemas.microsoft.com/office/drawing/2014/main" id="{D480B2ED-49A9-429D-9590-86E5540912AD}"/>
            </a:ext>
          </a:extLst>
        </xdr:cNvPr>
        <xdr:cNvSpPr txBox="1"/>
      </xdr:nvSpPr>
      <xdr:spPr>
        <a:xfrm>
          <a:off x="4162425" y="247651"/>
          <a:ext cx="954527"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9524</xdr:colOff>
      <xdr:row>10</xdr:row>
      <xdr:rowOff>19050</xdr:rowOff>
    </xdr:from>
    <xdr:to>
      <xdr:col>15</xdr:col>
      <xdr:colOff>857249</xdr:colOff>
      <xdr:row>32</xdr:row>
      <xdr:rowOff>38100</xdr:rowOff>
    </xdr:to>
    <xdr:graphicFrame macro="">
      <xdr:nvGraphicFramePr>
        <xdr:cNvPr id="2" name="Chart 1">
          <a:extLst>
            <a:ext uri="{FF2B5EF4-FFF2-40B4-BE49-F238E27FC236}">
              <a16:creationId xmlns:a16="http://schemas.microsoft.com/office/drawing/2014/main" id="{AF9BE819-4B5E-4E98-88F6-232A84C06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53</xdr:col>
      <xdr:colOff>179986</xdr:colOff>
      <xdr:row>4</xdr:row>
      <xdr:rowOff>0</xdr:rowOff>
    </xdr:to>
    <xdr:sp macro="" textlink="">
      <xdr:nvSpPr>
        <xdr:cNvPr id="104" name="Rectangle 103">
          <a:extLst>
            <a:ext uri="{FF2B5EF4-FFF2-40B4-BE49-F238E27FC236}">
              <a16:creationId xmlns:a16="http://schemas.microsoft.com/office/drawing/2014/main" id="{57657D92-280B-42FC-9A6A-1CE5D5EDB1DE}"/>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399447</xdr:colOff>
      <xdr:row>1</xdr:row>
      <xdr:rowOff>19879</xdr:rowOff>
    </xdr:from>
    <xdr:to>
      <xdr:col>12</xdr:col>
      <xdr:colOff>464590</xdr:colOff>
      <xdr:row>3</xdr:row>
      <xdr:rowOff>10354</xdr:rowOff>
    </xdr:to>
    <xdr:sp macro="" textlink="">
      <xdr:nvSpPr>
        <xdr:cNvPr id="105" name="TextBox 104">
          <a:hlinkClick xmlns:r="http://schemas.openxmlformats.org/officeDocument/2006/relationships" r:id="rId2"/>
          <a:extLst>
            <a:ext uri="{FF2B5EF4-FFF2-40B4-BE49-F238E27FC236}">
              <a16:creationId xmlns:a16="http://schemas.microsoft.com/office/drawing/2014/main" id="{4A8BC603-917C-4312-AD03-F70B39DB27C1}"/>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106" name="Picture 105">
          <a:extLst>
            <a:ext uri="{FF2B5EF4-FFF2-40B4-BE49-F238E27FC236}">
              <a16:creationId xmlns:a16="http://schemas.microsoft.com/office/drawing/2014/main" id="{9A92841C-F868-437E-A2FA-549C3053704E}"/>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1288277</xdr:colOff>
      <xdr:row>1</xdr:row>
      <xdr:rowOff>28201</xdr:rowOff>
    </xdr:from>
    <xdr:to>
      <xdr:col>1</xdr:col>
      <xdr:colOff>1288277</xdr:colOff>
      <xdr:row>2</xdr:row>
      <xdr:rowOff>138545</xdr:rowOff>
    </xdr:to>
    <xdr:cxnSp macro="">
      <xdr:nvCxnSpPr>
        <xdr:cNvPr id="108" name="Straight Connector 107">
          <a:extLst>
            <a:ext uri="{FF2B5EF4-FFF2-40B4-BE49-F238E27FC236}">
              <a16:creationId xmlns:a16="http://schemas.microsoft.com/office/drawing/2014/main" id="{7DDFA2BF-2E64-43FC-8B97-700F77477242}"/>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68000</xdr:colOff>
      <xdr:row>1</xdr:row>
      <xdr:rowOff>19879</xdr:rowOff>
    </xdr:from>
    <xdr:to>
      <xdr:col>5</xdr:col>
      <xdr:colOff>231952</xdr:colOff>
      <xdr:row>3</xdr:row>
      <xdr:rowOff>10354</xdr:rowOff>
    </xdr:to>
    <xdr:sp macro="" textlink="">
      <xdr:nvSpPr>
        <xdr:cNvPr id="109" name="TextBox 108">
          <a:hlinkClick xmlns:r="http://schemas.openxmlformats.org/officeDocument/2006/relationships" r:id="rId4"/>
          <a:extLst>
            <a:ext uri="{FF2B5EF4-FFF2-40B4-BE49-F238E27FC236}">
              <a16:creationId xmlns:a16="http://schemas.microsoft.com/office/drawing/2014/main" id="{EF79F394-B769-4EE4-A0F8-95BECC69126A}"/>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5</xdr:col>
      <xdr:colOff>134678</xdr:colOff>
      <xdr:row>1</xdr:row>
      <xdr:rowOff>19879</xdr:rowOff>
    </xdr:from>
    <xdr:to>
      <xdr:col>5</xdr:col>
      <xdr:colOff>1093101</xdr:colOff>
      <xdr:row>3</xdr:row>
      <xdr:rowOff>10354</xdr:rowOff>
    </xdr:to>
    <xdr:sp macro="" textlink="">
      <xdr:nvSpPr>
        <xdr:cNvPr id="110" name="TextBox 109">
          <a:hlinkClick xmlns:r="http://schemas.openxmlformats.org/officeDocument/2006/relationships" r:id="rId5"/>
          <a:extLst>
            <a:ext uri="{FF2B5EF4-FFF2-40B4-BE49-F238E27FC236}">
              <a16:creationId xmlns:a16="http://schemas.microsoft.com/office/drawing/2014/main" id="{EEA6EEE8-9D6F-48FC-9CC8-AED04F63E5C7}"/>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Key Info</a:t>
          </a:r>
        </a:p>
      </xdr:txBody>
    </xdr:sp>
    <xdr:clientData/>
  </xdr:twoCellAnchor>
  <xdr:twoCellAnchor>
    <xdr:from>
      <xdr:col>5</xdr:col>
      <xdr:colOff>995827</xdr:colOff>
      <xdr:row>1</xdr:row>
      <xdr:rowOff>19879</xdr:rowOff>
    </xdr:from>
    <xdr:to>
      <xdr:col>5</xdr:col>
      <xdr:colOff>1948191</xdr:colOff>
      <xdr:row>3</xdr:row>
      <xdr:rowOff>10354</xdr:rowOff>
    </xdr:to>
    <xdr:sp macro="" textlink="">
      <xdr:nvSpPr>
        <xdr:cNvPr id="111" name="TextBox 110">
          <a:hlinkClick xmlns:r="http://schemas.openxmlformats.org/officeDocument/2006/relationships" r:id="rId6"/>
          <a:extLst>
            <a:ext uri="{FF2B5EF4-FFF2-40B4-BE49-F238E27FC236}">
              <a16:creationId xmlns:a16="http://schemas.microsoft.com/office/drawing/2014/main" id="{0E53F67B-95C7-43B6-BA1C-6D84DC643ADB}"/>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5</xdr:col>
      <xdr:colOff>1850917</xdr:colOff>
      <xdr:row>1</xdr:row>
      <xdr:rowOff>19879</xdr:rowOff>
    </xdr:from>
    <xdr:to>
      <xdr:col>6</xdr:col>
      <xdr:colOff>856687</xdr:colOff>
      <xdr:row>3</xdr:row>
      <xdr:rowOff>10354</xdr:rowOff>
    </xdr:to>
    <xdr:sp macro="" textlink="">
      <xdr:nvSpPr>
        <xdr:cNvPr id="112" name="TextBox 111">
          <a:hlinkClick xmlns:r="http://schemas.openxmlformats.org/officeDocument/2006/relationships" r:id="rId7"/>
          <a:extLst>
            <a:ext uri="{FF2B5EF4-FFF2-40B4-BE49-F238E27FC236}">
              <a16:creationId xmlns:a16="http://schemas.microsoft.com/office/drawing/2014/main" id="{D1AF7B02-6F90-4486-965E-29B00DA4D736}"/>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6</xdr:col>
      <xdr:colOff>759413</xdr:colOff>
      <xdr:row>1</xdr:row>
      <xdr:rowOff>19879</xdr:rowOff>
    </xdr:from>
    <xdr:to>
      <xdr:col>7</xdr:col>
      <xdr:colOff>836064</xdr:colOff>
      <xdr:row>3</xdr:row>
      <xdr:rowOff>10354</xdr:rowOff>
    </xdr:to>
    <xdr:sp macro="" textlink="">
      <xdr:nvSpPr>
        <xdr:cNvPr id="113" name="TextBox 112">
          <a:hlinkClick xmlns:r="http://schemas.openxmlformats.org/officeDocument/2006/relationships" r:id="rId8"/>
          <a:extLst>
            <a:ext uri="{FF2B5EF4-FFF2-40B4-BE49-F238E27FC236}">
              <a16:creationId xmlns:a16="http://schemas.microsoft.com/office/drawing/2014/main" id="{A4AA8AE6-812C-49AD-9128-2B293C3C3949}"/>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7</xdr:col>
      <xdr:colOff>738790</xdr:colOff>
      <xdr:row>1</xdr:row>
      <xdr:rowOff>19879</xdr:rowOff>
    </xdr:from>
    <xdr:to>
      <xdr:col>9</xdr:col>
      <xdr:colOff>17795</xdr:colOff>
      <xdr:row>3</xdr:row>
      <xdr:rowOff>10354</xdr:rowOff>
    </xdr:to>
    <xdr:sp macro="" textlink="">
      <xdr:nvSpPr>
        <xdr:cNvPr id="114" name="TextBox 113">
          <a:hlinkClick xmlns:r="http://schemas.openxmlformats.org/officeDocument/2006/relationships" r:id="rId9"/>
          <a:extLst>
            <a:ext uri="{FF2B5EF4-FFF2-40B4-BE49-F238E27FC236}">
              <a16:creationId xmlns:a16="http://schemas.microsoft.com/office/drawing/2014/main" id="{8E379378-BC3A-4D0E-AEC3-3BC8AFE19645}"/>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8</xdr:col>
      <xdr:colOff>712777</xdr:colOff>
      <xdr:row>1</xdr:row>
      <xdr:rowOff>19879</xdr:rowOff>
    </xdr:from>
    <xdr:to>
      <xdr:col>9</xdr:col>
      <xdr:colOff>875927</xdr:colOff>
      <xdr:row>3</xdr:row>
      <xdr:rowOff>10354</xdr:rowOff>
    </xdr:to>
    <xdr:sp macro="" textlink="">
      <xdr:nvSpPr>
        <xdr:cNvPr id="115" name="TextBox 114">
          <a:hlinkClick xmlns:r="http://schemas.openxmlformats.org/officeDocument/2006/relationships" r:id="rId10"/>
          <a:extLst>
            <a:ext uri="{FF2B5EF4-FFF2-40B4-BE49-F238E27FC236}">
              <a16:creationId xmlns:a16="http://schemas.microsoft.com/office/drawing/2014/main" id="{FF61372D-A941-4732-8A1D-94E9F8CCFF72}"/>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9</xdr:col>
      <xdr:colOff>780334</xdr:colOff>
      <xdr:row>1</xdr:row>
      <xdr:rowOff>19879</xdr:rowOff>
    </xdr:from>
    <xdr:to>
      <xdr:col>9</xdr:col>
      <xdr:colOff>1736517</xdr:colOff>
      <xdr:row>3</xdr:row>
      <xdr:rowOff>10354</xdr:rowOff>
    </xdr:to>
    <xdr:sp macro="" textlink="">
      <xdr:nvSpPr>
        <xdr:cNvPr id="116" name="TextBox 115">
          <a:hlinkClick xmlns:r="http://schemas.openxmlformats.org/officeDocument/2006/relationships" r:id="rId11"/>
          <a:extLst>
            <a:ext uri="{FF2B5EF4-FFF2-40B4-BE49-F238E27FC236}">
              <a16:creationId xmlns:a16="http://schemas.microsoft.com/office/drawing/2014/main" id="{F9E6172B-11F8-470F-BC5E-F77BB82A5135}"/>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9</xdr:col>
      <xdr:colOff>1639243</xdr:colOff>
      <xdr:row>1</xdr:row>
      <xdr:rowOff>19879</xdr:rowOff>
    </xdr:from>
    <xdr:to>
      <xdr:col>10</xdr:col>
      <xdr:colOff>528854</xdr:colOff>
      <xdr:row>3</xdr:row>
      <xdr:rowOff>10354</xdr:rowOff>
    </xdr:to>
    <xdr:sp macro="" textlink="">
      <xdr:nvSpPr>
        <xdr:cNvPr id="117" name="TextBox 116">
          <a:hlinkClick xmlns:r="http://schemas.openxmlformats.org/officeDocument/2006/relationships" r:id="rId12"/>
          <a:extLst>
            <a:ext uri="{FF2B5EF4-FFF2-40B4-BE49-F238E27FC236}">
              <a16:creationId xmlns:a16="http://schemas.microsoft.com/office/drawing/2014/main" id="{B3E4E755-B2F5-4A70-A262-C456903CE5B8}"/>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10</xdr:col>
      <xdr:colOff>431580</xdr:colOff>
      <xdr:row>1</xdr:row>
      <xdr:rowOff>19879</xdr:rowOff>
    </xdr:from>
    <xdr:to>
      <xdr:col>11</xdr:col>
      <xdr:colOff>496721</xdr:colOff>
      <xdr:row>3</xdr:row>
      <xdr:rowOff>10354</xdr:rowOff>
    </xdr:to>
    <xdr:sp macro="" textlink="">
      <xdr:nvSpPr>
        <xdr:cNvPr id="118" name="TextBox 117">
          <a:hlinkClick xmlns:r="http://schemas.openxmlformats.org/officeDocument/2006/relationships" r:id="rId13"/>
          <a:extLst>
            <a:ext uri="{FF2B5EF4-FFF2-40B4-BE49-F238E27FC236}">
              <a16:creationId xmlns:a16="http://schemas.microsoft.com/office/drawing/2014/main" id="{2410C130-803E-447E-972A-FCA149336E75}"/>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12</xdr:col>
      <xdr:colOff>367316</xdr:colOff>
      <xdr:row>1</xdr:row>
      <xdr:rowOff>19879</xdr:rowOff>
    </xdr:from>
    <xdr:to>
      <xdr:col>13</xdr:col>
      <xdr:colOff>530882</xdr:colOff>
      <xdr:row>3</xdr:row>
      <xdr:rowOff>10354</xdr:rowOff>
    </xdr:to>
    <xdr:sp macro="" textlink="">
      <xdr:nvSpPr>
        <xdr:cNvPr id="119" name="TextBox 118">
          <a:hlinkClick xmlns:r="http://schemas.openxmlformats.org/officeDocument/2006/relationships" r:id="rId14"/>
          <a:extLst>
            <a:ext uri="{FF2B5EF4-FFF2-40B4-BE49-F238E27FC236}">
              <a16:creationId xmlns:a16="http://schemas.microsoft.com/office/drawing/2014/main" id="{1DD2C0F1-50AB-45BB-BF1E-F7B516207F14}"/>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13</xdr:col>
      <xdr:colOff>433608</xdr:colOff>
      <xdr:row>1</xdr:row>
      <xdr:rowOff>19879</xdr:rowOff>
    </xdr:from>
    <xdr:to>
      <xdr:col>13</xdr:col>
      <xdr:colOff>1390761</xdr:colOff>
      <xdr:row>3</xdr:row>
      <xdr:rowOff>10354</xdr:rowOff>
    </xdr:to>
    <xdr:sp macro="" textlink="">
      <xdr:nvSpPr>
        <xdr:cNvPr id="120" name="TextBox 119">
          <a:hlinkClick xmlns:r="http://schemas.openxmlformats.org/officeDocument/2006/relationships" r:id="rId15"/>
          <a:extLst>
            <a:ext uri="{FF2B5EF4-FFF2-40B4-BE49-F238E27FC236}">
              <a16:creationId xmlns:a16="http://schemas.microsoft.com/office/drawing/2014/main" id="{6DD29426-1DAB-41E6-B5F4-551151E5CC47}"/>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13</xdr:col>
      <xdr:colOff>1293487</xdr:colOff>
      <xdr:row>1</xdr:row>
      <xdr:rowOff>19879</xdr:rowOff>
    </xdr:from>
    <xdr:to>
      <xdr:col>14</xdr:col>
      <xdr:colOff>296357</xdr:colOff>
      <xdr:row>3</xdr:row>
      <xdr:rowOff>10354</xdr:rowOff>
    </xdr:to>
    <xdr:sp macro="" textlink="">
      <xdr:nvSpPr>
        <xdr:cNvPr id="121" name="TextBox 120">
          <a:hlinkClick xmlns:r="http://schemas.openxmlformats.org/officeDocument/2006/relationships" r:id="rId16"/>
          <a:extLst>
            <a:ext uri="{FF2B5EF4-FFF2-40B4-BE49-F238E27FC236}">
              <a16:creationId xmlns:a16="http://schemas.microsoft.com/office/drawing/2014/main" id="{1405F4E3-8C88-4340-97DF-CC3D9DE990B3}"/>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14</xdr:col>
      <xdr:colOff>199083</xdr:colOff>
      <xdr:row>1</xdr:row>
      <xdr:rowOff>19879</xdr:rowOff>
    </xdr:from>
    <xdr:to>
      <xdr:col>15</xdr:col>
      <xdr:colOff>272450</xdr:colOff>
      <xdr:row>3</xdr:row>
      <xdr:rowOff>10354</xdr:rowOff>
    </xdr:to>
    <xdr:sp macro="" textlink="">
      <xdr:nvSpPr>
        <xdr:cNvPr id="122" name="TextBox 121">
          <a:hlinkClick xmlns:r="http://schemas.openxmlformats.org/officeDocument/2006/relationships" r:id="rId17"/>
          <a:extLst>
            <a:ext uri="{FF2B5EF4-FFF2-40B4-BE49-F238E27FC236}">
              <a16:creationId xmlns:a16="http://schemas.microsoft.com/office/drawing/2014/main" id="{6B491D50-0166-49DA-856F-2684C304AA9B}"/>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15</xdr:col>
      <xdr:colOff>175187</xdr:colOff>
      <xdr:row>1</xdr:row>
      <xdr:rowOff>19879</xdr:rowOff>
    </xdr:from>
    <xdr:to>
      <xdr:col>16</xdr:col>
      <xdr:colOff>246127</xdr:colOff>
      <xdr:row>3</xdr:row>
      <xdr:rowOff>10354</xdr:rowOff>
    </xdr:to>
    <xdr:sp macro="" textlink="">
      <xdr:nvSpPr>
        <xdr:cNvPr id="123" name="TextBox 122">
          <a:hlinkClick xmlns:r="http://schemas.openxmlformats.org/officeDocument/2006/relationships" r:id="rId18"/>
          <a:extLst>
            <a:ext uri="{FF2B5EF4-FFF2-40B4-BE49-F238E27FC236}">
              <a16:creationId xmlns:a16="http://schemas.microsoft.com/office/drawing/2014/main" id="{A080EC05-88CA-4C54-921B-0ABFA2109920}"/>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5</xdr:col>
      <xdr:colOff>1899554</xdr:colOff>
      <xdr:row>1</xdr:row>
      <xdr:rowOff>103586</xdr:rowOff>
    </xdr:from>
    <xdr:to>
      <xdr:col>5</xdr:col>
      <xdr:colOff>1899554</xdr:colOff>
      <xdr:row>2</xdr:row>
      <xdr:rowOff>117146</xdr:rowOff>
    </xdr:to>
    <xdr:cxnSp macro="">
      <xdr:nvCxnSpPr>
        <xdr:cNvPr id="124" name="Straight Connector 123">
          <a:extLst>
            <a:ext uri="{FF2B5EF4-FFF2-40B4-BE49-F238E27FC236}">
              <a16:creationId xmlns:a16="http://schemas.microsoft.com/office/drawing/2014/main" id="{178D3161-2D13-4BE6-9CC2-929C9102E8E4}"/>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1044464</xdr:colOff>
      <xdr:row>1</xdr:row>
      <xdr:rowOff>103586</xdr:rowOff>
    </xdr:from>
    <xdr:to>
      <xdr:col>5</xdr:col>
      <xdr:colOff>1044464</xdr:colOff>
      <xdr:row>2</xdr:row>
      <xdr:rowOff>117146</xdr:rowOff>
    </xdr:to>
    <xdr:cxnSp macro="">
      <xdr:nvCxnSpPr>
        <xdr:cNvPr id="125" name="Straight Connector 124">
          <a:extLst>
            <a:ext uri="{FF2B5EF4-FFF2-40B4-BE49-F238E27FC236}">
              <a16:creationId xmlns:a16="http://schemas.microsoft.com/office/drawing/2014/main" id="{B37800A8-30A6-4461-81D0-37EF3A8F2B56}"/>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183315</xdr:colOff>
      <xdr:row>1</xdr:row>
      <xdr:rowOff>103586</xdr:rowOff>
    </xdr:from>
    <xdr:to>
      <xdr:col>5</xdr:col>
      <xdr:colOff>183315</xdr:colOff>
      <xdr:row>2</xdr:row>
      <xdr:rowOff>117146</xdr:rowOff>
    </xdr:to>
    <xdr:cxnSp macro="">
      <xdr:nvCxnSpPr>
        <xdr:cNvPr id="126" name="Straight Connector 125">
          <a:extLst>
            <a:ext uri="{FF2B5EF4-FFF2-40B4-BE49-F238E27FC236}">
              <a16:creationId xmlns:a16="http://schemas.microsoft.com/office/drawing/2014/main" id="{F0F22154-9F04-4EFF-8F4F-556147166BE8}"/>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808050</xdr:colOff>
      <xdr:row>1</xdr:row>
      <xdr:rowOff>103586</xdr:rowOff>
    </xdr:from>
    <xdr:to>
      <xdr:col>6</xdr:col>
      <xdr:colOff>808050</xdr:colOff>
      <xdr:row>2</xdr:row>
      <xdr:rowOff>117146</xdr:rowOff>
    </xdr:to>
    <xdr:cxnSp macro="">
      <xdr:nvCxnSpPr>
        <xdr:cNvPr id="127" name="Straight Connector 126">
          <a:extLst>
            <a:ext uri="{FF2B5EF4-FFF2-40B4-BE49-F238E27FC236}">
              <a16:creationId xmlns:a16="http://schemas.microsoft.com/office/drawing/2014/main" id="{0E70E96E-3228-4355-BA9E-35C26000DF3A}"/>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787427</xdr:colOff>
      <xdr:row>1</xdr:row>
      <xdr:rowOff>103586</xdr:rowOff>
    </xdr:from>
    <xdr:to>
      <xdr:col>7</xdr:col>
      <xdr:colOff>787427</xdr:colOff>
      <xdr:row>2</xdr:row>
      <xdr:rowOff>117146</xdr:rowOff>
    </xdr:to>
    <xdr:cxnSp macro="">
      <xdr:nvCxnSpPr>
        <xdr:cNvPr id="128" name="Straight Connector 127">
          <a:extLst>
            <a:ext uri="{FF2B5EF4-FFF2-40B4-BE49-F238E27FC236}">
              <a16:creationId xmlns:a16="http://schemas.microsoft.com/office/drawing/2014/main" id="{AB148233-6296-4C69-8496-38A2C158D56B}"/>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759733</xdr:colOff>
      <xdr:row>1</xdr:row>
      <xdr:rowOff>103586</xdr:rowOff>
    </xdr:from>
    <xdr:to>
      <xdr:col>8</xdr:col>
      <xdr:colOff>759733</xdr:colOff>
      <xdr:row>2</xdr:row>
      <xdr:rowOff>117146</xdr:rowOff>
    </xdr:to>
    <xdr:cxnSp macro="">
      <xdr:nvCxnSpPr>
        <xdr:cNvPr id="129" name="Straight Connector 128">
          <a:extLst>
            <a:ext uri="{FF2B5EF4-FFF2-40B4-BE49-F238E27FC236}">
              <a16:creationId xmlns:a16="http://schemas.microsoft.com/office/drawing/2014/main" id="{1199F015-6466-486D-B41F-18DC548827C7}"/>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828971</xdr:colOff>
      <xdr:row>1</xdr:row>
      <xdr:rowOff>103586</xdr:rowOff>
    </xdr:from>
    <xdr:to>
      <xdr:col>9</xdr:col>
      <xdr:colOff>828971</xdr:colOff>
      <xdr:row>2</xdr:row>
      <xdr:rowOff>117146</xdr:rowOff>
    </xdr:to>
    <xdr:cxnSp macro="">
      <xdr:nvCxnSpPr>
        <xdr:cNvPr id="130" name="Straight Connector 129">
          <a:extLst>
            <a:ext uri="{FF2B5EF4-FFF2-40B4-BE49-F238E27FC236}">
              <a16:creationId xmlns:a16="http://schemas.microsoft.com/office/drawing/2014/main" id="{8AB06CE8-9682-4789-9E58-135F9346D728}"/>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1687880</xdr:colOff>
      <xdr:row>1</xdr:row>
      <xdr:rowOff>103586</xdr:rowOff>
    </xdr:from>
    <xdr:to>
      <xdr:col>9</xdr:col>
      <xdr:colOff>1687880</xdr:colOff>
      <xdr:row>2</xdr:row>
      <xdr:rowOff>117146</xdr:rowOff>
    </xdr:to>
    <xdr:cxnSp macro="">
      <xdr:nvCxnSpPr>
        <xdr:cNvPr id="131" name="Straight Connector 130">
          <a:extLst>
            <a:ext uri="{FF2B5EF4-FFF2-40B4-BE49-F238E27FC236}">
              <a16:creationId xmlns:a16="http://schemas.microsoft.com/office/drawing/2014/main" id="{C535A05C-6995-4110-8F14-DD7FB6C055ED}"/>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480217</xdr:colOff>
      <xdr:row>1</xdr:row>
      <xdr:rowOff>103586</xdr:rowOff>
    </xdr:from>
    <xdr:to>
      <xdr:col>10</xdr:col>
      <xdr:colOff>480217</xdr:colOff>
      <xdr:row>2</xdr:row>
      <xdr:rowOff>117146</xdr:rowOff>
    </xdr:to>
    <xdr:cxnSp macro="">
      <xdr:nvCxnSpPr>
        <xdr:cNvPr id="132" name="Straight Connector 131">
          <a:extLst>
            <a:ext uri="{FF2B5EF4-FFF2-40B4-BE49-F238E27FC236}">
              <a16:creationId xmlns:a16="http://schemas.microsoft.com/office/drawing/2014/main" id="{02BAB117-69AE-417B-BB28-AB3D3675DB7A}"/>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415953</xdr:colOff>
      <xdr:row>1</xdr:row>
      <xdr:rowOff>103586</xdr:rowOff>
    </xdr:from>
    <xdr:to>
      <xdr:col>12</xdr:col>
      <xdr:colOff>415953</xdr:colOff>
      <xdr:row>2</xdr:row>
      <xdr:rowOff>117146</xdr:rowOff>
    </xdr:to>
    <xdr:cxnSp macro="">
      <xdr:nvCxnSpPr>
        <xdr:cNvPr id="133" name="Straight Connector 132">
          <a:extLst>
            <a:ext uri="{FF2B5EF4-FFF2-40B4-BE49-F238E27FC236}">
              <a16:creationId xmlns:a16="http://schemas.microsoft.com/office/drawing/2014/main" id="{22ABD81A-6A8B-469C-8BDB-E310C6EEAA1B}"/>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482245</xdr:colOff>
      <xdr:row>1</xdr:row>
      <xdr:rowOff>103586</xdr:rowOff>
    </xdr:from>
    <xdr:to>
      <xdr:col>13</xdr:col>
      <xdr:colOff>482245</xdr:colOff>
      <xdr:row>2</xdr:row>
      <xdr:rowOff>117146</xdr:rowOff>
    </xdr:to>
    <xdr:cxnSp macro="">
      <xdr:nvCxnSpPr>
        <xdr:cNvPr id="134" name="Straight Connector 133">
          <a:extLst>
            <a:ext uri="{FF2B5EF4-FFF2-40B4-BE49-F238E27FC236}">
              <a16:creationId xmlns:a16="http://schemas.microsoft.com/office/drawing/2014/main" id="{6756448A-2C8C-432A-92A6-83363C333188}"/>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1342124</xdr:colOff>
      <xdr:row>1</xdr:row>
      <xdr:rowOff>103586</xdr:rowOff>
    </xdr:from>
    <xdr:to>
      <xdr:col>13</xdr:col>
      <xdr:colOff>1342124</xdr:colOff>
      <xdr:row>2</xdr:row>
      <xdr:rowOff>117146</xdr:rowOff>
    </xdr:to>
    <xdr:cxnSp macro="">
      <xdr:nvCxnSpPr>
        <xdr:cNvPr id="135" name="Straight Connector 134">
          <a:extLst>
            <a:ext uri="{FF2B5EF4-FFF2-40B4-BE49-F238E27FC236}">
              <a16:creationId xmlns:a16="http://schemas.microsoft.com/office/drawing/2014/main" id="{BEF46C0D-94AD-4D21-8973-7B01D9B7D8CA}"/>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247720</xdr:colOff>
      <xdr:row>1</xdr:row>
      <xdr:rowOff>103586</xdr:rowOff>
    </xdr:from>
    <xdr:to>
      <xdr:col>14</xdr:col>
      <xdr:colOff>247720</xdr:colOff>
      <xdr:row>2</xdr:row>
      <xdr:rowOff>117146</xdr:rowOff>
    </xdr:to>
    <xdr:cxnSp macro="">
      <xdr:nvCxnSpPr>
        <xdr:cNvPr id="136" name="Straight Connector 135">
          <a:extLst>
            <a:ext uri="{FF2B5EF4-FFF2-40B4-BE49-F238E27FC236}">
              <a16:creationId xmlns:a16="http://schemas.microsoft.com/office/drawing/2014/main" id="{99234C09-F0DD-4BC9-9719-39BDC27953B5}"/>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223813</xdr:colOff>
      <xdr:row>1</xdr:row>
      <xdr:rowOff>103586</xdr:rowOff>
    </xdr:from>
    <xdr:to>
      <xdr:col>15</xdr:col>
      <xdr:colOff>223813</xdr:colOff>
      <xdr:row>2</xdr:row>
      <xdr:rowOff>117146</xdr:rowOff>
    </xdr:to>
    <xdr:cxnSp macro="">
      <xdr:nvCxnSpPr>
        <xdr:cNvPr id="137" name="Straight Connector 136">
          <a:extLst>
            <a:ext uri="{FF2B5EF4-FFF2-40B4-BE49-F238E27FC236}">
              <a16:creationId xmlns:a16="http://schemas.microsoft.com/office/drawing/2014/main" id="{F07FA4A6-2BEB-4CF1-B875-68D7A65B32C6}"/>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448084</xdr:colOff>
      <xdr:row>1</xdr:row>
      <xdr:rowOff>103586</xdr:rowOff>
    </xdr:from>
    <xdr:to>
      <xdr:col>11</xdr:col>
      <xdr:colOff>448084</xdr:colOff>
      <xdr:row>2</xdr:row>
      <xdr:rowOff>117146</xdr:rowOff>
    </xdr:to>
    <xdr:cxnSp macro="">
      <xdr:nvCxnSpPr>
        <xdr:cNvPr id="138" name="Straight Connector 137">
          <a:extLst>
            <a:ext uri="{FF2B5EF4-FFF2-40B4-BE49-F238E27FC236}">
              <a16:creationId xmlns:a16="http://schemas.microsoft.com/office/drawing/2014/main" id="{80CAE925-3ADF-41E9-88C2-FB6774223B50}"/>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742950</xdr:colOff>
      <xdr:row>26</xdr:row>
      <xdr:rowOff>9525</xdr:rowOff>
    </xdr:from>
    <xdr:to>
      <xdr:col>19</xdr:col>
      <xdr:colOff>200025</xdr:colOff>
      <xdr:row>29</xdr:row>
      <xdr:rowOff>704850</xdr:rowOff>
    </xdr:to>
    <xdr:graphicFrame macro="">
      <xdr:nvGraphicFramePr>
        <xdr:cNvPr id="2"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91106</xdr:colOff>
      <xdr:row>8</xdr:row>
      <xdr:rowOff>149678</xdr:rowOff>
    </xdr:from>
    <xdr:to>
      <xdr:col>19</xdr:col>
      <xdr:colOff>24847</xdr:colOff>
      <xdr:row>22</xdr:row>
      <xdr:rowOff>8283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47</xdr:col>
      <xdr:colOff>656236</xdr:colOff>
      <xdr:row>4</xdr:row>
      <xdr:rowOff>0</xdr:rowOff>
    </xdr:to>
    <xdr:sp macro="" textlink="">
      <xdr:nvSpPr>
        <xdr:cNvPr id="71" name="Rectangle 70">
          <a:extLst>
            <a:ext uri="{FF2B5EF4-FFF2-40B4-BE49-F238E27FC236}">
              <a16:creationId xmlns:a16="http://schemas.microsoft.com/office/drawing/2014/main" id="{E1241B6F-0751-418E-B9A7-5E207E3086E0}"/>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342297</xdr:colOff>
      <xdr:row>1</xdr:row>
      <xdr:rowOff>19879</xdr:rowOff>
    </xdr:from>
    <xdr:to>
      <xdr:col>14</xdr:col>
      <xdr:colOff>283615</xdr:colOff>
      <xdr:row>3</xdr:row>
      <xdr:rowOff>10354</xdr:rowOff>
    </xdr:to>
    <xdr:sp macro="" textlink="">
      <xdr:nvSpPr>
        <xdr:cNvPr id="72" name="TextBox 71">
          <a:hlinkClick xmlns:r="http://schemas.openxmlformats.org/officeDocument/2006/relationships" r:id="rId3"/>
          <a:extLst>
            <a:ext uri="{FF2B5EF4-FFF2-40B4-BE49-F238E27FC236}">
              <a16:creationId xmlns:a16="http://schemas.microsoft.com/office/drawing/2014/main" id="{55262863-9450-4F06-9D8D-4B0DB13D2C04}"/>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73" name="Picture 72">
          <a:extLst>
            <a:ext uri="{FF2B5EF4-FFF2-40B4-BE49-F238E27FC236}">
              <a16:creationId xmlns:a16="http://schemas.microsoft.com/office/drawing/2014/main" id="{ACDA3FA9-90A8-4F4D-B2B7-9F642B9D77E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1288277</xdr:colOff>
      <xdr:row>1</xdr:row>
      <xdr:rowOff>28201</xdr:rowOff>
    </xdr:from>
    <xdr:to>
      <xdr:col>1</xdr:col>
      <xdr:colOff>1288277</xdr:colOff>
      <xdr:row>2</xdr:row>
      <xdr:rowOff>138545</xdr:rowOff>
    </xdr:to>
    <xdr:cxnSp macro="">
      <xdr:nvCxnSpPr>
        <xdr:cNvPr id="75" name="Straight Connector 74">
          <a:extLst>
            <a:ext uri="{FF2B5EF4-FFF2-40B4-BE49-F238E27FC236}">
              <a16:creationId xmlns:a16="http://schemas.microsoft.com/office/drawing/2014/main" id="{F3BC02EC-DB37-4C51-82C7-6785274B6873}"/>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220400</xdr:colOff>
      <xdr:row>1</xdr:row>
      <xdr:rowOff>19879</xdr:rowOff>
    </xdr:from>
    <xdr:to>
      <xdr:col>4</xdr:col>
      <xdr:colOff>12877</xdr:colOff>
      <xdr:row>3</xdr:row>
      <xdr:rowOff>10354</xdr:rowOff>
    </xdr:to>
    <xdr:sp macro="" textlink="">
      <xdr:nvSpPr>
        <xdr:cNvPr id="76" name="TextBox 75">
          <a:hlinkClick xmlns:r="http://schemas.openxmlformats.org/officeDocument/2006/relationships" r:id="rId5"/>
          <a:extLst>
            <a:ext uri="{FF2B5EF4-FFF2-40B4-BE49-F238E27FC236}">
              <a16:creationId xmlns:a16="http://schemas.microsoft.com/office/drawing/2014/main" id="{FA40318F-8EA5-4266-B37B-1326E6082E23}"/>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801428</xdr:colOff>
      <xdr:row>1</xdr:row>
      <xdr:rowOff>19879</xdr:rowOff>
    </xdr:from>
    <xdr:to>
      <xdr:col>4</xdr:col>
      <xdr:colOff>874026</xdr:colOff>
      <xdr:row>3</xdr:row>
      <xdr:rowOff>10354</xdr:rowOff>
    </xdr:to>
    <xdr:sp macro="" textlink="">
      <xdr:nvSpPr>
        <xdr:cNvPr id="77" name="TextBox 76">
          <a:hlinkClick xmlns:r="http://schemas.openxmlformats.org/officeDocument/2006/relationships" r:id="rId6"/>
          <a:extLst>
            <a:ext uri="{FF2B5EF4-FFF2-40B4-BE49-F238E27FC236}">
              <a16:creationId xmlns:a16="http://schemas.microsoft.com/office/drawing/2014/main" id="{27AEB8EA-3296-45A7-914E-71C82E317845}"/>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776752</xdr:colOff>
      <xdr:row>1</xdr:row>
      <xdr:rowOff>19879</xdr:rowOff>
    </xdr:from>
    <xdr:to>
      <xdr:col>5</xdr:col>
      <xdr:colOff>843291</xdr:colOff>
      <xdr:row>3</xdr:row>
      <xdr:rowOff>10354</xdr:rowOff>
    </xdr:to>
    <xdr:sp macro="" textlink="">
      <xdr:nvSpPr>
        <xdr:cNvPr id="78" name="TextBox 77">
          <a:hlinkClick xmlns:r="http://schemas.openxmlformats.org/officeDocument/2006/relationships" r:id="rId7"/>
          <a:extLst>
            <a:ext uri="{FF2B5EF4-FFF2-40B4-BE49-F238E27FC236}">
              <a16:creationId xmlns:a16="http://schemas.microsoft.com/office/drawing/2014/main" id="{6FBD5DF9-A775-4A19-A0FC-DAFEC5AD4615}"/>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Industry</a:t>
          </a:r>
        </a:p>
      </xdr:txBody>
    </xdr:sp>
    <xdr:clientData/>
  </xdr:twoCellAnchor>
  <xdr:twoCellAnchor>
    <xdr:from>
      <xdr:col>5</xdr:col>
      <xdr:colOff>746017</xdr:colOff>
      <xdr:row>1</xdr:row>
      <xdr:rowOff>19879</xdr:rowOff>
    </xdr:from>
    <xdr:to>
      <xdr:col>6</xdr:col>
      <xdr:colOff>818587</xdr:colOff>
      <xdr:row>3</xdr:row>
      <xdr:rowOff>10354</xdr:rowOff>
    </xdr:to>
    <xdr:sp macro="" textlink="">
      <xdr:nvSpPr>
        <xdr:cNvPr id="79" name="TextBox 78">
          <a:hlinkClick xmlns:r="http://schemas.openxmlformats.org/officeDocument/2006/relationships" r:id="rId8"/>
          <a:extLst>
            <a:ext uri="{FF2B5EF4-FFF2-40B4-BE49-F238E27FC236}">
              <a16:creationId xmlns:a16="http://schemas.microsoft.com/office/drawing/2014/main" id="{2B667BDB-86AE-430E-9A58-F982FE6EFB57}"/>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6</xdr:col>
      <xdr:colOff>721313</xdr:colOff>
      <xdr:row>1</xdr:row>
      <xdr:rowOff>19879</xdr:rowOff>
    </xdr:from>
    <xdr:to>
      <xdr:col>7</xdr:col>
      <xdr:colOff>797964</xdr:colOff>
      <xdr:row>3</xdr:row>
      <xdr:rowOff>10354</xdr:rowOff>
    </xdr:to>
    <xdr:sp macro="" textlink="">
      <xdr:nvSpPr>
        <xdr:cNvPr id="80" name="TextBox 79">
          <a:hlinkClick xmlns:r="http://schemas.openxmlformats.org/officeDocument/2006/relationships" r:id="rId9"/>
          <a:extLst>
            <a:ext uri="{FF2B5EF4-FFF2-40B4-BE49-F238E27FC236}">
              <a16:creationId xmlns:a16="http://schemas.microsoft.com/office/drawing/2014/main" id="{39078D2E-A3E2-4FEC-AE0B-7DC8830EBA7D}"/>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7</xdr:col>
      <xdr:colOff>700690</xdr:colOff>
      <xdr:row>1</xdr:row>
      <xdr:rowOff>19879</xdr:rowOff>
    </xdr:from>
    <xdr:to>
      <xdr:col>8</xdr:col>
      <xdr:colOff>770270</xdr:colOff>
      <xdr:row>3</xdr:row>
      <xdr:rowOff>10354</xdr:rowOff>
    </xdr:to>
    <xdr:sp macro="" textlink="">
      <xdr:nvSpPr>
        <xdr:cNvPr id="81" name="TextBox 80">
          <a:hlinkClick xmlns:r="http://schemas.openxmlformats.org/officeDocument/2006/relationships" r:id="rId10"/>
          <a:extLst>
            <a:ext uri="{FF2B5EF4-FFF2-40B4-BE49-F238E27FC236}">
              <a16:creationId xmlns:a16="http://schemas.microsoft.com/office/drawing/2014/main" id="{AAB4944E-4E73-411F-B4A5-756BC5D2C033}"/>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8</xdr:col>
      <xdr:colOff>674677</xdr:colOff>
      <xdr:row>1</xdr:row>
      <xdr:rowOff>19879</xdr:rowOff>
    </xdr:from>
    <xdr:to>
      <xdr:col>9</xdr:col>
      <xdr:colOff>742577</xdr:colOff>
      <xdr:row>3</xdr:row>
      <xdr:rowOff>10354</xdr:rowOff>
    </xdr:to>
    <xdr:sp macro="" textlink="">
      <xdr:nvSpPr>
        <xdr:cNvPr id="82" name="TextBox 81">
          <a:hlinkClick xmlns:r="http://schemas.openxmlformats.org/officeDocument/2006/relationships" r:id="rId11"/>
          <a:extLst>
            <a:ext uri="{FF2B5EF4-FFF2-40B4-BE49-F238E27FC236}">
              <a16:creationId xmlns:a16="http://schemas.microsoft.com/office/drawing/2014/main" id="{00378AD7-200D-4823-9A3D-4E9F6BF21DF7}"/>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9</xdr:col>
      <xdr:colOff>646984</xdr:colOff>
      <xdr:row>1</xdr:row>
      <xdr:rowOff>19879</xdr:rowOff>
    </xdr:from>
    <xdr:to>
      <xdr:col>10</xdr:col>
      <xdr:colOff>717342</xdr:colOff>
      <xdr:row>3</xdr:row>
      <xdr:rowOff>10354</xdr:rowOff>
    </xdr:to>
    <xdr:sp macro="" textlink="">
      <xdr:nvSpPr>
        <xdr:cNvPr id="83" name="TextBox 82">
          <a:hlinkClick xmlns:r="http://schemas.openxmlformats.org/officeDocument/2006/relationships" r:id="rId12"/>
          <a:extLst>
            <a:ext uri="{FF2B5EF4-FFF2-40B4-BE49-F238E27FC236}">
              <a16:creationId xmlns:a16="http://schemas.microsoft.com/office/drawing/2014/main" id="{13CD9F07-E5CF-48F6-9184-836859EBEB33}"/>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10</xdr:col>
      <xdr:colOff>620068</xdr:colOff>
      <xdr:row>1</xdr:row>
      <xdr:rowOff>19879</xdr:rowOff>
    </xdr:from>
    <xdr:to>
      <xdr:col>11</xdr:col>
      <xdr:colOff>690779</xdr:colOff>
      <xdr:row>3</xdr:row>
      <xdr:rowOff>10354</xdr:rowOff>
    </xdr:to>
    <xdr:sp macro="" textlink="">
      <xdr:nvSpPr>
        <xdr:cNvPr id="84" name="TextBox 83">
          <a:hlinkClick xmlns:r="http://schemas.openxmlformats.org/officeDocument/2006/relationships" r:id="rId13"/>
          <a:extLst>
            <a:ext uri="{FF2B5EF4-FFF2-40B4-BE49-F238E27FC236}">
              <a16:creationId xmlns:a16="http://schemas.microsoft.com/office/drawing/2014/main" id="{16D3EF2D-005E-4FA5-A0B1-2E3B767C866B}"/>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11</xdr:col>
      <xdr:colOff>593505</xdr:colOff>
      <xdr:row>1</xdr:row>
      <xdr:rowOff>19879</xdr:rowOff>
    </xdr:from>
    <xdr:to>
      <xdr:col>12</xdr:col>
      <xdr:colOff>439571</xdr:colOff>
      <xdr:row>3</xdr:row>
      <xdr:rowOff>10354</xdr:rowOff>
    </xdr:to>
    <xdr:sp macro="" textlink="">
      <xdr:nvSpPr>
        <xdr:cNvPr id="85" name="TextBox 84">
          <a:hlinkClick xmlns:r="http://schemas.openxmlformats.org/officeDocument/2006/relationships" r:id="rId14"/>
          <a:extLst>
            <a:ext uri="{FF2B5EF4-FFF2-40B4-BE49-F238E27FC236}">
              <a16:creationId xmlns:a16="http://schemas.microsoft.com/office/drawing/2014/main" id="{DCD746F1-AEED-4DDC-9DB6-0F72F9371081}"/>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14</xdr:col>
      <xdr:colOff>186341</xdr:colOff>
      <xdr:row>1</xdr:row>
      <xdr:rowOff>19879</xdr:rowOff>
    </xdr:from>
    <xdr:to>
      <xdr:col>15</xdr:col>
      <xdr:colOff>254657</xdr:colOff>
      <xdr:row>3</xdr:row>
      <xdr:rowOff>10354</xdr:rowOff>
    </xdr:to>
    <xdr:sp macro="" textlink="">
      <xdr:nvSpPr>
        <xdr:cNvPr id="86" name="TextBox 85">
          <a:hlinkClick xmlns:r="http://schemas.openxmlformats.org/officeDocument/2006/relationships" r:id="rId15"/>
          <a:extLst>
            <a:ext uri="{FF2B5EF4-FFF2-40B4-BE49-F238E27FC236}">
              <a16:creationId xmlns:a16="http://schemas.microsoft.com/office/drawing/2014/main" id="{76A0016A-2D25-4BD4-ACF6-54E67BCCE604}"/>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15</xdr:col>
      <xdr:colOff>157383</xdr:colOff>
      <xdr:row>1</xdr:row>
      <xdr:rowOff>19879</xdr:rowOff>
    </xdr:from>
    <xdr:to>
      <xdr:col>16</xdr:col>
      <xdr:colOff>228711</xdr:colOff>
      <xdr:row>3</xdr:row>
      <xdr:rowOff>10354</xdr:rowOff>
    </xdr:to>
    <xdr:sp macro="" textlink="">
      <xdr:nvSpPr>
        <xdr:cNvPr id="87" name="TextBox 86">
          <a:hlinkClick xmlns:r="http://schemas.openxmlformats.org/officeDocument/2006/relationships" r:id="rId16"/>
          <a:extLst>
            <a:ext uri="{FF2B5EF4-FFF2-40B4-BE49-F238E27FC236}">
              <a16:creationId xmlns:a16="http://schemas.microsoft.com/office/drawing/2014/main" id="{562F5849-25BB-460A-9044-01A4A2CCD46D}"/>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16</xdr:col>
      <xdr:colOff>131437</xdr:colOff>
      <xdr:row>1</xdr:row>
      <xdr:rowOff>19879</xdr:rowOff>
    </xdr:from>
    <xdr:to>
      <xdr:col>17</xdr:col>
      <xdr:colOff>201107</xdr:colOff>
      <xdr:row>3</xdr:row>
      <xdr:rowOff>10354</xdr:rowOff>
    </xdr:to>
    <xdr:sp macro="" textlink="">
      <xdr:nvSpPr>
        <xdr:cNvPr id="88" name="TextBox 87">
          <a:hlinkClick xmlns:r="http://schemas.openxmlformats.org/officeDocument/2006/relationships" r:id="rId17"/>
          <a:extLst>
            <a:ext uri="{FF2B5EF4-FFF2-40B4-BE49-F238E27FC236}">
              <a16:creationId xmlns:a16="http://schemas.microsoft.com/office/drawing/2014/main" id="{C8CECC5E-129C-4B2F-B332-34F7BE435F03}"/>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17</xdr:col>
      <xdr:colOff>103833</xdr:colOff>
      <xdr:row>1</xdr:row>
      <xdr:rowOff>19879</xdr:rowOff>
    </xdr:from>
    <xdr:to>
      <xdr:col>18</xdr:col>
      <xdr:colOff>177200</xdr:colOff>
      <xdr:row>3</xdr:row>
      <xdr:rowOff>10354</xdr:rowOff>
    </xdr:to>
    <xdr:sp macro="" textlink="">
      <xdr:nvSpPr>
        <xdr:cNvPr id="89" name="TextBox 88">
          <a:hlinkClick xmlns:r="http://schemas.openxmlformats.org/officeDocument/2006/relationships" r:id="rId18"/>
          <a:extLst>
            <a:ext uri="{FF2B5EF4-FFF2-40B4-BE49-F238E27FC236}">
              <a16:creationId xmlns:a16="http://schemas.microsoft.com/office/drawing/2014/main" id="{B78E2BDF-970D-45E9-8152-7D4EEF801F1A}"/>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18</xdr:col>
      <xdr:colOff>79937</xdr:colOff>
      <xdr:row>1</xdr:row>
      <xdr:rowOff>19879</xdr:rowOff>
    </xdr:from>
    <xdr:to>
      <xdr:col>19</xdr:col>
      <xdr:colOff>150877</xdr:colOff>
      <xdr:row>3</xdr:row>
      <xdr:rowOff>10354</xdr:rowOff>
    </xdr:to>
    <xdr:sp macro="" textlink="">
      <xdr:nvSpPr>
        <xdr:cNvPr id="90" name="TextBox 89">
          <a:hlinkClick xmlns:r="http://schemas.openxmlformats.org/officeDocument/2006/relationships" r:id="rId19"/>
          <a:extLst>
            <a:ext uri="{FF2B5EF4-FFF2-40B4-BE49-F238E27FC236}">
              <a16:creationId xmlns:a16="http://schemas.microsoft.com/office/drawing/2014/main" id="{AD3BC0ED-DDDC-4A36-B3FC-1E977FE4AE7A}"/>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5</xdr:col>
      <xdr:colOff>794654</xdr:colOff>
      <xdr:row>1</xdr:row>
      <xdr:rowOff>103586</xdr:rowOff>
    </xdr:from>
    <xdr:to>
      <xdr:col>5</xdr:col>
      <xdr:colOff>794654</xdr:colOff>
      <xdr:row>2</xdr:row>
      <xdr:rowOff>117146</xdr:rowOff>
    </xdr:to>
    <xdr:cxnSp macro="">
      <xdr:nvCxnSpPr>
        <xdr:cNvPr id="91" name="Straight Connector 90">
          <a:extLst>
            <a:ext uri="{FF2B5EF4-FFF2-40B4-BE49-F238E27FC236}">
              <a16:creationId xmlns:a16="http://schemas.microsoft.com/office/drawing/2014/main" id="{7D5929C8-00CD-47FB-AB74-6A387FB8D50F}"/>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825389</xdr:colOff>
      <xdr:row>1</xdr:row>
      <xdr:rowOff>103586</xdr:rowOff>
    </xdr:from>
    <xdr:to>
      <xdr:col>4</xdr:col>
      <xdr:colOff>825389</xdr:colOff>
      <xdr:row>2</xdr:row>
      <xdr:rowOff>117146</xdr:rowOff>
    </xdr:to>
    <xdr:cxnSp macro="">
      <xdr:nvCxnSpPr>
        <xdr:cNvPr id="92" name="Straight Connector 91">
          <a:extLst>
            <a:ext uri="{FF2B5EF4-FFF2-40B4-BE49-F238E27FC236}">
              <a16:creationId xmlns:a16="http://schemas.microsoft.com/office/drawing/2014/main" id="{A9F9B8C9-B4AE-492A-B7D4-5771D8302674}"/>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850065</xdr:colOff>
      <xdr:row>1</xdr:row>
      <xdr:rowOff>103586</xdr:rowOff>
    </xdr:from>
    <xdr:to>
      <xdr:col>3</xdr:col>
      <xdr:colOff>850065</xdr:colOff>
      <xdr:row>2</xdr:row>
      <xdr:rowOff>117146</xdr:rowOff>
    </xdr:to>
    <xdr:cxnSp macro="">
      <xdr:nvCxnSpPr>
        <xdr:cNvPr id="93" name="Straight Connector 92">
          <a:extLst>
            <a:ext uri="{FF2B5EF4-FFF2-40B4-BE49-F238E27FC236}">
              <a16:creationId xmlns:a16="http://schemas.microsoft.com/office/drawing/2014/main" id="{2AAD7027-BC14-447B-A7EB-46AB537CD46A}"/>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769950</xdr:colOff>
      <xdr:row>1</xdr:row>
      <xdr:rowOff>103586</xdr:rowOff>
    </xdr:from>
    <xdr:to>
      <xdr:col>6</xdr:col>
      <xdr:colOff>769950</xdr:colOff>
      <xdr:row>2</xdr:row>
      <xdr:rowOff>117146</xdr:rowOff>
    </xdr:to>
    <xdr:cxnSp macro="">
      <xdr:nvCxnSpPr>
        <xdr:cNvPr id="94" name="Straight Connector 93">
          <a:extLst>
            <a:ext uri="{FF2B5EF4-FFF2-40B4-BE49-F238E27FC236}">
              <a16:creationId xmlns:a16="http://schemas.microsoft.com/office/drawing/2014/main" id="{5A2D9BCF-AECC-4C05-94F7-624274DC69BF}"/>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749327</xdr:colOff>
      <xdr:row>1</xdr:row>
      <xdr:rowOff>103586</xdr:rowOff>
    </xdr:from>
    <xdr:to>
      <xdr:col>7</xdr:col>
      <xdr:colOff>749327</xdr:colOff>
      <xdr:row>2</xdr:row>
      <xdr:rowOff>117146</xdr:rowOff>
    </xdr:to>
    <xdr:cxnSp macro="">
      <xdr:nvCxnSpPr>
        <xdr:cNvPr id="95" name="Straight Connector 94">
          <a:extLst>
            <a:ext uri="{FF2B5EF4-FFF2-40B4-BE49-F238E27FC236}">
              <a16:creationId xmlns:a16="http://schemas.microsoft.com/office/drawing/2014/main" id="{E95976A5-8AF1-403F-9D5D-80DA8204F8B1}"/>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721633</xdr:colOff>
      <xdr:row>1</xdr:row>
      <xdr:rowOff>103586</xdr:rowOff>
    </xdr:from>
    <xdr:to>
      <xdr:col>8</xdr:col>
      <xdr:colOff>721633</xdr:colOff>
      <xdr:row>2</xdr:row>
      <xdr:rowOff>117146</xdr:rowOff>
    </xdr:to>
    <xdr:cxnSp macro="">
      <xdr:nvCxnSpPr>
        <xdr:cNvPr id="96" name="Straight Connector 95">
          <a:extLst>
            <a:ext uri="{FF2B5EF4-FFF2-40B4-BE49-F238E27FC236}">
              <a16:creationId xmlns:a16="http://schemas.microsoft.com/office/drawing/2014/main" id="{22BBE922-EC59-4928-95BE-9A49D7E3334E}"/>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695621</xdr:colOff>
      <xdr:row>1</xdr:row>
      <xdr:rowOff>103586</xdr:rowOff>
    </xdr:from>
    <xdr:to>
      <xdr:col>9</xdr:col>
      <xdr:colOff>695621</xdr:colOff>
      <xdr:row>2</xdr:row>
      <xdr:rowOff>117146</xdr:rowOff>
    </xdr:to>
    <xdr:cxnSp macro="">
      <xdr:nvCxnSpPr>
        <xdr:cNvPr id="97" name="Straight Connector 96">
          <a:extLst>
            <a:ext uri="{FF2B5EF4-FFF2-40B4-BE49-F238E27FC236}">
              <a16:creationId xmlns:a16="http://schemas.microsoft.com/office/drawing/2014/main" id="{34F2E49D-E718-4364-A1A3-53A843C6D1EC}"/>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668705</xdr:colOff>
      <xdr:row>1</xdr:row>
      <xdr:rowOff>103586</xdr:rowOff>
    </xdr:from>
    <xdr:to>
      <xdr:col>10</xdr:col>
      <xdr:colOff>668705</xdr:colOff>
      <xdr:row>2</xdr:row>
      <xdr:rowOff>117146</xdr:rowOff>
    </xdr:to>
    <xdr:cxnSp macro="">
      <xdr:nvCxnSpPr>
        <xdr:cNvPr id="98" name="Straight Connector 97">
          <a:extLst>
            <a:ext uri="{FF2B5EF4-FFF2-40B4-BE49-F238E27FC236}">
              <a16:creationId xmlns:a16="http://schemas.microsoft.com/office/drawing/2014/main" id="{82F6FC6E-F9EE-4C82-B26B-6D250F2E7A26}"/>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642142</xdr:colOff>
      <xdr:row>1</xdr:row>
      <xdr:rowOff>103586</xdr:rowOff>
    </xdr:from>
    <xdr:to>
      <xdr:col>11</xdr:col>
      <xdr:colOff>642142</xdr:colOff>
      <xdr:row>2</xdr:row>
      <xdr:rowOff>117146</xdr:rowOff>
    </xdr:to>
    <xdr:cxnSp macro="">
      <xdr:nvCxnSpPr>
        <xdr:cNvPr id="99" name="Straight Connector 98">
          <a:extLst>
            <a:ext uri="{FF2B5EF4-FFF2-40B4-BE49-F238E27FC236}">
              <a16:creationId xmlns:a16="http://schemas.microsoft.com/office/drawing/2014/main" id="{2AE0B49E-8C88-442E-B832-D18FCC1359E5}"/>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234978</xdr:colOff>
      <xdr:row>1</xdr:row>
      <xdr:rowOff>103586</xdr:rowOff>
    </xdr:from>
    <xdr:to>
      <xdr:col>14</xdr:col>
      <xdr:colOff>234978</xdr:colOff>
      <xdr:row>2</xdr:row>
      <xdr:rowOff>117146</xdr:rowOff>
    </xdr:to>
    <xdr:cxnSp macro="">
      <xdr:nvCxnSpPr>
        <xdr:cNvPr id="100" name="Straight Connector 99">
          <a:extLst>
            <a:ext uri="{FF2B5EF4-FFF2-40B4-BE49-F238E27FC236}">
              <a16:creationId xmlns:a16="http://schemas.microsoft.com/office/drawing/2014/main" id="{1EA37724-E820-455C-809B-86BEE73E9D87}"/>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206020</xdr:colOff>
      <xdr:row>1</xdr:row>
      <xdr:rowOff>103586</xdr:rowOff>
    </xdr:from>
    <xdr:to>
      <xdr:col>15</xdr:col>
      <xdr:colOff>206020</xdr:colOff>
      <xdr:row>2</xdr:row>
      <xdr:rowOff>117146</xdr:rowOff>
    </xdr:to>
    <xdr:cxnSp macro="">
      <xdr:nvCxnSpPr>
        <xdr:cNvPr id="101" name="Straight Connector 100">
          <a:extLst>
            <a:ext uri="{FF2B5EF4-FFF2-40B4-BE49-F238E27FC236}">
              <a16:creationId xmlns:a16="http://schemas.microsoft.com/office/drawing/2014/main" id="{9F274298-0942-46F4-85F7-3EF3A72673EC}"/>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180074</xdr:colOff>
      <xdr:row>1</xdr:row>
      <xdr:rowOff>103586</xdr:rowOff>
    </xdr:from>
    <xdr:to>
      <xdr:col>16</xdr:col>
      <xdr:colOff>180074</xdr:colOff>
      <xdr:row>2</xdr:row>
      <xdr:rowOff>117146</xdr:rowOff>
    </xdr:to>
    <xdr:cxnSp macro="">
      <xdr:nvCxnSpPr>
        <xdr:cNvPr id="102" name="Straight Connector 101">
          <a:extLst>
            <a:ext uri="{FF2B5EF4-FFF2-40B4-BE49-F238E27FC236}">
              <a16:creationId xmlns:a16="http://schemas.microsoft.com/office/drawing/2014/main" id="{847E6BBA-5ADB-41FD-9151-F41645D30FC5}"/>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152470</xdr:colOff>
      <xdr:row>1</xdr:row>
      <xdr:rowOff>103586</xdr:rowOff>
    </xdr:from>
    <xdr:to>
      <xdr:col>17</xdr:col>
      <xdr:colOff>152470</xdr:colOff>
      <xdr:row>2</xdr:row>
      <xdr:rowOff>117146</xdr:rowOff>
    </xdr:to>
    <xdr:cxnSp macro="">
      <xdr:nvCxnSpPr>
        <xdr:cNvPr id="103" name="Straight Connector 102">
          <a:extLst>
            <a:ext uri="{FF2B5EF4-FFF2-40B4-BE49-F238E27FC236}">
              <a16:creationId xmlns:a16="http://schemas.microsoft.com/office/drawing/2014/main" id="{B0E7490D-3F92-4350-AD9E-FAAF082FE02C}"/>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128563</xdr:colOff>
      <xdr:row>1</xdr:row>
      <xdr:rowOff>103586</xdr:rowOff>
    </xdr:from>
    <xdr:to>
      <xdr:col>18</xdr:col>
      <xdr:colOff>128563</xdr:colOff>
      <xdr:row>2</xdr:row>
      <xdr:rowOff>117146</xdr:rowOff>
    </xdr:to>
    <xdr:cxnSp macro="">
      <xdr:nvCxnSpPr>
        <xdr:cNvPr id="104" name="Straight Connector 103">
          <a:extLst>
            <a:ext uri="{FF2B5EF4-FFF2-40B4-BE49-F238E27FC236}">
              <a16:creationId xmlns:a16="http://schemas.microsoft.com/office/drawing/2014/main" id="{B2514338-A737-460E-8958-448A77EDDA15}"/>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390934</xdr:colOff>
      <xdr:row>1</xdr:row>
      <xdr:rowOff>103586</xdr:rowOff>
    </xdr:from>
    <xdr:to>
      <xdr:col>12</xdr:col>
      <xdr:colOff>390934</xdr:colOff>
      <xdr:row>2</xdr:row>
      <xdr:rowOff>117146</xdr:rowOff>
    </xdr:to>
    <xdr:cxnSp macro="">
      <xdr:nvCxnSpPr>
        <xdr:cNvPr id="105" name="Straight Connector 104">
          <a:extLst>
            <a:ext uri="{FF2B5EF4-FFF2-40B4-BE49-F238E27FC236}">
              <a16:creationId xmlns:a16="http://schemas.microsoft.com/office/drawing/2014/main" id="{02DBF2A8-D2F7-4B3E-91AE-97412FD8F3D5}"/>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38</xdr:row>
      <xdr:rowOff>123825</xdr:rowOff>
    </xdr:from>
    <xdr:to>
      <xdr:col>3</xdr:col>
      <xdr:colOff>714375</xdr:colOff>
      <xdr:row>53</xdr:row>
      <xdr:rowOff>9525</xdr:rowOff>
    </xdr:to>
    <xdr:graphicFrame macro="">
      <xdr:nvGraphicFramePr>
        <xdr:cNvPr id="3" name="Chart 2">
          <a:extLst>
            <a:ext uri="{FF2B5EF4-FFF2-40B4-BE49-F238E27FC236}">
              <a16:creationId xmlns:a16="http://schemas.microsoft.com/office/drawing/2014/main" id="{E8831A80-5C99-455F-833D-F1D67FE3BB82}"/>
            </a:ext>
            <a:ext uri="{147F2762-F138-4A5C-976F-8EAC2B608ADB}">
              <a16:predDERef xmlns:a16="http://schemas.microsoft.com/office/drawing/2014/main" pred="{02DBF2A8-D2F7-4B3E-91AE-97412FD8F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44823</xdr:colOff>
      <xdr:row>14</xdr:row>
      <xdr:rowOff>0</xdr:rowOff>
    </xdr:from>
    <xdr:to>
      <xdr:col>8</xdr:col>
      <xdr:colOff>476249</xdr:colOff>
      <xdr:row>28</xdr:row>
      <xdr:rowOff>127747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609849</xdr:colOff>
      <xdr:row>14</xdr:row>
      <xdr:rowOff>0</xdr:rowOff>
    </xdr:from>
    <xdr:to>
      <xdr:col>9</xdr:col>
      <xdr:colOff>1812800</xdr:colOff>
      <xdr:row>28</xdr:row>
      <xdr:rowOff>127747</xdr:rowOff>
    </xdr:to>
    <xdr:graphicFrame macro="">
      <xdr:nvGraphicFramePr>
        <xdr:cNvPr id="3" name="Chart 2">
          <a:extLst>
            <a:ext uri="{FF2B5EF4-FFF2-40B4-BE49-F238E27FC236}">
              <a16:creationId xmlns:a16="http://schemas.microsoft.com/office/drawing/2014/main" id="{45AAF55B-ABA2-43D3-A462-02A43BBC5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1946400</xdr:colOff>
      <xdr:row>14</xdr:row>
      <xdr:rowOff>0</xdr:rowOff>
    </xdr:from>
    <xdr:to>
      <xdr:col>10</xdr:col>
      <xdr:colOff>2415926</xdr:colOff>
      <xdr:row>28</xdr:row>
      <xdr:rowOff>127747</xdr:rowOff>
    </xdr:to>
    <xdr:graphicFrame macro="">
      <xdr:nvGraphicFramePr>
        <xdr:cNvPr id="4" name="Chart 3">
          <a:extLst>
            <a:ext uri="{FF2B5EF4-FFF2-40B4-BE49-F238E27FC236}">
              <a16:creationId xmlns:a16="http://schemas.microsoft.com/office/drawing/2014/main" id="{59F1BEDE-4F75-4221-A558-067C1F360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2549525</xdr:colOff>
      <xdr:row>14</xdr:row>
      <xdr:rowOff>0</xdr:rowOff>
    </xdr:from>
    <xdr:to>
      <xdr:col>10</xdr:col>
      <xdr:colOff>5657476</xdr:colOff>
      <xdr:row>28</xdr:row>
      <xdr:rowOff>127747</xdr:rowOff>
    </xdr:to>
    <xdr:graphicFrame macro="">
      <xdr:nvGraphicFramePr>
        <xdr:cNvPr id="9" name="Chart 8">
          <a:extLst>
            <a:ext uri="{FF2B5EF4-FFF2-40B4-BE49-F238E27FC236}">
              <a16:creationId xmlns:a16="http://schemas.microsoft.com/office/drawing/2014/main" id="{D3406B2A-6743-4D4D-90BD-D1A04B625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54</xdr:col>
      <xdr:colOff>503836</xdr:colOff>
      <xdr:row>4</xdr:row>
      <xdr:rowOff>0</xdr:rowOff>
    </xdr:to>
    <xdr:sp macro="" textlink="">
      <xdr:nvSpPr>
        <xdr:cNvPr id="43" name="Rectangle 42">
          <a:extLst>
            <a:ext uri="{FF2B5EF4-FFF2-40B4-BE49-F238E27FC236}">
              <a16:creationId xmlns:a16="http://schemas.microsoft.com/office/drawing/2014/main" id="{2D5DAF4E-9732-4941-8B7A-2D340E0A3B0A}"/>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685197</xdr:colOff>
      <xdr:row>1</xdr:row>
      <xdr:rowOff>19879</xdr:rowOff>
    </xdr:from>
    <xdr:to>
      <xdr:col>10</xdr:col>
      <xdr:colOff>1636165</xdr:colOff>
      <xdr:row>3</xdr:row>
      <xdr:rowOff>10354</xdr:rowOff>
    </xdr:to>
    <xdr:sp macro="" textlink="">
      <xdr:nvSpPr>
        <xdr:cNvPr id="44" name="TextBox 43">
          <a:hlinkClick xmlns:r="http://schemas.openxmlformats.org/officeDocument/2006/relationships" r:id="rId5"/>
          <a:extLst>
            <a:ext uri="{FF2B5EF4-FFF2-40B4-BE49-F238E27FC236}">
              <a16:creationId xmlns:a16="http://schemas.microsoft.com/office/drawing/2014/main" id="{936ED9B2-D157-47DE-8E19-56A8E6CAEF03}"/>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45" name="Picture 44">
          <a:extLst>
            <a:ext uri="{FF2B5EF4-FFF2-40B4-BE49-F238E27FC236}">
              <a16:creationId xmlns:a16="http://schemas.microsoft.com/office/drawing/2014/main" id="{F420DE02-7D81-4670-8EBB-08948162F73D}"/>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1307327</xdr:colOff>
      <xdr:row>1</xdr:row>
      <xdr:rowOff>28201</xdr:rowOff>
    </xdr:from>
    <xdr:to>
      <xdr:col>1</xdr:col>
      <xdr:colOff>1307327</xdr:colOff>
      <xdr:row>2</xdr:row>
      <xdr:rowOff>138545</xdr:rowOff>
    </xdr:to>
    <xdr:cxnSp macro="">
      <xdr:nvCxnSpPr>
        <xdr:cNvPr id="51" name="Straight Connector 50">
          <a:extLst>
            <a:ext uri="{FF2B5EF4-FFF2-40B4-BE49-F238E27FC236}">
              <a16:creationId xmlns:a16="http://schemas.microsoft.com/office/drawing/2014/main" id="{58F14CEE-DFD4-4E2A-9A6A-517A0A8CC506}"/>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144200</xdr:colOff>
      <xdr:row>1</xdr:row>
      <xdr:rowOff>19879</xdr:rowOff>
    </xdr:from>
    <xdr:to>
      <xdr:col>6</xdr:col>
      <xdr:colOff>270052</xdr:colOff>
      <xdr:row>3</xdr:row>
      <xdr:rowOff>10354</xdr:rowOff>
    </xdr:to>
    <xdr:sp macro="" textlink="">
      <xdr:nvSpPr>
        <xdr:cNvPr id="52" name="TextBox 51">
          <a:hlinkClick xmlns:r="http://schemas.openxmlformats.org/officeDocument/2006/relationships" r:id="rId7"/>
          <a:extLst>
            <a:ext uri="{FF2B5EF4-FFF2-40B4-BE49-F238E27FC236}">
              <a16:creationId xmlns:a16="http://schemas.microsoft.com/office/drawing/2014/main" id="{B3AEE23F-2292-44FE-BD10-46B89F2C476C}"/>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6</xdr:col>
      <xdr:colOff>172778</xdr:colOff>
      <xdr:row>1</xdr:row>
      <xdr:rowOff>19879</xdr:rowOff>
    </xdr:from>
    <xdr:to>
      <xdr:col>6</xdr:col>
      <xdr:colOff>1131201</xdr:colOff>
      <xdr:row>3</xdr:row>
      <xdr:rowOff>10354</xdr:rowOff>
    </xdr:to>
    <xdr:sp macro="" textlink="">
      <xdr:nvSpPr>
        <xdr:cNvPr id="53" name="TextBox 52">
          <a:hlinkClick xmlns:r="http://schemas.openxmlformats.org/officeDocument/2006/relationships" r:id="rId8"/>
          <a:extLst>
            <a:ext uri="{FF2B5EF4-FFF2-40B4-BE49-F238E27FC236}">
              <a16:creationId xmlns:a16="http://schemas.microsoft.com/office/drawing/2014/main" id="{A82773A0-E5AD-4523-BF90-33E3C369F9C2}"/>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6</xdr:col>
      <xdr:colOff>1033927</xdr:colOff>
      <xdr:row>1</xdr:row>
      <xdr:rowOff>19879</xdr:rowOff>
    </xdr:from>
    <xdr:to>
      <xdr:col>7</xdr:col>
      <xdr:colOff>147966</xdr:colOff>
      <xdr:row>3</xdr:row>
      <xdr:rowOff>10354</xdr:rowOff>
    </xdr:to>
    <xdr:sp macro="" textlink="">
      <xdr:nvSpPr>
        <xdr:cNvPr id="54" name="TextBox 53">
          <a:hlinkClick xmlns:r="http://schemas.openxmlformats.org/officeDocument/2006/relationships" r:id="rId9"/>
          <a:extLst>
            <a:ext uri="{FF2B5EF4-FFF2-40B4-BE49-F238E27FC236}">
              <a16:creationId xmlns:a16="http://schemas.microsoft.com/office/drawing/2014/main" id="{81A68F13-42EF-41D9-B529-20CBF1058AD0}"/>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7</xdr:col>
      <xdr:colOff>50692</xdr:colOff>
      <xdr:row>1</xdr:row>
      <xdr:rowOff>19879</xdr:rowOff>
    </xdr:from>
    <xdr:to>
      <xdr:col>8</xdr:col>
      <xdr:colOff>170887</xdr:colOff>
      <xdr:row>3</xdr:row>
      <xdr:rowOff>10354</xdr:rowOff>
    </xdr:to>
    <xdr:sp macro="" textlink="">
      <xdr:nvSpPr>
        <xdr:cNvPr id="55" name="TextBox 54">
          <a:hlinkClick xmlns:r="http://schemas.openxmlformats.org/officeDocument/2006/relationships" r:id="rId10"/>
          <a:extLst>
            <a:ext uri="{FF2B5EF4-FFF2-40B4-BE49-F238E27FC236}">
              <a16:creationId xmlns:a16="http://schemas.microsoft.com/office/drawing/2014/main" id="{0E9D3C7B-02DD-49BA-8D86-0D7FF286C162}"/>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ESG</a:t>
          </a:r>
        </a:p>
      </xdr:txBody>
    </xdr:sp>
    <xdr:clientData/>
  </xdr:twoCellAnchor>
  <xdr:twoCellAnchor>
    <xdr:from>
      <xdr:col>8</xdr:col>
      <xdr:colOff>73613</xdr:colOff>
      <xdr:row>1</xdr:row>
      <xdr:rowOff>19879</xdr:rowOff>
    </xdr:from>
    <xdr:to>
      <xdr:col>8</xdr:col>
      <xdr:colOff>1036089</xdr:colOff>
      <xdr:row>3</xdr:row>
      <xdr:rowOff>10354</xdr:rowOff>
    </xdr:to>
    <xdr:sp macro="" textlink="">
      <xdr:nvSpPr>
        <xdr:cNvPr id="56" name="TextBox 55">
          <a:hlinkClick xmlns:r="http://schemas.openxmlformats.org/officeDocument/2006/relationships" r:id="rId11"/>
          <a:extLst>
            <a:ext uri="{FF2B5EF4-FFF2-40B4-BE49-F238E27FC236}">
              <a16:creationId xmlns:a16="http://schemas.microsoft.com/office/drawing/2014/main" id="{932774EF-06A8-4B60-BD1C-7FCB6D2B409C}"/>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8</xdr:col>
      <xdr:colOff>938815</xdr:colOff>
      <xdr:row>1</xdr:row>
      <xdr:rowOff>19879</xdr:rowOff>
    </xdr:from>
    <xdr:to>
      <xdr:col>8</xdr:col>
      <xdr:colOff>1894220</xdr:colOff>
      <xdr:row>3</xdr:row>
      <xdr:rowOff>10354</xdr:rowOff>
    </xdr:to>
    <xdr:sp macro="" textlink="">
      <xdr:nvSpPr>
        <xdr:cNvPr id="57" name="TextBox 56">
          <a:hlinkClick xmlns:r="http://schemas.openxmlformats.org/officeDocument/2006/relationships" r:id="rId12"/>
          <a:extLst>
            <a:ext uri="{FF2B5EF4-FFF2-40B4-BE49-F238E27FC236}">
              <a16:creationId xmlns:a16="http://schemas.microsoft.com/office/drawing/2014/main" id="{E6194C28-81E4-448A-9874-07F92F0A667A}"/>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8</xdr:col>
      <xdr:colOff>1798627</xdr:colOff>
      <xdr:row>1</xdr:row>
      <xdr:rowOff>19879</xdr:rowOff>
    </xdr:from>
    <xdr:to>
      <xdr:col>9</xdr:col>
      <xdr:colOff>847352</xdr:colOff>
      <xdr:row>3</xdr:row>
      <xdr:rowOff>10354</xdr:rowOff>
    </xdr:to>
    <xdr:sp macro="" textlink="">
      <xdr:nvSpPr>
        <xdr:cNvPr id="58" name="TextBox 57">
          <a:hlinkClick xmlns:r="http://schemas.openxmlformats.org/officeDocument/2006/relationships" r:id="rId13"/>
          <a:extLst>
            <a:ext uri="{FF2B5EF4-FFF2-40B4-BE49-F238E27FC236}">
              <a16:creationId xmlns:a16="http://schemas.microsoft.com/office/drawing/2014/main" id="{2536E05E-497B-4B02-9B27-D69AD8327498}"/>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9</xdr:col>
      <xdr:colOff>751759</xdr:colOff>
      <xdr:row>1</xdr:row>
      <xdr:rowOff>19879</xdr:rowOff>
    </xdr:from>
    <xdr:to>
      <xdr:col>9</xdr:col>
      <xdr:colOff>1707942</xdr:colOff>
      <xdr:row>3</xdr:row>
      <xdr:rowOff>10354</xdr:rowOff>
    </xdr:to>
    <xdr:sp macro="" textlink="">
      <xdr:nvSpPr>
        <xdr:cNvPr id="59" name="TextBox 58">
          <a:hlinkClick xmlns:r="http://schemas.openxmlformats.org/officeDocument/2006/relationships" r:id="rId14"/>
          <a:extLst>
            <a:ext uri="{FF2B5EF4-FFF2-40B4-BE49-F238E27FC236}">
              <a16:creationId xmlns:a16="http://schemas.microsoft.com/office/drawing/2014/main" id="{1626F59C-8810-4D52-AE76-2043817DE4AB}"/>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9</xdr:col>
      <xdr:colOff>1610668</xdr:colOff>
      <xdr:row>1</xdr:row>
      <xdr:rowOff>19879</xdr:rowOff>
    </xdr:from>
    <xdr:to>
      <xdr:col>9</xdr:col>
      <xdr:colOff>2567204</xdr:colOff>
      <xdr:row>3</xdr:row>
      <xdr:rowOff>10354</xdr:rowOff>
    </xdr:to>
    <xdr:sp macro="" textlink="">
      <xdr:nvSpPr>
        <xdr:cNvPr id="60" name="TextBox 59">
          <a:hlinkClick xmlns:r="http://schemas.openxmlformats.org/officeDocument/2006/relationships" r:id="rId15"/>
          <a:extLst>
            <a:ext uri="{FF2B5EF4-FFF2-40B4-BE49-F238E27FC236}">
              <a16:creationId xmlns:a16="http://schemas.microsoft.com/office/drawing/2014/main" id="{DF5727B1-0566-48CE-8B92-8D3099C94714}"/>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9</xdr:col>
      <xdr:colOff>2469930</xdr:colOff>
      <xdr:row>1</xdr:row>
      <xdr:rowOff>19879</xdr:rowOff>
    </xdr:from>
    <xdr:to>
      <xdr:col>10</xdr:col>
      <xdr:colOff>782471</xdr:colOff>
      <xdr:row>3</xdr:row>
      <xdr:rowOff>10354</xdr:rowOff>
    </xdr:to>
    <xdr:sp macro="" textlink="">
      <xdr:nvSpPr>
        <xdr:cNvPr id="61" name="TextBox 60">
          <a:hlinkClick xmlns:r="http://schemas.openxmlformats.org/officeDocument/2006/relationships" r:id="rId16"/>
          <a:extLst>
            <a:ext uri="{FF2B5EF4-FFF2-40B4-BE49-F238E27FC236}">
              <a16:creationId xmlns:a16="http://schemas.microsoft.com/office/drawing/2014/main" id="{49C8826F-B00F-452D-92A5-39AE4415F103}"/>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10</xdr:col>
      <xdr:colOff>1538891</xdr:colOff>
      <xdr:row>1</xdr:row>
      <xdr:rowOff>19879</xdr:rowOff>
    </xdr:from>
    <xdr:to>
      <xdr:col>10</xdr:col>
      <xdr:colOff>2493032</xdr:colOff>
      <xdr:row>3</xdr:row>
      <xdr:rowOff>10354</xdr:rowOff>
    </xdr:to>
    <xdr:sp macro="" textlink="">
      <xdr:nvSpPr>
        <xdr:cNvPr id="62" name="TextBox 61">
          <a:hlinkClick xmlns:r="http://schemas.openxmlformats.org/officeDocument/2006/relationships" r:id="rId17"/>
          <a:extLst>
            <a:ext uri="{FF2B5EF4-FFF2-40B4-BE49-F238E27FC236}">
              <a16:creationId xmlns:a16="http://schemas.microsoft.com/office/drawing/2014/main" id="{5C22341C-D040-4116-BD1F-3F77CE9188B7}"/>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10</xdr:col>
      <xdr:colOff>2395758</xdr:colOff>
      <xdr:row>1</xdr:row>
      <xdr:rowOff>19879</xdr:rowOff>
    </xdr:from>
    <xdr:to>
      <xdr:col>10</xdr:col>
      <xdr:colOff>3352911</xdr:colOff>
      <xdr:row>3</xdr:row>
      <xdr:rowOff>10354</xdr:rowOff>
    </xdr:to>
    <xdr:sp macro="" textlink="">
      <xdr:nvSpPr>
        <xdr:cNvPr id="63" name="TextBox 62">
          <a:hlinkClick xmlns:r="http://schemas.openxmlformats.org/officeDocument/2006/relationships" r:id="rId18"/>
          <a:extLst>
            <a:ext uri="{FF2B5EF4-FFF2-40B4-BE49-F238E27FC236}">
              <a16:creationId xmlns:a16="http://schemas.microsoft.com/office/drawing/2014/main" id="{F4B59316-069C-4887-BC5A-1C2F1FC0C52C}"/>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10</xdr:col>
      <xdr:colOff>3255637</xdr:colOff>
      <xdr:row>1</xdr:row>
      <xdr:rowOff>19879</xdr:rowOff>
    </xdr:from>
    <xdr:to>
      <xdr:col>10</xdr:col>
      <xdr:colOff>4211132</xdr:colOff>
      <xdr:row>3</xdr:row>
      <xdr:rowOff>10354</xdr:rowOff>
    </xdr:to>
    <xdr:sp macro="" textlink="">
      <xdr:nvSpPr>
        <xdr:cNvPr id="64" name="TextBox 63">
          <a:hlinkClick xmlns:r="http://schemas.openxmlformats.org/officeDocument/2006/relationships" r:id="rId19"/>
          <a:extLst>
            <a:ext uri="{FF2B5EF4-FFF2-40B4-BE49-F238E27FC236}">
              <a16:creationId xmlns:a16="http://schemas.microsoft.com/office/drawing/2014/main" id="{1770C40B-EF14-43FC-8F73-C0925A407D4D}"/>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10</xdr:col>
      <xdr:colOff>4113858</xdr:colOff>
      <xdr:row>1</xdr:row>
      <xdr:rowOff>19879</xdr:rowOff>
    </xdr:from>
    <xdr:to>
      <xdr:col>10</xdr:col>
      <xdr:colOff>5073050</xdr:colOff>
      <xdr:row>3</xdr:row>
      <xdr:rowOff>10354</xdr:rowOff>
    </xdr:to>
    <xdr:sp macro="" textlink="">
      <xdr:nvSpPr>
        <xdr:cNvPr id="65" name="TextBox 64">
          <a:hlinkClick xmlns:r="http://schemas.openxmlformats.org/officeDocument/2006/relationships" r:id="rId20"/>
          <a:extLst>
            <a:ext uri="{FF2B5EF4-FFF2-40B4-BE49-F238E27FC236}">
              <a16:creationId xmlns:a16="http://schemas.microsoft.com/office/drawing/2014/main" id="{98E2A19C-4626-4464-B80F-1A9A1DAEEC40}"/>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10</xdr:col>
      <xdr:colOff>4975787</xdr:colOff>
      <xdr:row>1</xdr:row>
      <xdr:rowOff>19879</xdr:rowOff>
    </xdr:from>
    <xdr:to>
      <xdr:col>11</xdr:col>
      <xdr:colOff>179452</xdr:colOff>
      <xdr:row>3</xdr:row>
      <xdr:rowOff>10354</xdr:rowOff>
    </xdr:to>
    <xdr:sp macro="" textlink="">
      <xdr:nvSpPr>
        <xdr:cNvPr id="66" name="TextBox 65">
          <a:hlinkClick xmlns:r="http://schemas.openxmlformats.org/officeDocument/2006/relationships" r:id="rId21"/>
          <a:extLst>
            <a:ext uri="{FF2B5EF4-FFF2-40B4-BE49-F238E27FC236}">
              <a16:creationId xmlns:a16="http://schemas.microsoft.com/office/drawing/2014/main" id="{3D592029-0980-4338-9F8A-86962E2B725E}"/>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7</xdr:col>
      <xdr:colOff>99329</xdr:colOff>
      <xdr:row>1</xdr:row>
      <xdr:rowOff>103586</xdr:rowOff>
    </xdr:from>
    <xdr:to>
      <xdr:col>7</xdr:col>
      <xdr:colOff>99329</xdr:colOff>
      <xdr:row>2</xdr:row>
      <xdr:rowOff>117146</xdr:rowOff>
    </xdr:to>
    <xdr:cxnSp macro="">
      <xdr:nvCxnSpPr>
        <xdr:cNvPr id="67" name="Straight Connector 66">
          <a:extLst>
            <a:ext uri="{FF2B5EF4-FFF2-40B4-BE49-F238E27FC236}">
              <a16:creationId xmlns:a16="http://schemas.microsoft.com/office/drawing/2014/main" id="{B3DB3067-E04C-484F-878E-DF672E8A3837}"/>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1082564</xdr:colOff>
      <xdr:row>1</xdr:row>
      <xdr:rowOff>103586</xdr:rowOff>
    </xdr:from>
    <xdr:to>
      <xdr:col>6</xdr:col>
      <xdr:colOff>1082564</xdr:colOff>
      <xdr:row>2</xdr:row>
      <xdr:rowOff>117146</xdr:rowOff>
    </xdr:to>
    <xdr:cxnSp macro="">
      <xdr:nvCxnSpPr>
        <xdr:cNvPr id="68" name="Straight Connector 67">
          <a:extLst>
            <a:ext uri="{FF2B5EF4-FFF2-40B4-BE49-F238E27FC236}">
              <a16:creationId xmlns:a16="http://schemas.microsoft.com/office/drawing/2014/main" id="{6C783374-799C-4323-AA2F-8AF14084FF53}"/>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221415</xdr:colOff>
      <xdr:row>1</xdr:row>
      <xdr:rowOff>103586</xdr:rowOff>
    </xdr:from>
    <xdr:to>
      <xdr:col>6</xdr:col>
      <xdr:colOff>221415</xdr:colOff>
      <xdr:row>2</xdr:row>
      <xdr:rowOff>117146</xdr:rowOff>
    </xdr:to>
    <xdr:cxnSp macro="">
      <xdr:nvCxnSpPr>
        <xdr:cNvPr id="69" name="Straight Connector 68">
          <a:extLst>
            <a:ext uri="{FF2B5EF4-FFF2-40B4-BE49-F238E27FC236}">
              <a16:creationId xmlns:a16="http://schemas.microsoft.com/office/drawing/2014/main" id="{4D1A2F6C-CA2B-49B5-BB3E-0CB2B9910CFA}"/>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122250</xdr:colOff>
      <xdr:row>1</xdr:row>
      <xdr:rowOff>103586</xdr:rowOff>
    </xdr:from>
    <xdr:to>
      <xdr:col>8</xdr:col>
      <xdr:colOff>122250</xdr:colOff>
      <xdr:row>2</xdr:row>
      <xdr:rowOff>117146</xdr:rowOff>
    </xdr:to>
    <xdr:cxnSp macro="">
      <xdr:nvCxnSpPr>
        <xdr:cNvPr id="70" name="Straight Connector 69">
          <a:extLst>
            <a:ext uri="{FF2B5EF4-FFF2-40B4-BE49-F238E27FC236}">
              <a16:creationId xmlns:a16="http://schemas.microsoft.com/office/drawing/2014/main" id="{70BB0FEB-E536-4982-B7AD-BEAD311C6358}"/>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987452</xdr:colOff>
      <xdr:row>1</xdr:row>
      <xdr:rowOff>103586</xdr:rowOff>
    </xdr:from>
    <xdr:to>
      <xdr:col>8</xdr:col>
      <xdr:colOff>987452</xdr:colOff>
      <xdr:row>2</xdr:row>
      <xdr:rowOff>117146</xdr:rowOff>
    </xdr:to>
    <xdr:cxnSp macro="">
      <xdr:nvCxnSpPr>
        <xdr:cNvPr id="71" name="Straight Connector 70">
          <a:extLst>
            <a:ext uri="{FF2B5EF4-FFF2-40B4-BE49-F238E27FC236}">
              <a16:creationId xmlns:a16="http://schemas.microsoft.com/office/drawing/2014/main" id="{233E56A2-967F-4E79-A677-780A4748719E}"/>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1845583</xdr:colOff>
      <xdr:row>1</xdr:row>
      <xdr:rowOff>103586</xdr:rowOff>
    </xdr:from>
    <xdr:to>
      <xdr:col>8</xdr:col>
      <xdr:colOff>1845583</xdr:colOff>
      <xdr:row>2</xdr:row>
      <xdr:rowOff>117146</xdr:rowOff>
    </xdr:to>
    <xdr:cxnSp macro="">
      <xdr:nvCxnSpPr>
        <xdr:cNvPr id="72" name="Straight Connector 71">
          <a:extLst>
            <a:ext uri="{FF2B5EF4-FFF2-40B4-BE49-F238E27FC236}">
              <a16:creationId xmlns:a16="http://schemas.microsoft.com/office/drawing/2014/main" id="{D57F8E60-EF2C-4989-BBBB-F588837B25C0}"/>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800396</xdr:colOff>
      <xdr:row>1</xdr:row>
      <xdr:rowOff>103586</xdr:rowOff>
    </xdr:from>
    <xdr:to>
      <xdr:col>9</xdr:col>
      <xdr:colOff>800396</xdr:colOff>
      <xdr:row>2</xdr:row>
      <xdr:rowOff>117146</xdr:rowOff>
    </xdr:to>
    <xdr:cxnSp macro="">
      <xdr:nvCxnSpPr>
        <xdr:cNvPr id="73" name="Straight Connector 72">
          <a:extLst>
            <a:ext uri="{FF2B5EF4-FFF2-40B4-BE49-F238E27FC236}">
              <a16:creationId xmlns:a16="http://schemas.microsoft.com/office/drawing/2014/main" id="{58B2291A-611D-4E7F-90E2-A8279B0C62A7}"/>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1659305</xdr:colOff>
      <xdr:row>1</xdr:row>
      <xdr:rowOff>103586</xdr:rowOff>
    </xdr:from>
    <xdr:to>
      <xdr:col>9</xdr:col>
      <xdr:colOff>1659305</xdr:colOff>
      <xdr:row>2</xdr:row>
      <xdr:rowOff>117146</xdr:rowOff>
    </xdr:to>
    <xdr:cxnSp macro="">
      <xdr:nvCxnSpPr>
        <xdr:cNvPr id="74" name="Straight Connector 73">
          <a:extLst>
            <a:ext uri="{FF2B5EF4-FFF2-40B4-BE49-F238E27FC236}">
              <a16:creationId xmlns:a16="http://schemas.microsoft.com/office/drawing/2014/main" id="{AA1D5D3B-5E79-4F96-9F1F-023986BF46C8}"/>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2518567</xdr:colOff>
      <xdr:row>1</xdr:row>
      <xdr:rowOff>103586</xdr:rowOff>
    </xdr:from>
    <xdr:to>
      <xdr:col>9</xdr:col>
      <xdr:colOff>2518567</xdr:colOff>
      <xdr:row>2</xdr:row>
      <xdr:rowOff>117146</xdr:rowOff>
    </xdr:to>
    <xdr:cxnSp macro="">
      <xdr:nvCxnSpPr>
        <xdr:cNvPr id="75" name="Straight Connector 74">
          <a:extLst>
            <a:ext uri="{FF2B5EF4-FFF2-40B4-BE49-F238E27FC236}">
              <a16:creationId xmlns:a16="http://schemas.microsoft.com/office/drawing/2014/main" id="{71571DC3-6957-484E-95E6-6597F95D39FA}"/>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1587528</xdr:colOff>
      <xdr:row>1</xdr:row>
      <xdr:rowOff>103586</xdr:rowOff>
    </xdr:from>
    <xdr:to>
      <xdr:col>10</xdr:col>
      <xdr:colOff>1587528</xdr:colOff>
      <xdr:row>2</xdr:row>
      <xdr:rowOff>117146</xdr:rowOff>
    </xdr:to>
    <xdr:cxnSp macro="">
      <xdr:nvCxnSpPr>
        <xdr:cNvPr id="76" name="Straight Connector 75">
          <a:extLst>
            <a:ext uri="{FF2B5EF4-FFF2-40B4-BE49-F238E27FC236}">
              <a16:creationId xmlns:a16="http://schemas.microsoft.com/office/drawing/2014/main" id="{6DF897BB-1CFF-4049-96C0-4443041E8DB0}"/>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2444395</xdr:colOff>
      <xdr:row>1</xdr:row>
      <xdr:rowOff>103586</xdr:rowOff>
    </xdr:from>
    <xdr:to>
      <xdr:col>10</xdr:col>
      <xdr:colOff>2444395</xdr:colOff>
      <xdr:row>2</xdr:row>
      <xdr:rowOff>117146</xdr:rowOff>
    </xdr:to>
    <xdr:cxnSp macro="">
      <xdr:nvCxnSpPr>
        <xdr:cNvPr id="77" name="Straight Connector 76">
          <a:extLst>
            <a:ext uri="{FF2B5EF4-FFF2-40B4-BE49-F238E27FC236}">
              <a16:creationId xmlns:a16="http://schemas.microsoft.com/office/drawing/2014/main" id="{F80B2848-EDCE-406E-8A77-1DDA340ADCAD}"/>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3304274</xdr:colOff>
      <xdr:row>1</xdr:row>
      <xdr:rowOff>103586</xdr:rowOff>
    </xdr:from>
    <xdr:to>
      <xdr:col>10</xdr:col>
      <xdr:colOff>3304274</xdr:colOff>
      <xdr:row>2</xdr:row>
      <xdr:rowOff>117146</xdr:rowOff>
    </xdr:to>
    <xdr:cxnSp macro="">
      <xdr:nvCxnSpPr>
        <xdr:cNvPr id="78" name="Straight Connector 77">
          <a:extLst>
            <a:ext uri="{FF2B5EF4-FFF2-40B4-BE49-F238E27FC236}">
              <a16:creationId xmlns:a16="http://schemas.microsoft.com/office/drawing/2014/main" id="{A8C7F363-0742-4444-A3DD-A262D2D166E0}"/>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4162495</xdr:colOff>
      <xdr:row>1</xdr:row>
      <xdr:rowOff>103586</xdr:rowOff>
    </xdr:from>
    <xdr:to>
      <xdr:col>10</xdr:col>
      <xdr:colOff>4162495</xdr:colOff>
      <xdr:row>2</xdr:row>
      <xdr:rowOff>117146</xdr:rowOff>
    </xdr:to>
    <xdr:cxnSp macro="">
      <xdr:nvCxnSpPr>
        <xdr:cNvPr id="79" name="Straight Connector 78">
          <a:extLst>
            <a:ext uri="{FF2B5EF4-FFF2-40B4-BE49-F238E27FC236}">
              <a16:creationId xmlns:a16="http://schemas.microsoft.com/office/drawing/2014/main" id="{489550C9-199B-4BDD-92D3-3A1AB1B95766}"/>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5024413</xdr:colOff>
      <xdr:row>1</xdr:row>
      <xdr:rowOff>103586</xdr:rowOff>
    </xdr:from>
    <xdr:to>
      <xdr:col>10</xdr:col>
      <xdr:colOff>5024413</xdr:colOff>
      <xdr:row>2</xdr:row>
      <xdr:rowOff>117146</xdr:rowOff>
    </xdr:to>
    <xdr:cxnSp macro="">
      <xdr:nvCxnSpPr>
        <xdr:cNvPr id="80" name="Straight Connector 79">
          <a:extLst>
            <a:ext uri="{FF2B5EF4-FFF2-40B4-BE49-F238E27FC236}">
              <a16:creationId xmlns:a16="http://schemas.microsoft.com/office/drawing/2014/main" id="{21CBBF81-2886-40AD-9D8A-2FD69AB5EFDD}"/>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733834</xdr:colOff>
      <xdr:row>1</xdr:row>
      <xdr:rowOff>103586</xdr:rowOff>
    </xdr:from>
    <xdr:to>
      <xdr:col>10</xdr:col>
      <xdr:colOff>733834</xdr:colOff>
      <xdr:row>2</xdr:row>
      <xdr:rowOff>117146</xdr:rowOff>
    </xdr:to>
    <xdr:cxnSp macro="">
      <xdr:nvCxnSpPr>
        <xdr:cNvPr id="81" name="Straight Connector 80">
          <a:extLst>
            <a:ext uri="{FF2B5EF4-FFF2-40B4-BE49-F238E27FC236}">
              <a16:creationId xmlns:a16="http://schemas.microsoft.com/office/drawing/2014/main" id="{46F2A12C-3138-4B40-B951-424003454913}"/>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96</xdr:col>
      <xdr:colOff>94261</xdr:colOff>
      <xdr:row>4</xdr:row>
      <xdr:rowOff>0</xdr:rowOff>
    </xdr:to>
    <xdr:sp macro="" textlink="">
      <xdr:nvSpPr>
        <xdr:cNvPr id="3" name="Rectangle 2">
          <a:extLst>
            <a:ext uri="{FF2B5EF4-FFF2-40B4-BE49-F238E27FC236}">
              <a16:creationId xmlns:a16="http://schemas.microsoft.com/office/drawing/2014/main" id="{E0F6F19E-8CE6-4B78-82B3-BAF6916C1F35}"/>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399447</xdr:colOff>
      <xdr:row>1</xdr:row>
      <xdr:rowOff>19879</xdr:rowOff>
    </xdr:from>
    <xdr:to>
      <xdr:col>52</xdr:col>
      <xdr:colOff>664615</xdr:colOff>
      <xdr:row>3</xdr:row>
      <xdr:rowOff>10354</xdr:rowOff>
    </xdr:to>
    <xdr:sp macro="" textlink="">
      <xdr:nvSpPr>
        <xdr:cNvPr id="5" name="TextBox 4">
          <a:hlinkClick xmlns:r="http://schemas.openxmlformats.org/officeDocument/2006/relationships" r:id="rId1"/>
          <a:extLst>
            <a:ext uri="{FF2B5EF4-FFF2-40B4-BE49-F238E27FC236}">
              <a16:creationId xmlns:a16="http://schemas.microsoft.com/office/drawing/2014/main" id="{7E62D0B2-DCF8-4113-8E59-86B1A9E9AE3F}"/>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6" name="Picture 5">
          <a:extLst>
            <a:ext uri="{FF2B5EF4-FFF2-40B4-BE49-F238E27FC236}">
              <a16:creationId xmlns:a16="http://schemas.microsoft.com/office/drawing/2014/main" id="{FF5A37FA-46B3-44C4-94E1-2DCE330374C8}"/>
            </a:ext>
            <a:ext uri="{147F2762-F138-4A5C-976F-8EAC2B608ADB}">
              <a16:predDERef xmlns:a16="http://schemas.microsoft.com/office/drawing/2014/main" pred="{7E62D0B2-DCF8-4113-8E59-86B1A9E9AE3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1288277</xdr:colOff>
      <xdr:row>1</xdr:row>
      <xdr:rowOff>28201</xdr:rowOff>
    </xdr:from>
    <xdr:to>
      <xdr:col>1</xdr:col>
      <xdr:colOff>1288277</xdr:colOff>
      <xdr:row>2</xdr:row>
      <xdr:rowOff>138545</xdr:rowOff>
    </xdr:to>
    <xdr:cxnSp macro="">
      <xdr:nvCxnSpPr>
        <xdr:cNvPr id="41" name="Straight Connector 40">
          <a:extLst>
            <a:ext uri="{FF2B5EF4-FFF2-40B4-BE49-F238E27FC236}">
              <a16:creationId xmlns:a16="http://schemas.microsoft.com/office/drawing/2014/main" id="{3148ECBC-B2E3-49C9-9069-EF20F463CFDA}"/>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10850</xdr:colOff>
      <xdr:row>1</xdr:row>
      <xdr:rowOff>19879</xdr:rowOff>
    </xdr:from>
    <xdr:to>
      <xdr:col>19</xdr:col>
      <xdr:colOff>841552</xdr:colOff>
      <xdr:row>3</xdr:row>
      <xdr:rowOff>10354</xdr:rowOff>
    </xdr:to>
    <xdr:sp macro="" textlink="">
      <xdr:nvSpPr>
        <xdr:cNvPr id="42" name="TextBox 41">
          <a:hlinkClick xmlns:r="http://schemas.openxmlformats.org/officeDocument/2006/relationships" r:id="rId3"/>
          <a:extLst>
            <a:ext uri="{FF2B5EF4-FFF2-40B4-BE49-F238E27FC236}">
              <a16:creationId xmlns:a16="http://schemas.microsoft.com/office/drawing/2014/main" id="{81270823-53A7-4901-B03B-587905477F8C}"/>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19</xdr:col>
      <xdr:colOff>744278</xdr:colOff>
      <xdr:row>1</xdr:row>
      <xdr:rowOff>19879</xdr:rowOff>
    </xdr:from>
    <xdr:to>
      <xdr:col>25</xdr:col>
      <xdr:colOff>693051</xdr:colOff>
      <xdr:row>3</xdr:row>
      <xdr:rowOff>10354</xdr:rowOff>
    </xdr:to>
    <xdr:sp macro="" textlink="">
      <xdr:nvSpPr>
        <xdr:cNvPr id="43" name="TextBox 42">
          <a:hlinkClick xmlns:r="http://schemas.openxmlformats.org/officeDocument/2006/relationships" r:id="rId4"/>
          <a:extLst>
            <a:ext uri="{FF2B5EF4-FFF2-40B4-BE49-F238E27FC236}">
              <a16:creationId xmlns:a16="http://schemas.microsoft.com/office/drawing/2014/main" id="{F8F703D4-19D4-40B6-9858-B39AF3135DE5}"/>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25</xdr:col>
      <xdr:colOff>595777</xdr:colOff>
      <xdr:row>1</xdr:row>
      <xdr:rowOff>19879</xdr:rowOff>
    </xdr:from>
    <xdr:to>
      <xdr:col>31</xdr:col>
      <xdr:colOff>538491</xdr:colOff>
      <xdr:row>3</xdr:row>
      <xdr:rowOff>10354</xdr:rowOff>
    </xdr:to>
    <xdr:sp macro="" textlink="">
      <xdr:nvSpPr>
        <xdr:cNvPr id="44" name="TextBox 43">
          <a:hlinkClick xmlns:r="http://schemas.openxmlformats.org/officeDocument/2006/relationships" r:id="rId5"/>
          <a:extLst>
            <a:ext uri="{FF2B5EF4-FFF2-40B4-BE49-F238E27FC236}">
              <a16:creationId xmlns:a16="http://schemas.microsoft.com/office/drawing/2014/main" id="{CF4FDC66-3E0A-4302-9F9C-90E5851D24DE}"/>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31</xdr:col>
      <xdr:colOff>441217</xdr:colOff>
      <xdr:row>1</xdr:row>
      <xdr:rowOff>19879</xdr:rowOff>
    </xdr:from>
    <xdr:to>
      <xdr:col>37</xdr:col>
      <xdr:colOff>389962</xdr:colOff>
      <xdr:row>3</xdr:row>
      <xdr:rowOff>10354</xdr:rowOff>
    </xdr:to>
    <xdr:sp macro="" textlink="">
      <xdr:nvSpPr>
        <xdr:cNvPr id="45" name="TextBox 44">
          <a:hlinkClick xmlns:r="http://schemas.openxmlformats.org/officeDocument/2006/relationships" r:id="rId6"/>
          <a:extLst>
            <a:ext uri="{FF2B5EF4-FFF2-40B4-BE49-F238E27FC236}">
              <a16:creationId xmlns:a16="http://schemas.microsoft.com/office/drawing/2014/main" id="{4C252BBB-0B6E-456F-978D-2101EBEF6CDC}"/>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37</xdr:col>
      <xdr:colOff>292688</xdr:colOff>
      <xdr:row>1</xdr:row>
      <xdr:rowOff>19879</xdr:rowOff>
    </xdr:from>
    <xdr:to>
      <xdr:col>43</xdr:col>
      <xdr:colOff>245514</xdr:colOff>
      <xdr:row>3</xdr:row>
      <xdr:rowOff>10354</xdr:rowOff>
    </xdr:to>
    <xdr:sp macro="" textlink="">
      <xdr:nvSpPr>
        <xdr:cNvPr id="46" name="TextBox 45">
          <a:hlinkClick xmlns:r="http://schemas.openxmlformats.org/officeDocument/2006/relationships" r:id="rId7"/>
          <a:extLst>
            <a:ext uri="{FF2B5EF4-FFF2-40B4-BE49-F238E27FC236}">
              <a16:creationId xmlns:a16="http://schemas.microsoft.com/office/drawing/2014/main" id="{76153269-34C8-4E0D-981C-7F463F8C6FDB}"/>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Segments</a:t>
          </a:r>
        </a:p>
      </xdr:txBody>
    </xdr:sp>
    <xdr:clientData/>
  </xdr:twoCellAnchor>
  <xdr:twoCellAnchor>
    <xdr:from>
      <xdr:col>43</xdr:col>
      <xdr:colOff>148240</xdr:colOff>
      <xdr:row>1</xdr:row>
      <xdr:rowOff>19879</xdr:rowOff>
    </xdr:from>
    <xdr:to>
      <xdr:col>45</xdr:col>
      <xdr:colOff>93995</xdr:colOff>
      <xdr:row>3</xdr:row>
      <xdr:rowOff>10354</xdr:rowOff>
    </xdr:to>
    <xdr:sp macro="" textlink="">
      <xdr:nvSpPr>
        <xdr:cNvPr id="47" name="TextBox 46">
          <a:hlinkClick xmlns:r="http://schemas.openxmlformats.org/officeDocument/2006/relationships" r:id="rId8"/>
          <a:extLst>
            <a:ext uri="{FF2B5EF4-FFF2-40B4-BE49-F238E27FC236}">
              <a16:creationId xmlns:a16="http://schemas.microsoft.com/office/drawing/2014/main" id="{9C9C2AD0-CFC5-41B2-A7E9-1474D332654F}"/>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44</xdr:col>
      <xdr:colOff>122227</xdr:colOff>
      <xdr:row>1</xdr:row>
      <xdr:rowOff>19879</xdr:rowOff>
    </xdr:from>
    <xdr:to>
      <xdr:col>46</xdr:col>
      <xdr:colOff>66302</xdr:colOff>
      <xdr:row>3</xdr:row>
      <xdr:rowOff>10354</xdr:rowOff>
    </xdr:to>
    <xdr:sp macro="" textlink="">
      <xdr:nvSpPr>
        <xdr:cNvPr id="48" name="TextBox 47">
          <a:hlinkClick xmlns:r="http://schemas.openxmlformats.org/officeDocument/2006/relationships" r:id="rId9"/>
          <a:extLst>
            <a:ext uri="{FF2B5EF4-FFF2-40B4-BE49-F238E27FC236}">
              <a16:creationId xmlns:a16="http://schemas.microsoft.com/office/drawing/2014/main" id="{924D78E9-0E7A-4154-8055-D55DFE4C532F}"/>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45</xdr:col>
      <xdr:colOff>856534</xdr:colOff>
      <xdr:row>1</xdr:row>
      <xdr:rowOff>19879</xdr:rowOff>
    </xdr:from>
    <xdr:to>
      <xdr:col>47</xdr:col>
      <xdr:colOff>803067</xdr:colOff>
      <xdr:row>3</xdr:row>
      <xdr:rowOff>10354</xdr:rowOff>
    </xdr:to>
    <xdr:sp macro="" textlink="">
      <xdr:nvSpPr>
        <xdr:cNvPr id="49" name="TextBox 48">
          <a:hlinkClick xmlns:r="http://schemas.openxmlformats.org/officeDocument/2006/relationships" r:id="rId10"/>
          <a:extLst>
            <a:ext uri="{FF2B5EF4-FFF2-40B4-BE49-F238E27FC236}">
              <a16:creationId xmlns:a16="http://schemas.microsoft.com/office/drawing/2014/main" id="{48FB42B9-F425-4DE6-9CE7-AA4EB04FE331}"/>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47</xdr:col>
      <xdr:colOff>705793</xdr:colOff>
      <xdr:row>1</xdr:row>
      <xdr:rowOff>19879</xdr:rowOff>
    </xdr:from>
    <xdr:to>
      <xdr:col>49</xdr:col>
      <xdr:colOff>652679</xdr:colOff>
      <xdr:row>3</xdr:row>
      <xdr:rowOff>10354</xdr:rowOff>
    </xdr:to>
    <xdr:sp macro="" textlink="">
      <xdr:nvSpPr>
        <xdr:cNvPr id="50" name="TextBox 49">
          <a:hlinkClick xmlns:r="http://schemas.openxmlformats.org/officeDocument/2006/relationships" r:id="rId11"/>
          <a:extLst>
            <a:ext uri="{FF2B5EF4-FFF2-40B4-BE49-F238E27FC236}">
              <a16:creationId xmlns:a16="http://schemas.microsoft.com/office/drawing/2014/main" id="{2ADA61C7-CB7F-4DA1-94DB-07E4368C3DD3}"/>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49</xdr:col>
      <xdr:colOff>555405</xdr:colOff>
      <xdr:row>1</xdr:row>
      <xdr:rowOff>19879</xdr:rowOff>
    </xdr:from>
    <xdr:to>
      <xdr:col>51</xdr:col>
      <xdr:colOff>496721</xdr:colOff>
      <xdr:row>3</xdr:row>
      <xdr:rowOff>10354</xdr:rowOff>
    </xdr:to>
    <xdr:sp macro="" textlink="">
      <xdr:nvSpPr>
        <xdr:cNvPr id="51" name="TextBox 50">
          <a:hlinkClick xmlns:r="http://schemas.openxmlformats.org/officeDocument/2006/relationships" r:id="rId12"/>
          <a:extLst>
            <a:ext uri="{FF2B5EF4-FFF2-40B4-BE49-F238E27FC236}">
              <a16:creationId xmlns:a16="http://schemas.microsoft.com/office/drawing/2014/main" id="{61B8BF55-A4CE-481B-83F5-C204AB43856B}"/>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52</xdr:col>
      <xdr:colOff>567341</xdr:colOff>
      <xdr:row>1</xdr:row>
      <xdr:rowOff>19879</xdr:rowOff>
    </xdr:from>
    <xdr:to>
      <xdr:col>54</xdr:col>
      <xdr:colOff>149882</xdr:colOff>
      <xdr:row>3</xdr:row>
      <xdr:rowOff>10354</xdr:rowOff>
    </xdr:to>
    <xdr:sp macro="" textlink="">
      <xdr:nvSpPr>
        <xdr:cNvPr id="52" name="TextBox 51">
          <a:hlinkClick xmlns:r="http://schemas.openxmlformats.org/officeDocument/2006/relationships" r:id="rId13"/>
          <a:extLst>
            <a:ext uri="{FF2B5EF4-FFF2-40B4-BE49-F238E27FC236}">
              <a16:creationId xmlns:a16="http://schemas.microsoft.com/office/drawing/2014/main" id="{6966545D-8C18-4C85-B6BD-0A3DFC2F38FB}"/>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54</xdr:col>
      <xdr:colOff>52608</xdr:colOff>
      <xdr:row>1</xdr:row>
      <xdr:rowOff>19879</xdr:rowOff>
    </xdr:from>
    <xdr:to>
      <xdr:col>55</xdr:col>
      <xdr:colOff>323961</xdr:colOff>
      <xdr:row>3</xdr:row>
      <xdr:rowOff>10354</xdr:rowOff>
    </xdr:to>
    <xdr:sp macro="" textlink="">
      <xdr:nvSpPr>
        <xdr:cNvPr id="53" name="TextBox 52">
          <a:hlinkClick xmlns:r="http://schemas.openxmlformats.org/officeDocument/2006/relationships" r:id="rId14"/>
          <a:extLst>
            <a:ext uri="{FF2B5EF4-FFF2-40B4-BE49-F238E27FC236}">
              <a16:creationId xmlns:a16="http://schemas.microsoft.com/office/drawing/2014/main" id="{ABA38AA5-4F02-41B3-8C2C-B1777F6C10E7}"/>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55</xdr:col>
      <xdr:colOff>226687</xdr:colOff>
      <xdr:row>1</xdr:row>
      <xdr:rowOff>19879</xdr:rowOff>
    </xdr:from>
    <xdr:to>
      <xdr:col>56</xdr:col>
      <xdr:colOff>496382</xdr:colOff>
      <xdr:row>3</xdr:row>
      <xdr:rowOff>10354</xdr:rowOff>
    </xdr:to>
    <xdr:sp macro="" textlink="">
      <xdr:nvSpPr>
        <xdr:cNvPr id="54" name="TextBox 53">
          <a:hlinkClick xmlns:r="http://schemas.openxmlformats.org/officeDocument/2006/relationships" r:id="rId15"/>
          <a:extLst>
            <a:ext uri="{FF2B5EF4-FFF2-40B4-BE49-F238E27FC236}">
              <a16:creationId xmlns:a16="http://schemas.microsoft.com/office/drawing/2014/main" id="{AA5EF000-3DA8-4126-A51C-29703D70DA9A}"/>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56</xdr:col>
      <xdr:colOff>399108</xdr:colOff>
      <xdr:row>1</xdr:row>
      <xdr:rowOff>19879</xdr:rowOff>
    </xdr:from>
    <xdr:to>
      <xdr:col>57</xdr:col>
      <xdr:colOff>672500</xdr:colOff>
      <xdr:row>3</xdr:row>
      <xdr:rowOff>10354</xdr:rowOff>
    </xdr:to>
    <xdr:sp macro="" textlink="">
      <xdr:nvSpPr>
        <xdr:cNvPr id="55" name="TextBox 54">
          <a:hlinkClick xmlns:r="http://schemas.openxmlformats.org/officeDocument/2006/relationships" r:id="rId16"/>
          <a:extLst>
            <a:ext uri="{FF2B5EF4-FFF2-40B4-BE49-F238E27FC236}">
              <a16:creationId xmlns:a16="http://schemas.microsoft.com/office/drawing/2014/main" id="{5BDBED4E-8D3A-4636-9BE1-3AB780D1291F}"/>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57</xdr:col>
      <xdr:colOff>575237</xdr:colOff>
      <xdr:row>1</xdr:row>
      <xdr:rowOff>19879</xdr:rowOff>
    </xdr:from>
    <xdr:to>
      <xdr:col>59</xdr:col>
      <xdr:colOff>160402</xdr:colOff>
      <xdr:row>3</xdr:row>
      <xdr:rowOff>10354</xdr:rowOff>
    </xdr:to>
    <xdr:sp macro="" textlink="">
      <xdr:nvSpPr>
        <xdr:cNvPr id="56" name="TextBox 55">
          <a:hlinkClick xmlns:r="http://schemas.openxmlformats.org/officeDocument/2006/relationships" r:id="rId17"/>
          <a:extLst>
            <a:ext uri="{FF2B5EF4-FFF2-40B4-BE49-F238E27FC236}">
              <a16:creationId xmlns:a16="http://schemas.microsoft.com/office/drawing/2014/main" id="{B3D4D253-30F2-4D81-82C6-E5B3C7C7A80C}"/>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31</xdr:col>
      <xdr:colOff>489854</xdr:colOff>
      <xdr:row>1</xdr:row>
      <xdr:rowOff>103586</xdr:rowOff>
    </xdr:from>
    <xdr:to>
      <xdr:col>31</xdr:col>
      <xdr:colOff>489854</xdr:colOff>
      <xdr:row>2</xdr:row>
      <xdr:rowOff>117146</xdr:rowOff>
    </xdr:to>
    <xdr:cxnSp macro="">
      <xdr:nvCxnSpPr>
        <xdr:cNvPr id="57" name="Straight Connector 56">
          <a:extLst>
            <a:ext uri="{FF2B5EF4-FFF2-40B4-BE49-F238E27FC236}">
              <a16:creationId xmlns:a16="http://schemas.microsoft.com/office/drawing/2014/main" id="{61AB4289-2826-416C-8D9B-31DF189342A5}"/>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644414</xdr:colOff>
      <xdr:row>1</xdr:row>
      <xdr:rowOff>103586</xdr:rowOff>
    </xdr:from>
    <xdr:to>
      <xdr:col>25</xdr:col>
      <xdr:colOff>644414</xdr:colOff>
      <xdr:row>2</xdr:row>
      <xdr:rowOff>117146</xdr:rowOff>
    </xdr:to>
    <xdr:cxnSp macro="">
      <xdr:nvCxnSpPr>
        <xdr:cNvPr id="58" name="Straight Connector 57">
          <a:extLst>
            <a:ext uri="{FF2B5EF4-FFF2-40B4-BE49-F238E27FC236}">
              <a16:creationId xmlns:a16="http://schemas.microsoft.com/office/drawing/2014/main" id="{69A3933C-3928-4B3A-81FE-0713AB4C16FD}"/>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792915</xdr:colOff>
      <xdr:row>1</xdr:row>
      <xdr:rowOff>103586</xdr:rowOff>
    </xdr:from>
    <xdr:to>
      <xdr:col>19</xdr:col>
      <xdr:colOff>792915</xdr:colOff>
      <xdr:row>2</xdr:row>
      <xdr:rowOff>117146</xdr:rowOff>
    </xdr:to>
    <xdr:cxnSp macro="">
      <xdr:nvCxnSpPr>
        <xdr:cNvPr id="59" name="Straight Connector 58">
          <a:extLst>
            <a:ext uri="{FF2B5EF4-FFF2-40B4-BE49-F238E27FC236}">
              <a16:creationId xmlns:a16="http://schemas.microsoft.com/office/drawing/2014/main" id="{4C4C4B11-4595-453F-919C-520661D9307F}"/>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341325</xdr:colOff>
      <xdr:row>1</xdr:row>
      <xdr:rowOff>103586</xdr:rowOff>
    </xdr:from>
    <xdr:to>
      <xdr:col>37</xdr:col>
      <xdr:colOff>341325</xdr:colOff>
      <xdr:row>2</xdr:row>
      <xdr:rowOff>117146</xdr:rowOff>
    </xdr:to>
    <xdr:cxnSp macro="">
      <xdr:nvCxnSpPr>
        <xdr:cNvPr id="60" name="Straight Connector 59">
          <a:extLst>
            <a:ext uri="{FF2B5EF4-FFF2-40B4-BE49-F238E27FC236}">
              <a16:creationId xmlns:a16="http://schemas.microsoft.com/office/drawing/2014/main" id="{59737CBE-7999-486B-AB2D-CF47DFE0C859}"/>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196877</xdr:colOff>
      <xdr:row>1</xdr:row>
      <xdr:rowOff>103586</xdr:rowOff>
    </xdr:from>
    <xdr:to>
      <xdr:col>43</xdr:col>
      <xdr:colOff>196877</xdr:colOff>
      <xdr:row>2</xdr:row>
      <xdr:rowOff>117146</xdr:rowOff>
    </xdr:to>
    <xdr:cxnSp macro="">
      <xdr:nvCxnSpPr>
        <xdr:cNvPr id="61" name="Straight Connector 60">
          <a:extLst>
            <a:ext uri="{FF2B5EF4-FFF2-40B4-BE49-F238E27FC236}">
              <a16:creationId xmlns:a16="http://schemas.microsoft.com/office/drawing/2014/main" id="{DDF0DDAB-F3DE-4E72-8324-9B205282AD96}"/>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45358</xdr:colOff>
      <xdr:row>1</xdr:row>
      <xdr:rowOff>103586</xdr:rowOff>
    </xdr:from>
    <xdr:to>
      <xdr:col>45</xdr:col>
      <xdr:colOff>45358</xdr:colOff>
      <xdr:row>2</xdr:row>
      <xdr:rowOff>117146</xdr:rowOff>
    </xdr:to>
    <xdr:cxnSp macro="">
      <xdr:nvCxnSpPr>
        <xdr:cNvPr id="62" name="Straight Connector 61">
          <a:extLst>
            <a:ext uri="{FF2B5EF4-FFF2-40B4-BE49-F238E27FC236}">
              <a16:creationId xmlns:a16="http://schemas.microsoft.com/office/drawing/2014/main" id="{E4B1C5AD-282E-4A58-8DBE-EEA5D6B76490}"/>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19346</xdr:colOff>
      <xdr:row>1</xdr:row>
      <xdr:rowOff>103586</xdr:rowOff>
    </xdr:from>
    <xdr:to>
      <xdr:col>46</xdr:col>
      <xdr:colOff>19346</xdr:colOff>
      <xdr:row>2</xdr:row>
      <xdr:rowOff>117146</xdr:rowOff>
    </xdr:to>
    <xdr:cxnSp macro="">
      <xdr:nvCxnSpPr>
        <xdr:cNvPr id="63" name="Straight Connector 62">
          <a:extLst>
            <a:ext uri="{FF2B5EF4-FFF2-40B4-BE49-F238E27FC236}">
              <a16:creationId xmlns:a16="http://schemas.microsoft.com/office/drawing/2014/main" id="{0AD78684-8BC1-4A2B-A4B1-BCBB1A34B128}"/>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754430</xdr:colOff>
      <xdr:row>1</xdr:row>
      <xdr:rowOff>103586</xdr:rowOff>
    </xdr:from>
    <xdr:to>
      <xdr:col>47</xdr:col>
      <xdr:colOff>754430</xdr:colOff>
      <xdr:row>2</xdr:row>
      <xdr:rowOff>117146</xdr:rowOff>
    </xdr:to>
    <xdr:cxnSp macro="">
      <xdr:nvCxnSpPr>
        <xdr:cNvPr id="64" name="Straight Connector 63">
          <a:extLst>
            <a:ext uri="{FF2B5EF4-FFF2-40B4-BE49-F238E27FC236}">
              <a16:creationId xmlns:a16="http://schemas.microsoft.com/office/drawing/2014/main" id="{C0741B33-E8E4-48E2-A968-F8BF720E4AB4}"/>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604042</xdr:colOff>
      <xdr:row>1</xdr:row>
      <xdr:rowOff>103586</xdr:rowOff>
    </xdr:from>
    <xdr:to>
      <xdr:col>49</xdr:col>
      <xdr:colOff>604042</xdr:colOff>
      <xdr:row>2</xdr:row>
      <xdr:rowOff>117146</xdr:rowOff>
    </xdr:to>
    <xdr:cxnSp macro="">
      <xdr:nvCxnSpPr>
        <xdr:cNvPr id="65" name="Straight Connector 64">
          <a:extLst>
            <a:ext uri="{FF2B5EF4-FFF2-40B4-BE49-F238E27FC236}">
              <a16:creationId xmlns:a16="http://schemas.microsoft.com/office/drawing/2014/main" id="{3BBEE929-B4FD-45BF-88A1-408A318FFA62}"/>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615978</xdr:colOff>
      <xdr:row>1</xdr:row>
      <xdr:rowOff>103586</xdr:rowOff>
    </xdr:from>
    <xdr:to>
      <xdr:col>52</xdr:col>
      <xdr:colOff>615978</xdr:colOff>
      <xdr:row>2</xdr:row>
      <xdr:rowOff>117146</xdr:rowOff>
    </xdr:to>
    <xdr:cxnSp macro="">
      <xdr:nvCxnSpPr>
        <xdr:cNvPr id="66" name="Straight Connector 65">
          <a:extLst>
            <a:ext uri="{FF2B5EF4-FFF2-40B4-BE49-F238E27FC236}">
              <a16:creationId xmlns:a16="http://schemas.microsoft.com/office/drawing/2014/main" id="{F246B953-A577-4B16-912C-32FBCF20305A}"/>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101245</xdr:colOff>
      <xdr:row>1</xdr:row>
      <xdr:rowOff>103586</xdr:rowOff>
    </xdr:from>
    <xdr:to>
      <xdr:col>54</xdr:col>
      <xdr:colOff>101245</xdr:colOff>
      <xdr:row>2</xdr:row>
      <xdr:rowOff>117146</xdr:rowOff>
    </xdr:to>
    <xdr:cxnSp macro="">
      <xdr:nvCxnSpPr>
        <xdr:cNvPr id="67" name="Straight Connector 66">
          <a:extLst>
            <a:ext uri="{FF2B5EF4-FFF2-40B4-BE49-F238E27FC236}">
              <a16:creationId xmlns:a16="http://schemas.microsoft.com/office/drawing/2014/main" id="{CFCAA2B7-854B-4B34-A7AC-845B5C226DB1}"/>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275324</xdr:colOff>
      <xdr:row>1</xdr:row>
      <xdr:rowOff>103586</xdr:rowOff>
    </xdr:from>
    <xdr:to>
      <xdr:col>55</xdr:col>
      <xdr:colOff>275324</xdr:colOff>
      <xdr:row>2</xdr:row>
      <xdr:rowOff>117146</xdr:rowOff>
    </xdr:to>
    <xdr:cxnSp macro="">
      <xdr:nvCxnSpPr>
        <xdr:cNvPr id="68" name="Straight Connector 67">
          <a:extLst>
            <a:ext uri="{FF2B5EF4-FFF2-40B4-BE49-F238E27FC236}">
              <a16:creationId xmlns:a16="http://schemas.microsoft.com/office/drawing/2014/main" id="{18F95195-62A4-4354-8200-4F48D5A8D23E}"/>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447745</xdr:colOff>
      <xdr:row>1</xdr:row>
      <xdr:rowOff>103586</xdr:rowOff>
    </xdr:from>
    <xdr:to>
      <xdr:col>56</xdr:col>
      <xdr:colOff>447745</xdr:colOff>
      <xdr:row>2</xdr:row>
      <xdr:rowOff>117146</xdr:rowOff>
    </xdr:to>
    <xdr:cxnSp macro="">
      <xdr:nvCxnSpPr>
        <xdr:cNvPr id="69" name="Straight Connector 68">
          <a:extLst>
            <a:ext uri="{FF2B5EF4-FFF2-40B4-BE49-F238E27FC236}">
              <a16:creationId xmlns:a16="http://schemas.microsoft.com/office/drawing/2014/main" id="{60FD960F-D7CB-4183-B7D3-7C29677B7188}"/>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623863</xdr:colOff>
      <xdr:row>1</xdr:row>
      <xdr:rowOff>103586</xdr:rowOff>
    </xdr:from>
    <xdr:to>
      <xdr:col>57</xdr:col>
      <xdr:colOff>623863</xdr:colOff>
      <xdr:row>2</xdr:row>
      <xdr:rowOff>117146</xdr:rowOff>
    </xdr:to>
    <xdr:cxnSp macro="">
      <xdr:nvCxnSpPr>
        <xdr:cNvPr id="70" name="Straight Connector 69">
          <a:extLst>
            <a:ext uri="{FF2B5EF4-FFF2-40B4-BE49-F238E27FC236}">
              <a16:creationId xmlns:a16="http://schemas.microsoft.com/office/drawing/2014/main" id="{DB8813CF-D24B-4D97-B21D-8CD92B720A53}"/>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448084</xdr:colOff>
      <xdr:row>1</xdr:row>
      <xdr:rowOff>103586</xdr:rowOff>
    </xdr:from>
    <xdr:to>
      <xdr:col>51</xdr:col>
      <xdr:colOff>448084</xdr:colOff>
      <xdr:row>2</xdr:row>
      <xdr:rowOff>117146</xdr:rowOff>
    </xdr:to>
    <xdr:cxnSp macro="">
      <xdr:nvCxnSpPr>
        <xdr:cNvPr id="71" name="Straight Connector 70">
          <a:extLst>
            <a:ext uri="{FF2B5EF4-FFF2-40B4-BE49-F238E27FC236}">
              <a16:creationId xmlns:a16="http://schemas.microsoft.com/office/drawing/2014/main" id="{5C935EBB-8975-4ACE-95E5-F01198A12F4E}"/>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50</xdr:col>
      <xdr:colOff>104775</xdr:colOff>
      <xdr:row>54</xdr:row>
      <xdr:rowOff>38100</xdr:rowOff>
    </xdr:from>
    <xdr:to>
      <xdr:col>56</xdr:col>
      <xdr:colOff>104775</xdr:colOff>
      <xdr:row>68</xdr:row>
      <xdr:rowOff>104775</xdr:rowOff>
    </xdr:to>
    <xdr:pic>
      <xdr:nvPicPr>
        <xdr:cNvPr id="24" name="Picture 1">
          <a:extLst>
            <a:ext uri="{FF2B5EF4-FFF2-40B4-BE49-F238E27FC236}">
              <a16:creationId xmlns:a16="http://schemas.microsoft.com/office/drawing/2014/main" id="{872904AC-8B3D-08E2-2A0A-666DB9482046}"/>
            </a:ext>
            <a:ext uri="{147F2762-F138-4A5C-976F-8EAC2B608ADB}">
              <a16:predDERef xmlns:a16="http://schemas.microsoft.com/office/drawing/2014/main" pred="{5C935EBB-8975-4ACE-95E5-F01198A12F4E}"/>
            </a:ext>
          </a:extLst>
        </xdr:cNvPr>
        <xdr:cNvPicPr>
          <a:picLocks noChangeAspect="1"/>
        </xdr:cNvPicPr>
      </xdr:nvPicPr>
      <xdr:blipFill>
        <a:blip xmlns:r="http://schemas.openxmlformats.org/officeDocument/2006/relationships" r:embed="rId18"/>
        <a:stretch>
          <a:fillRect/>
        </a:stretch>
      </xdr:blipFill>
      <xdr:spPr>
        <a:xfrm>
          <a:off x="11896725" y="9353550"/>
          <a:ext cx="5610225" cy="2733675"/>
        </a:xfrm>
        <a:prstGeom prst="rect">
          <a:avLst/>
        </a:prstGeom>
      </xdr:spPr>
    </xdr:pic>
    <xdr:clientData/>
  </xdr:twoCellAnchor>
  <xdr:twoCellAnchor editAs="oneCell">
    <xdr:from>
      <xdr:col>51</xdr:col>
      <xdr:colOff>38100</xdr:colOff>
      <xdr:row>27</xdr:row>
      <xdr:rowOff>47625</xdr:rowOff>
    </xdr:from>
    <xdr:to>
      <xdr:col>56</xdr:col>
      <xdr:colOff>0</xdr:colOff>
      <xdr:row>49</xdr:row>
      <xdr:rowOff>85725</xdr:rowOff>
    </xdr:to>
    <xdr:pic>
      <xdr:nvPicPr>
        <xdr:cNvPr id="20" name="Picture 3">
          <a:extLst>
            <a:ext uri="{FF2B5EF4-FFF2-40B4-BE49-F238E27FC236}">
              <a16:creationId xmlns:a16="http://schemas.microsoft.com/office/drawing/2014/main" id="{016EF1B4-D9C2-025F-4103-F2D55D9AEC2C}"/>
            </a:ext>
            <a:ext uri="{147F2762-F138-4A5C-976F-8EAC2B608ADB}">
              <a16:predDERef xmlns:a16="http://schemas.microsoft.com/office/drawing/2014/main" pred="{872904AC-8B3D-08E2-2A0A-666DB9482046}"/>
            </a:ext>
          </a:extLst>
        </xdr:cNvPr>
        <xdr:cNvPicPr>
          <a:picLocks noChangeAspect="1"/>
        </xdr:cNvPicPr>
      </xdr:nvPicPr>
      <xdr:blipFill>
        <a:blip xmlns:r="http://schemas.openxmlformats.org/officeDocument/2006/relationships" r:embed="rId19"/>
        <a:stretch>
          <a:fillRect/>
        </a:stretch>
      </xdr:blipFill>
      <xdr:spPr>
        <a:xfrm>
          <a:off x="11953875" y="4762500"/>
          <a:ext cx="5448300" cy="4572000"/>
        </a:xfrm>
        <a:prstGeom prst="rect">
          <a:avLst/>
        </a:prstGeom>
      </xdr:spPr>
    </xdr:pic>
    <xdr:clientData/>
  </xdr:twoCellAnchor>
  <xdr:twoCellAnchor editAs="oneCell">
    <xdr:from>
      <xdr:col>51</xdr:col>
      <xdr:colOff>57150</xdr:colOff>
      <xdr:row>11</xdr:row>
      <xdr:rowOff>133350</xdr:rowOff>
    </xdr:from>
    <xdr:to>
      <xdr:col>55</xdr:col>
      <xdr:colOff>657225</xdr:colOff>
      <xdr:row>26</xdr:row>
      <xdr:rowOff>152400</xdr:rowOff>
    </xdr:to>
    <xdr:pic>
      <xdr:nvPicPr>
        <xdr:cNvPr id="17" name="Picture 6">
          <a:extLst>
            <a:ext uri="{FF2B5EF4-FFF2-40B4-BE49-F238E27FC236}">
              <a16:creationId xmlns:a16="http://schemas.microsoft.com/office/drawing/2014/main" id="{BC0423B3-FB1A-5012-669F-0D5B2A2508D4}"/>
            </a:ext>
            <a:ext uri="{147F2762-F138-4A5C-976F-8EAC2B608ADB}">
              <a16:predDERef xmlns:a16="http://schemas.microsoft.com/office/drawing/2014/main" pred="{016EF1B4-D9C2-025F-4103-F2D55D9AEC2C}"/>
            </a:ext>
          </a:extLst>
        </xdr:cNvPr>
        <xdr:cNvPicPr>
          <a:picLocks noChangeAspect="1"/>
        </xdr:cNvPicPr>
      </xdr:nvPicPr>
      <xdr:blipFill>
        <a:blip xmlns:r="http://schemas.openxmlformats.org/officeDocument/2006/relationships" r:embed="rId20"/>
        <a:stretch>
          <a:fillRect/>
        </a:stretch>
      </xdr:blipFill>
      <xdr:spPr>
        <a:xfrm>
          <a:off x="12201525" y="1800225"/>
          <a:ext cx="5400675" cy="28765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46</xdr:col>
      <xdr:colOff>717308</xdr:colOff>
      <xdr:row>4</xdr:row>
      <xdr:rowOff>0</xdr:rowOff>
    </xdr:to>
    <xdr:sp macro="" textlink="">
      <xdr:nvSpPr>
        <xdr:cNvPr id="14" name="Rectangle 13">
          <a:extLst>
            <a:ext uri="{FF2B5EF4-FFF2-40B4-BE49-F238E27FC236}">
              <a16:creationId xmlns:a16="http://schemas.microsoft.com/office/drawing/2014/main" id="{1E4E01DA-1DC9-48D5-A5EF-A9F2B19DFC53}"/>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596671</xdr:colOff>
      <xdr:row>1</xdr:row>
      <xdr:rowOff>19879</xdr:rowOff>
    </xdr:from>
    <xdr:to>
      <xdr:col>13</xdr:col>
      <xdr:colOff>606344</xdr:colOff>
      <xdr:row>3</xdr:row>
      <xdr:rowOff>10354</xdr:rowOff>
    </xdr:to>
    <xdr:sp macro="" textlink="">
      <xdr:nvSpPr>
        <xdr:cNvPr id="50" name="TextBox 49">
          <a:hlinkClick xmlns:r="http://schemas.openxmlformats.org/officeDocument/2006/relationships" r:id="rId1"/>
          <a:extLst>
            <a:ext uri="{FF2B5EF4-FFF2-40B4-BE49-F238E27FC236}">
              <a16:creationId xmlns:a16="http://schemas.microsoft.com/office/drawing/2014/main" id="{21454B8A-C4D3-6865-B3C3-D55700FE5171}"/>
            </a:ext>
          </a:extLst>
        </xdr:cNvPr>
        <xdr:cNvSpPr txBox="1"/>
      </xdr:nvSpPr>
      <xdr:spPr>
        <a:xfrm>
          <a:off x="12569596" y="210379"/>
          <a:ext cx="95264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15" name="Picture 14">
          <a:extLst>
            <a:ext uri="{FF2B5EF4-FFF2-40B4-BE49-F238E27FC236}">
              <a16:creationId xmlns:a16="http://schemas.microsoft.com/office/drawing/2014/main" id="{1B452CBB-B668-4435-A503-6289600494F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1291639</xdr:colOff>
      <xdr:row>1</xdr:row>
      <xdr:rowOff>28201</xdr:rowOff>
    </xdr:from>
    <xdr:to>
      <xdr:col>1</xdr:col>
      <xdr:colOff>1291639</xdr:colOff>
      <xdr:row>2</xdr:row>
      <xdr:rowOff>138545</xdr:rowOff>
    </xdr:to>
    <xdr:cxnSp macro="">
      <xdr:nvCxnSpPr>
        <xdr:cNvPr id="20" name="Straight Connector 19">
          <a:extLst>
            <a:ext uri="{FF2B5EF4-FFF2-40B4-BE49-F238E27FC236}">
              <a16:creationId xmlns:a16="http://schemas.microsoft.com/office/drawing/2014/main" id="{48E59376-F131-46E6-B942-C61538DE54D6}"/>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478696</xdr:colOff>
      <xdr:row>1</xdr:row>
      <xdr:rowOff>19879</xdr:rowOff>
    </xdr:from>
    <xdr:to>
      <xdr:col>4</xdr:col>
      <xdr:colOff>491928</xdr:colOff>
      <xdr:row>3</xdr:row>
      <xdr:rowOff>10354</xdr:rowOff>
    </xdr:to>
    <xdr:sp macro="" textlink="">
      <xdr:nvSpPr>
        <xdr:cNvPr id="21" name="TextBox 20">
          <a:hlinkClick xmlns:r="http://schemas.openxmlformats.org/officeDocument/2006/relationships" r:id="rId3"/>
          <a:extLst>
            <a:ext uri="{FF2B5EF4-FFF2-40B4-BE49-F238E27FC236}">
              <a16:creationId xmlns:a16="http://schemas.microsoft.com/office/drawing/2014/main" id="{0747EBFC-B320-4A12-913B-15317D4CADAE}"/>
            </a:ext>
          </a:extLst>
        </xdr:cNvPr>
        <xdr:cNvSpPr txBox="1"/>
      </xdr:nvSpPr>
      <xdr:spPr>
        <a:xfrm>
          <a:off x="3964846" y="210379"/>
          <a:ext cx="95620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4</xdr:col>
      <xdr:colOff>394654</xdr:colOff>
      <xdr:row>1</xdr:row>
      <xdr:rowOff>19879</xdr:rowOff>
    </xdr:from>
    <xdr:to>
      <xdr:col>5</xdr:col>
      <xdr:colOff>411783</xdr:colOff>
      <xdr:row>3</xdr:row>
      <xdr:rowOff>10354</xdr:rowOff>
    </xdr:to>
    <xdr:sp macro="" textlink="">
      <xdr:nvSpPr>
        <xdr:cNvPr id="22" name="TextBox 21">
          <a:hlinkClick xmlns:r="http://schemas.openxmlformats.org/officeDocument/2006/relationships" r:id="rId4"/>
          <a:extLst>
            <a:ext uri="{FF2B5EF4-FFF2-40B4-BE49-F238E27FC236}">
              <a16:creationId xmlns:a16="http://schemas.microsoft.com/office/drawing/2014/main" id="{5025120D-B8E6-439F-A184-45ED4C66B3DA}"/>
            </a:ext>
          </a:extLst>
        </xdr:cNvPr>
        <xdr:cNvSpPr txBox="1"/>
      </xdr:nvSpPr>
      <xdr:spPr>
        <a:xfrm>
          <a:off x="4823779" y="210379"/>
          <a:ext cx="96010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5</xdr:col>
      <xdr:colOff>314509</xdr:colOff>
      <xdr:row>1</xdr:row>
      <xdr:rowOff>19879</xdr:rowOff>
    </xdr:from>
    <xdr:to>
      <xdr:col>6</xdr:col>
      <xdr:colOff>325579</xdr:colOff>
      <xdr:row>3</xdr:row>
      <xdr:rowOff>10354</xdr:rowOff>
    </xdr:to>
    <xdr:sp macro="" textlink="">
      <xdr:nvSpPr>
        <xdr:cNvPr id="23" name="TextBox 22">
          <a:hlinkClick xmlns:r="http://schemas.openxmlformats.org/officeDocument/2006/relationships" r:id="rId5"/>
          <a:extLst>
            <a:ext uri="{FF2B5EF4-FFF2-40B4-BE49-F238E27FC236}">
              <a16:creationId xmlns:a16="http://schemas.microsoft.com/office/drawing/2014/main" id="{0C8DEDFE-F7E4-49B6-83B6-2D746467EB11}"/>
            </a:ext>
          </a:extLst>
        </xdr:cNvPr>
        <xdr:cNvSpPr txBox="1"/>
      </xdr:nvSpPr>
      <xdr:spPr>
        <a:xfrm>
          <a:off x="5686609" y="210379"/>
          <a:ext cx="95404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6</xdr:col>
      <xdr:colOff>228305</xdr:colOff>
      <xdr:row>1</xdr:row>
      <xdr:rowOff>19879</xdr:rowOff>
    </xdr:from>
    <xdr:to>
      <xdr:col>7</xdr:col>
      <xdr:colOff>245406</xdr:colOff>
      <xdr:row>3</xdr:row>
      <xdr:rowOff>10354</xdr:rowOff>
    </xdr:to>
    <xdr:sp macro="" textlink="">
      <xdr:nvSpPr>
        <xdr:cNvPr id="24" name="TextBox 23">
          <a:hlinkClick xmlns:r="http://schemas.openxmlformats.org/officeDocument/2006/relationships" r:id="rId6"/>
          <a:extLst>
            <a:ext uri="{FF2B5EF4-FFF2-40B4-BE49-F238E27FC236}">
              <a16:creationId xmlns:a16="http://schemas.microsoft.com/office/drawing/2014/main" id="{2FE398FD-278D-4CA2-8139-851E1E042DD9}"/>
            </a:ext>
          </a:extLst>
        </xdr:cNvPr>
        <xdr:cNvSpPr txBox="1"/>
      </xdr:nvSpPr>
      <xdr:spPr>
        <a:xfrm>
          <a:off x="6543380" y="210379"/>
          <a:ext cx="9600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7</xdr:col>
      <xdr:colOff>148132</xdr:colOff>
      <xdr:row>1</xdr:row>
      <xdr:rowOff>19879</xdr:rowOff>
    </xdr:from>
    <xdr:to>
      <xdr:col>8</xdr:col>
      <xdr:colOff>169314</xdr:colOff>
      <xdr:row>3</xdr:row>
      <xdr:rowOff>10354</xdr:rowOff>
    </xdr:to>
    <xdr:sp macro="" textlink="">
      <xdr:nvSpPr>
        <xdr:cNvPr id="25" name="TextBox 24">
          <a:hlinkClick xmlns:r="http://schemas.openxmlformats.org/officeDocument/2006/relationships" r:id="rId7"/>
          <a:extLst>
            <a:ext uri="{FF2B5EF4-FFF2-40B4-BE49-F238E27FC236}">
              <a16:creationId xmlns:a16="http://schemas.microsoft.com/office/drawing/2014/main" id="{87CB0B90-D070-4E1B-9097-4A41690718FF}"/>
            </a:ext>
          </a:extLst>
        </xdr:cNvPr>
        <xdr:cNvSpPr txBox="1"/>
      </xdr:nvSpPr>
      <xdr:spPr>
        <a:xfrm>
          <a:off x="7406182" y="210379"/>
          <a:ext cx="96415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8</xdr:col>
      <xdr:colOff>72040</xdr:colOff>
      <xdr:row>1</xdr:row>
      <xdr:rowOff>19879</xdr:rowOff>
    </xdr:from>
    <xdr:to>
      <xdr:col>9</xdr:col>
      <xdr:colOff>86151</xdr:colOff>
      <xdr:row>3</xdr:row>
      <xdr:rowOff>10354</xdr:rowOff>
    </xdr:to>
    <xdr:sp macro="" textlink="">
      <xdr:nvSpPr>
        <xdr:cNvPr id="26" name="TextBox 25">
          <a:hlinkClick xmlns:r="http://schemas.openxmlformats.org/officeDocument/2006/relationships" r:id="rId8"/>
          <a:extLst>
            <a:ext uri="{FF2B5EF4-FFF2-40B4-BE49-F238E27FC236}">
              <a16:creationId xmlns:a16="http://schemas.microsoft.com/office/drawing/2014/main" id="{1CA5F316-B070-4EB7-B411-84D833643542}"/>
            </a:ext>
          </a:extLst>
        </xdr:cNvPr>
        <xdr:cNvSpPr txBox="1"/>
      </xdr:nvSpPr>
      <xdr:spPr>
        <a:xfrm>
          <a:off x="8273065" y="210379"/>
          <a:ext cx="95708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Peers</a:t>
          </a:r>
        </a:p>
      </xdr:txBody>
    </xdr:sp>
    <xdr:clientData/>
  </xdr:twoCellAnchor>
  <xdr:twoCellAnchor>
    <xdr:from>
      <xdr:col>8</xdr:col>
      <xdr:colOff>931852</xdr:colOff>
      <xdr:row>1</xdr:row>
      <xdr:rowOff>19879</xdr:rowOff>
    </xdr:from>
    <xdr:to>
      <xdr:col>10</xdr:col>
      <xdr:colOff>2989</xdr:colOff>
      <xdr:row>3</xdr:row>
      <xdr:rowOff>10354</xdr:rowOff>
    </xdr:to>
    <xdr:sp macro="" textlink="">
      <xdr:nvSpPr>
        <xdr:cNvPr id="27" name="TextBox 26">
          <a:hlinkClick xmlns:r="http://schemas.openxmlformats.org/officeDocument/2006/relationships" r:id="rId9"/>
          <a:extLst>
            <a:ext uri="{FF2B5EF4-FFF2-40B4-BE49-F238E27FC236}">
              <a16:creationId xmlns:a16="http://schemas.microsoft.com/office/drawing/2014/main" id="{9D3B267E-8202-443D-B0D7-2995DF0AAD6C}"/>
            </a:ext>
          </a:extLst>
        </xdr:cNvPr>
        <xdr:cNvSpPr txBox="1"/>
      </xdr:nvSpPr>
      <xdr:spPr>
        <a:xfrm>
          <a:off x="9132877" y="210379"/>
          <a:ext cx="95708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9</xdr:col>
      <xdr:colOff>848690</xdr:colOff>
      <xdr:row>1</xdr:row>
      <xdr:rowOff>19879</xdr:rowOff>
    </xdr:from>
    <xdr:to>
      <xdr:col>10</xdr:col>
      <xdr:colOff>863579</xdr:colOff>
      <xdr:row>3</xdr:row>
      <xdr:rowOff>10354</xdr:rowOff>
    </xdr:to>
    <xdr:sp macro="" textlink="">
      <xdr:nvSpPr>
        <xdr:cNvPr id="28" name="TextBox 27">
          <a:hlinkClick xmlns:r="http://schemas.openxmlformats.org/officeDocument/2006/relationships" r:id="rId10"/>
          <a:extLst>
            <a:ext uri="{FF2B5EF4-FFF2-40B4-BE49-F238E27FC236}">
              <a16:creationId xmlns:a16="http://schemas.microsoft.com/office/drawing/2014/main" id="{AAC15DD9-C0DE-4DFC-9719-B4F7DA2BF78D}"/>
            </a:ext>
          </a:extLst>
        </xdr:cNvPr>
        <xdr:cNvSpPr txBox="1"/>
      </xdr:nvSpPr>
      <xdr:spPr>
        <a:xfrm>
          <a:off x="9992690" y="210379"/>
          <a:ext cx="9578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10</xdr:col>
      <xdr:colOff>766305</xdr:colOff>
      <xdr:row>1</xdr:row>
      <xdr:rowOff>19879</xdr:rowOff>
    </xdr:from>
    <xdr:to>
      <xdr:col>11</xdr:col>
      <xdr:colOff>781547</xdr:colOff>
      <xdr:row>3</xdr:row>
      <xdr:rowOff>10354</xdr:rowOff>
    </xdr:to>
    <xdr:sp macro="" textlink="">
      <xdr:nvSpPr>
        <xdr:cNvPr id="29" name="TextBox 28">
          <a:hlinkClick xmlns:r="http://schemas.openxmlformats.org/officeDocument/2006/relationships" r:id="rId11"/>
          <a:extLst>
            <a:ext uri="{FF2B5EF4-FFF2-40B4-BE49-F238E27FC236}">
              <a16:creationId xmlns:a16="http://schemas.microsoft.com/office/drawing/2014/main" id="{2C886B9A-40F0-4C77-A003-3C7709B577A6}"/>
            </a:ext>
          </a:extLst>
        </xdr:cNvPr>
        <xdr:cNvSpPr txBox="1"/>
      </xdr:nvSpPr>
      <xdr:spPr>
        <a:xfrm>
          <a:off x="10853280" y="210379"/>
          <a:ext cx="95821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11</xdr:col>
      <xdr:colOff>684273</xdr:colOff>
      <xdr:row>1</xdr:row>
      <xdr:rowOff>19879</xdr:rowOff>
    </xdr:from>
    <xdr:to>
      <xdr:col>12</xdr:col>
      <xdr:colOff>693945</xdr:colOff>
      <xdr:row>3</xdr:row>
      <xdr:rowOff>10354</xdr:rowOff>
    </xdr:to>
    <xdr:sp macro="" textlink="">
      <xdr:nvSpPr>
        <xdr:cNvPr id="30" name="TextBox 29">
          <a:hlinkClick xmlns:r="http://schemas.openxmlformats.org/officeDocument/2006/relationships" r:id="rId12"/>
          <a:extLst>
            <a:ext uri="{FF2B5EF4-FFF2-40B4-BE49-F238E27FC236}">
              <a16:creationId xmlns:a16="http://schemas.microsoft.com/office/drawing/2014/main" id="{A52FF790-07C8-49ED-AF46-6ADD3F0B34B5}"/>
            </a:ext>
          </a:extLst>
        </xdr:cNvPr>
        <xdr:cNvSpPr txBox="1"/>
      </xdr:nvSpPr>
      <xdr:spPr>
        <a:xfrm>
          <a:off x="11714223" y="210379"/>
          <a:ext cx="95264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13</xdr:col>
      <xdr:colOff>509070</xdr:colOff>
      <xdr:row>1</xdr:row>
      <xdr:rowOff>19879</xdr:rowOff>
    </xdr:from>
    <xdr:to>
      <xdr:col>14</xdr:col>
      <xdr:colOff>521917</xdr:colOff>
      <xdr:row>3</xdr:row>
      <xdr:rowOff>10354</xdr:rowOff>
    </xdr:to>
    <xdr:sp macro="" textlink="">
      <xdr:nvSpPr>
        <xdr:cNvPr id="31" name="TextBox 30">
          <a:hlinkClick xmlns:r="http://schemas.openxmlformats.org/officeDocument/2006/relationships" r:id="rId13"/>
          <a:extLst>
            <a:ext uri="{FF2B5EF4-FFF2-40B4-BE49-F238E27FC236}">
              <a16:creationId xmlns:a16="http://schemas.microsoft.com/office/drawing/2014/main" id="{C3D526A2-0DC0-40BE-8F06-872D5D75B9F5}"/>
            </a:ext>
          </a:extLst>
        </xdr:cNvPr>
        <xdr:cNvSpPr txBox="1"/>
      </xdr:nvSpPr>
      <xdr:spPr>
        <a:xfrm>
          <a:off x="13424970" y="210379"/>
          <a:ext cx="95582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14</xdr:col>
      <xdr:colOff>424643</xdr:colOff>
      <xdr:row>1</xdr:row>
      <xdr:rowOff>19879</xdr:rowOff>
    </xdr:from>
    <xdr:to>
      <xdr:col>15</xdr:col>
      <xdr:colOff>440502</xdr:colOff>
      <xdr:row>3</xdr:row>
      <xdr:rowOff>10354</xdr:rowOff>
    </xdr:to>
    <xdr:sp macro="" textlink="">
      <xdr:nvSpPr>
        <xdr:cNvPr id="32" name="TextBox 31">
          <a:hlinkClick xmlns:r="http://schemas.openxmlformats.org/officeDocument/2006/relationships" r:id="rId14"/>
          <a:extLst>
            <a:ext uri="{FF2B5EF4-FFF2-40B4-BE49-F238E27FC236}">
              <a16:creationId xmlns:a16="http://schemas.microsoft.com/office/drawing/2014/main" id="{E06CA26A-A650-4852-8A98-8835F0FC3098}"/>
            </a:ext>
          </a:extLst>
        </xdr:cNvPr>
        <xdr:cNvSpPr txBox="1"/>
      </xdr:nvSpPr>
      <xdr:spPr>
        <a:xfrm>
          <a:off x="14283518" y="210379"/>
          <a:ext cx="95883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15</xdr:col>
      <xdr:colOff>343228</xdr:colOff>
      <xdr:row>1</xdr:row>
      <xdr:rowOff>19879</xdr:rowOff>
    </xdr:from>
    <xdr:to>
      <xdr:col>16</xdr:col>
      <xdr:colOff>357429</xdr:colOff>
      <xdr:row>3</xdr:row>
      <xdr:rowOff>10354</xdr:rowOff>
    </xdr:to>
    <xdr:sp macro="" textlink="">
      <xdr:nvSpPr>
        <xdr:cNvPr id="33" name="TextBox 32">
          <a:hlinkClick xmlns:r="http://schemas.openxmlformats.org/officeDocument/2006/relationships" r:id="rId15"/>
          <a:extLst>
            <a:ext uri="{FF2B5EF4-FFF2-40B4-BE49-F238E27FC236}">
              <a16:creationId xmlns:a16="http://schemas.microsoft.com/office/drawing/2014/main" id="{80ACEBD4-E58E-42D5-A36D-714FFA8B983B}"/>
            </a:ext>
          </a:extLst>
        </xdr:cNvPr>
        <xdr:cNvSpPr txBox="1"/>
      </xdr:nvSpPr>
      <xdr:spPr>
        <a:xfrm>
          <a:off x="15145078" y="210379"/>
          <a:ext cx="9571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16</xdr:col>
      <xdr:colOff>260155</xdr:colOff>
      <xdr:row>1</xdr:row>
      <xdr:rowOff>19879</xdr:rowOff>
    </xdr:from>
    <xdr:to>
      <xdr:col>17</xdr:col>
      <xdr:colOff>278053</xdr:colOff>
      <xdr:row>3</xdr:row>
      <xdr:rowOff>10354</xdr:rowOff>
    </xdr:to>
    <xdr:sp macro="" textlink="">
      <xdr:nvSpPr>
        <xdr:cNvPr id="34" name="TextBox 33">
          <a:hlinkClick xmlns:r="http://schemas.openxmlformats.org/officeDocument/2006/relationships" r:id="rId16"/>
          <a:extLst>
            <a:ext uri="{FF2B5EF4-FFF2-40B4-BE49-F238E27FC236}">
              <a16:creationId xmlns:a16="http://schemas.microsoft.com/office/drawing/2014/main" id="{6D2E25FA-794C-4798-A861-056447095CCD}"/>
            </a:ext>
          </a:extLst>
        </xdr:cNvPr>
        <xdr:cNvSpPr txBox="1"/>
      </xdr:nvSpPr>
      <xdr:spPr>
        <a:xfrm>
          <a:off x="16004980" y="210379"/>
          <a:ext cx="96087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17</xdr:col>
      <xdr:colOff>180790</xdr:colOff>
      <xdr:row>1</xdr:row>
      <xdr:rowOff>19879</xdr:rowOff>
    </xdr:from>
    <xdr:to>
      <xdr:col>18</xdr:col>
      <xdr:colOff>196261</xdr:colOff>
      <xdr:row>3</xdr:row>
      <xdr:rowOff>10354</xdr:rowOff>
    </xdr:to>
    <xdr:sp macro="" textlink="">
      <xdr:nvSpPr>
        <xdr:cNvPr id="35" name="TextBox 34">
          <a:hlinkClick xmlns:r="http://schemas.openxmlformats.org/officeDocument/2006/relationships" r:id="rId17"/>
          <a:extLst>
            <a:ext uri="{FF2B5EF4-FFF2-40B4-BE49-F238E27FC236}">
              <a16:creationId xmlns:a16="http://schemas.microsoft.com/office/drawing/2014/main" id="{EEB218FE-5597-417C-A9EE-78C91D3344CE}"/>
            </a:ext>
          </a:extLst>
        </xdr:cNvPr>
        <xdr:cNvSpPr txBox="1"/>
      </xdr:nvSpPr>
      <xdr:spPr>
        <a:xfrm>
          <a:off x="16868590" y="210379"/>
          <a:ext cx="95844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6</xdr:col>
      <xdr:colOff>276942</xdr:colOff>
      <xdr:row>1</xdr:row>
      <xdr:rowOff>103586</xdr:rowOff>
    </xdr:from>
    <xdr:to>
      <xdr:col>6</xdr:col>
      <xdr:colOff>276942</xdr:colOff>
      <xdr:row>2</xdr:row>
      <xdr:rowOff>117146</xdr:rowOff>
    </xdr:to>
    <xdr:cxnSp macro="">
      <xdr:nvCxnSpPr>
        <xdr:cNvPr id="36" name="Straight Connector 35">
          <a:extLst>
            <a:ext uri="{FF2B5EF4-FFF2-40B4-BE49-F238E27FC236}">
              <a16:creationId xmlns:a16="http://schemas.microsoft.com/office/drawing/2014/main" id="{CA4D56D3-E2DF-4E85-A6E2-321C6AAF4EBB}"/>
            </a:ext>
          </a:extLst>
        </xdr:cNvPr>
        <xdr:cNvCxnSpPr/>
      </xdr:nvCxnSpPr>
      <xdr:spPr>
        <a:xfrm>
          <a:off x="659201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363146</xdr:colOff>
      <xdr:row>1</xdr:row>
      <xdr:rowOff>103586</xdr:rowOff>
    </xdr:from>
    <xdr:to>
      <xdr:col>5</xdr:col>
      <xdr:colOff>363146</xdr:colOff>
      <xdr:row>2</xdr:row>
      <xdr:rowOff>117146</xdr:rowOff>
    </xdr:to>
    <xdr:cxnSp macro="">
      <xdr:nvCxnSpPr>
        <xdr:cNvPr id="37" name="Straight Connector 36">
          <a:extLst>
            <a:ext uri="{FF2B5EF4-FFF2-40B4-BE49-F238E27FC236}">
              <a16:creationId xmlns:a16="http://schemas.microsoft.com/office/drawing/2014/main" id="{856508DE-E573-4F77-8251-33A78FA7ADC8}"/>
            </a:ext>
          </a:extLst>
        </xdr:cNvPr>
        <xdr:cNvCxnSpPr/>
      </xdr:nvCxnSpPr>
      <xdr:spPr>
        <a:xfrm>
          <a:off x="5735246"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443291</xdr:colOff>
      <xdr:row>1</xdr:row>
      <xdr:rowOff>103586</xdr:rowOff>
    </xdr:from>
    <xdr:to>
      <xdr:col>4</xdr:col>
      <xdr:colOff>443291</xdr:colOff>
      <xdr:row>2</xdr:row>
      <xdr:rowOff>117146</xdr:rowOff>
    </xdr:to>
    <xdr:cxnSp macro="">
      <xdr:nvCxnSpPr>
        <xdr:cNvPr id="38" name="Straight Connector 37">
          <a:extLst>
            <a:ext uri="{FF2B5EF4-FFF2-40B4-BE49-F238E27FC236}">
              <a16:creationId xmlns:a16="http://schemas.microsoft.com/office/drawing/2014/main" id="{49C36CF0-6157-48E3-A665-FC3192E553FF}"/>
            </a:ext>
          </a:extLst>
        </xdr:cNvPr>
        <xdr:cNvCxnSpPr/>
      </xdr:nvCxnSpPr>
      <xdr:spPr>
        <a:xfrm>
          <a:off x="4872416"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196769</xdr:colOff>
      <xdr:row>1</xdr:row>
      <xdr:rowOff>103586</xdr:rowOff>
    </xdr:from>
    <xdr:to>
      <xdr:col>7</xdr:col>
      <xdr:colOff>196769</xdr:colOff>
      <xdr:row>2</xdr:row>
      <xdr:rowOff>117146</xdr:rowOff>
    </xdr:to>
    <xdr:cxnSp macro="">
      <xdr:nvCxnSpPr>
        <xdr:cNvPr id="39" name="Straight Connector 38">
          <a:extLst>
            <a:ext uri="{FF2B5EF4-FFF2-40B4-BE49-F238E27FC236}">
              <a16:creationId xmlns:a16="http://schemas.microsoft.com/office/drawing/2014/main" id="{8F8EF1EE-96AF-4671-A775-1C9E9F5B626E}"/>
            </a:ext>
          </a:extLst>
        </xdr:cNvPr>
        <xdr:cNvCxnSpPr/>
      </xdr:nvCxnSpPr>
      <xdr:spPr>
        <a:xfrm>
          <a:off x="7454819"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120677</xdr:colOff>
      <xdr:row>1</xdr:row>
      <xdr:rowOff>103586</xdr:rowOff>
    </xdr:from>
    <xdr:to>
      <xdr:col>8</xdr:col>
      <xdr:colOff>120677</xdr:colOff>
      <xdr:row>2</xdr:row>
      <xdr:rowOff>117146</xdr:rowOff>
    </xdr:to>
    <xdr:cxnSp macro="">
      <xdr:nvCxnSpPr>
        <xdr:cNvPr id="40" name="Straight Connector 39">
          <a:extLst>
            <a:ext uri="{FF2B5EF4-FFF2-40B4-BE49-F238E27FC236}">
              <a16:creationId xmlns:a16="http://schemas.microsoft.com/office/drawing/2014/main" id="{EF72FF29-A8AB-4618-BB08-B64525A726EA}"/>
            </a:ext>
          </a:extLst>
        </xdr:cNvPr>
        <xdr:cNvCxnSpPr/>
      </xdr:nvCxnSpPr>
      <xdr:spPr>
        <a:xfrm>
          <a:off x="832170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37514</xdr:colOff>
      <xdr:row>1</xdr:row>
      <xdr:rowOff>103586</xdr:rowOff>
    </xdr:from>
    <xdr:to>
      <xdr:col>9</xdr:col>
      <xdr:colOff>37514</xdr:colOff>
      <xdr:row>2</xdr:row>
      <xdr:rowOff>117146</xdr:rowOff>
    </xdr:to>
    <xdr:cxnSp macro="">
      <xdr:nvCxnSpPr>
        <xdr:cNvPr id="41" name="Straight Connector 40">
          <a:extLst>
            <a:ext uri="{FF2B5EF4-FFF2-40B4-BE49-F238E27FC236}">
              <a16:creationId xmlns:a16="http://schemas.microsoft.com/office/drawing/2014/main" id="{F7CD5FBC-0323-40DE-B30A-190FB0B1CF28}"/>
            </a:ext>
          </a:extLst>
        </xdr:cNvPr>
        <xdr:cNvCxnSpPr/>
      </xdr:nvCxnSpPr>
      <xdr:spPr>
        <a:xfrm>
          <a:off x="918151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897327</xdr:colOff>
      <xdr:row>1</xdr:row>
      <xdr:rowOff>103586</xdr:rowOff>
    </xdr:from>
    <xdr:to>
      <xdr:col>9</xdr:col>
      <xdr:colOff>897327</xdr:colOff>
      <xdr:row>2</xdr:row>
      <xdr:rowOff>117146</xdr:rowOff>
    </xdr:to>
    <xdr:cxnSp macro="">
      <xdr:nvCxnSpPr>
        <xdr:cNvPr id="42" name="Straight Connector 41">
          <a:extLst>
            <a:ext uri="{FF2B5EF4-FFF2-40B4-BE49-F238E27FC236}">
              <a16:creationId xmlns:a16="http://schemas.microsoft.com/office/drawing/2014/main" id="{A8F65D51-25F0-4F49-B8FC-E32BC41DA29D}"/>
            </a:ext>
          </a:extLst>
        </xdr:cNvPr>
        <xdr:cNvCxnSpPr/>
      </xdr:nvCxnSpPr>
      <xdr:spPr>
        <a:xfrm>
          <a:off x="1004132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814942</xdr:colOff>
      <xdr:row>1</xdr:row>
      <xdr:rowOff>103586</xdr:rowOff>
    </xdr:from>
    <xdr:to>
      <xdr:col>10</xdr:col>
      <xdr:colOff>814942</xdr:colOff>
      <xdr:row>2</xdr:row>
      <xdr:rowOff>117146</xdr:rowOff>
    </xdr:to>
    <xdr:cxnSp macro="">
      <xdr:nvCxnSpPr>
        <xdr:cNvPr id="43" name="Straight Connector 42">
          <a:extLst>
            <a:ext uri="{FF2B5EF4-FFF2-40B4-BE49-F238E27FC236}">
              <a16:creationId xmlns:a16="http://schemas.microsoft.com/office/drawing/2014/main" id="{20035DFA-7E48-40F1-B370-D7DE39ECD4F7}"/>
            </a:ext>
          </a:extLst>
        </xdr:cNvPr>
        <xdr:cNvCxnSpPr/>
      </xdr:nvCxnSpPr>
      <xdr:spPr>
        <a:xfrm>
          <a:off x="1090191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732910</xdr:colOff>
      <xdr:row>1</xdr:row>
      <xdr:rowOff>103586</xdr:rowOff>
    </xdr:from>
    <xdr:to>
      <xdr:col>11</xdr:col>
      <xdr:colOff>732910</xdr:colOff>
      <xdr:row>2</xdr:row>
      <xdr:rowOff>117146</xdr:rowOff>
    </xdr:to>
    <xdr:cxnSp macro="">
      <xdr:nvCxnSpPr>
        <xdr:cNvPr id="44" name="Straight Connector 43">
          <a:extLst>
            <a:ext uri="{FF2B5EF4-FFF2-40B4-BE49-F238E27FC236}">
              <a16:creationId xmlns:a16="http://schemas.microsoft.com/office/drawing/2014/main" id="{98376886-A700-4FF5-9C1A-6AF850442586}"/>
            </a:ext>
          </a:extLst>
        </xdr:cNvPr>
        <xdr:cNvCxnSpPr/>
      </xdr:nvCxnSpPr>
      <xdr:spPr>
        <a:xfrm>
          <a:off x="1176286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557707</xdr:colOff>
      <xdr:row>1</xdr:row>
      <xdr:rowOff>103586</xdr:rowOff>
    </xdr:from>
    <xdr:to>
      <xdr:col>13</xdr:col>
      <xdr:colOff>557707</xdr:colOff>
      <xdr:row>2</xdr:row>
      <xdr:rowOff>117146</xdr:rowOff>
    </xdr:to>
    <xdr:cxnSp macro="">
      <xdr:nvCxnSpPr>
        <xdr:cNvPr id="45" name="Straight Connector 44">
          <a:extLst>
            <a:ext uri="{FF2B5EF4-FFF2-40B4-BE49-F238E27FC236}">
              <a16:creationId xmlns:a16="http://schemas.microsoft.com/office/drawing/2014/main" id="{60A9DF5B-DA09-4B07-BB18-EC1D71BE74FE}"/>
            </a:ext>
          </a:extLst>
        </xdr:cNvPr>
        <xdr:cNvCxnSpPr/>
      </xdr:nvCxnSpPr>
      <xdr:spPr>
        <a:xfrm>
          <a:off x="1347360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473280</xdr:colOff>
      <xdr:row>1</xdr:row>
      <xdr:rowOff>103586</xdr:rowOff>
    </xdr:from>
    <xdr:to>
      <xdr:col>14</xdr:col>
      <xdr:colOff>473280</xdr:colOff>
      <xdr:row>2</xdr:row>
      <xdr:rowOff>117146</xdr:rowOff>
    </xdr:to>
    <xdr:cxnSp macro="">
      <xdr:nvCxnSpPr>
        <xdr:cNvPr id="46" name="Straight Connector 45">
          <a:extLst>
            <a:ext uri="{FF2B5EF4-FFF2-40B4-BE49-F238E27FC236}">
              <a16:creationId xmlns:a16="http://schemas.microsoft.com/office/drawing/2014/main" id="{60C1472F-7466-47F0-8E97-567C273090D9}"/>
            </a:ext>
          </a:extLst>
        </xdr:cNvPr>
        <xdr:cNvCxnSpPr/>
      </xdr:nvCxnSpPr>
      <xdr:spPr>
        <a:xfrm>
          <a:off x="1433215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391865</xdr:colOff>
      <xdr:row>1</xdr:row>
      <xdr:rowOff>103586</xdr:rowOff>
    </xdr:from>
    <xdr:to>
      <xdr:col>15</xdr:col>
      <xdr:colOff>391865</xdr:colOff>
      <xdr:row>2</xdr:row>
      <xdr:rowOff>117146</xdr:rowOff>
    </xdr:to>
    <xdr:cxnSp macro="">
      <xdr:nvCxnSpPr>
        <xdr:cNvPr id="47" name="Straight Connector 46">
          <a:extLst>
            <a:ext uri="{FF2B5EF4-FFF2-40B4-BE49-F238E27FC236}">
              <a16:creationId xmlns:a16="http://schemas.microsoft.com/office/drawing/2014/main" id="{10E62865-ED04-4924-87A1-24E8CA340D9F}"/>
            </a:ext>
          </a:extLst>
        </xdr:cNvPr>
        <xdr:cNvCxnSpPr/>
      </xdr:nvCxnSpPr>
      <xdr:spPr>
        <a:xfrm>
          <a:off x="151937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308792</xdr:colOff>
      <xdr:row>1</xdr:row>
      <xdr:rowOff>103586</xdr:rowOff>
    </xdr:from>
    <xdr:to>
      <xdr:col>16</xdr:col>
      <xdr:colOff>308792</xdr:colOff>
      <xdr:row>2</xdr:row>
      <xdr:rowOff>117146</xdr:rowOff>
    </xdr:to>
    <xdr:cxnSp macro="">
      <xdr:nvCxnSpPr>
        <xdr:cNvPr id="48" name="Straight Connector 47">
          <a:extLst>
            <a:ext uri="{FF2B5EF4-FFF2-40B4-BE49-F238E27FC236}">
              <a16:creationId xmlns:a16="http://schemas.microsoft.com/office/drawing/2014/main" id="{A1D2C990-FFD6-499A-9A96-BA8441209923}"/>
            </a:ext>
          </a:extLst>
        </xdr:cNvPr>
        <xdr:cNvCxnSpPr/>
      </xdr:nvCxnSpPr>
      <xdr:spPr>
        <a:xfrm>
          <a:off x="1605361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229416</xdr:colOff>
      <xdr:row>1</xdr:row>
      <xdr:rowOff>103586</xdr:rowOff>
    </xdr:from>
    <xdr:to>
      <xdr:col>17</xdr:col>
      <xdr:colOff>229416</xdr:colOff>
      <xdr:row>2</xdr:row>
      <xdr:rowOff>117146</xdr:rowOff>
    </xdr:to>
    <xdr:cxnSp macro="">
      <xdr:nvCxnSpPr>
        <xdr:cNvPr id="49" name="Straight Connector 48">
          <a:extLst>
            <a:ext uri="{FF2B5EF4-FFF2-40B4-BE49-F238E27FC236}">
              <a16:creationId xmlns:a16="http://schemas.microsoft.com/office/drawing/2014/main" id="{78977976-5838-4ACB-BE08-9CBD213047BF}"/>
            </a:ext>
          </a:extLst>
        </xdr:cNvPr>
        <xdr:cNvCxnSpPr/>
      </xdr:nvCxnSpPr>
      <xdr:spPr>
        <a:xfrm>
          <a:off x="16917216"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645308</xdr:colOff>
      <xdr:row>1</xdr:row>
      <xdr:rowOff>103586</xdr:rowOff>
    </xdr:from>
    <xdr:to>
      <xdr:col>12</xdr:col>
      <xdr:colOff>645308</xdr:colOff>
      <xdr:row>2</xdr:row>
      <xdr:rowOff>117146</xdr:rowOff>
    </xdr:to>
    <xdr:cxnSp macro="">
      <xdr:nvCxnSpPr>
        <xdr:cNvPr id="52" name="Straight Connector 51">
          <a:extLst>
            <a:ext uri="{FF2B5EF4-FFF2-40B4-BE49-F238E27FC236}">
              <a16:creationId xmlns:a16="http://schemas.microsoft.com/office/drawing/2014/main" id="{A8C13133-9535-FBE8-2786-E1B7418F22C9}"/>
            </a:ext>
          </a:extLst>
        </xdr:cNvPr>
        <xdr:cNvCxnSpPr/>
      </xdr:nvCxnSpPr>
      <xdr:spPr>
        <a:xfrm>
          <a:off x="1261823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42</xdr:col>
      <xdr:colOff>35378</xdr:colOff>
      <xdr:row>40</xdr:row>
      <xdr:rowOff>47625</xdr:rowOff>
    </xdr:from>
    <xdr:to>
      <xdr:col>50</xdr:col>
      <xdr:colOff>578303</xdr:colOff>
      <xdr:row>58</xdr:row>
      <xdr:rowOff>85725</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193221</xdr:colOff>
      <xdr:row>5</xdr:row>
      <xdr:rowOff>136070</xdr:rowOff>
    </xdr:from>
    <xdr:to>
      <xdr:col>51</xdr:col>
      <xdr:colOff>370114</xdr:colOff>
      <xdr:row>36</xdr:row>
      <xdr:rowOff>54427</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63</xdr:col>
      <xdr:colOff>103786</xdr:colOff>
      <xdr:row>4</xdr:row>
      <xdr:rowOff>0</xdr:rowOff>
    </xdr:to>
    <xdr:sp macro="" textlink="">
      <xdr:nvSpPr>
        <xdr:cNvPr id="8" name="Rectangle 7">
          <a:extLst>
            <a:ext uri="{FF2B5EF4-FFF2-40B4-BE49-F238E27FC236}">
              <a16:creationId xmlns:a16="http://schemas.microsoft.com/office/drawing/2014/main" id="{FF63C986-8D71-401D-B4AF-72EDC146E81F}"/>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199422</xdr:colOff>
      <xdr:row>1</xdr:row>
      <xdr:rowOff>19879</xdr:rowOff>
    </xdr:from>
    <xdr:to>
      <xdr:col>18</xdr:col>
      <xdr:colOff>293140</xdr:colOff>
      <xdr:row>3</xdr:row>
      <xdr:rowOff>10354</xdr:rowOff>
    </xdr:to>
    <xdr:sp macro="" textlink="">
      <xdr:nvSpPr>
        <xdr:cNvPr id="9" name="TextBox 8">
          <a:hlinkClick xmlns:r="http://schemas.openxmlformats.org/officeDocument/2006/relationships" r:id="rId3"/>
          <a:extLst>
            <a:ext uri="{FF2B5EF4-FFF2-40B4-BE49-F238E27FC236}">
              <a16:creationId xmlns:a16="http://schemas.microsoft.com/office/drawing/2014/main" id="{3728F7E1-2047-42C0-9F89-E756AE183D1A}"/>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10" name="Picture 9">
          <a:extLst>
            <a:ext uri="{FF2B5EF4-FFF2-40B4-BE49-F238E27FC236}">
              <a16:creationId xmlns:a16="http://schemas.microsoft.com/office/drawing/2014/main" id="{60340CBF-200B-4C28-AF80-04F62DA58DC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1288277</xdr:colOff>
      <xdr:row>1</xdr:row>
      <xdr:rowOff>28201</xdr:rowOff>
    </xdr:from>
    <xdr:to>
      <xdr:col>1</xdr:col>
      <xdr:colOff>1288277</xdr:colOff>
      <xdr:row>2</xdr:row>
      <xdr:rowOff>138545</xdr:rowOff>
    </xdr:to>
    <xdr:cxnSp macro="">
      <xdr:nvCxnSpPr>
        <xdr:cNvPr id="12" name="Straight Connector 11">
          <a:extLst>
            <a:ext uri="{FF2B5EF4-FFF2-40B4-BE49-F238E27FC236}">
              <a16:creationId xmlns:a16="http://schemas.microsoft.com/office/drawing/2014/main" id="{122036AA-4706-4E36-95BE-9F75F0DC03AF}"/>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29900</xdr:colOff>
      <xdr:row>1</xdr:row>
      <xdr:rowOff>19879</xdr:rowOff>
    </xdr:from>
    <xdr:to>
      <xdr:col>5</xdr:col>
      <xdr:colOff>327202</xdr:colOff>
      <xdr:row>3</xdr:row>
      <xdr:rowOff>10354</xdr:rowOff>
    </xdr:to>
    <xdr:sp macro="" textlink="">
      <xdr:nvSpPr>
        <xdr:cNvPr id="13" name="TextBox 12">
          <a:hlinkClick xmlns:r="http://schemas.openxmlformats.org/officeDocument/2006/relationships" r:id="rId5"/>
          <a:extLst>
            <a:ext uri="{FF2B5EF4-FFF2-40B4-BE49-F238E27FC236}">
              <a16:creationId xmlns:a16="http://schemas.microsoft.com/office/drawing/2014/main" id="{F2D11D64-7723-4E39-B640-051AE87B658F}"/>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5</xdr:col>
      <xdr:colOff>229928</xdr:colOff>
      <xdr:row>1</xdr:row>
      <xdr:rowOff>19879</xdr:rowOff>
    </xdr:from>
    <xdr:to>
      <xdr:col>6</xdr:col>
      <xdr:colOff>302526</xdr:colOff>
      <xdr:row>3</xdr:row>
      <xdr:rowOff>10354</xdr:rowOff>
    </xdr:to>
    <xdr:sp macro="" textlink="">
      <xdr:nvSpPr>
        <xdr:cNvPr id="14" name="TextBox 13">
          <a:hlinkClick xmlns:r="http://schemas.openxmlformats.org/officeDocument/2006/relationships" r:id="rId6"/>
          <a:extLst>
            <a:ext uri="{FF2B5EF4-FFF2-40B4-BE49-F238E27FC236}">
              <a16:creationId xmlns:a16="http://schemas.microsoft.com/office/drawing/2014/main" id="{ABC295F4-2EC6-4478-9802-9358DF15025F}"/>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6</xdr:col>
      <xdr:colOff>205252</xdr:colOff>
      <xdr:row>1</xdr:row>
      <xdr:rowOff>19879</xdr:rowOff>
    </xdr:from>
    <xdr:to>
      <xdr:col>8</xdr:col>
      <xdr:colOff>147966</xdr:colOff>
      <xdr:row>3</xdr:row>
      <xdr:rowOff>10354</xdr:rowOff>
    </xdr:to>
    <xdr:sp macro="" textlink="">
      <xdr:nvSpPr>
        <xdr:cNvPr id="15" name="TextBox 14">
          <a:hlinkClick xmlns:r="http://schemas.openxmlformats.org/officeDocument/2006/relationships" r:id="rId7"/>
          <a:extLst>
            <a:ext uri="{FF2B5EF4-FFF2-40B4-BE49-F238E27FC236}">
              <a16:creationId xmlns:a16="http://schemas.microsoft.com/office/drawing/2014/main" id="{2F70E382-CEDB-4EAD-8775-417780429740}"/>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8</xdr:col>
      <xdr:colOff>50692</xdr:colOff>
      <xdr:row>1</xdr:row>
      <xdr:rowOff>19879</xdr:rowOff>
    </xdr:from>
    <xdr:to>
      <xdr:col>9</xdr:col>
      <xdr:colOff>275662</xdr:colOff>
      <xdr:row>3</xdr:row>
      <xdr:rowOff>10354</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B7A936BC-5727-42AA-A9B7-BE7AE58222E2}"/>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9</xdr:col>
      <xdr:colOff>178388</xdr:colOff>
      <xdr:row>1</xdr:row>
      <xdr:rowOff>19879</xdr:rowOff>
    </xdr:from>
    <xdr:to>
      <xdr:col>10</xdr:col>
      <xdr:colOff>407439</xdr:colOff>
      <xdr:row>3</xdr:row>
      <xdr:rowOff>10354</xdr:rowOff>
    </xdr:to>
    <xdr:sp macro="" textlink="">
      <xdr:nvSpPr>
        <xdr:cNvPr id="17" name="TextBox 16">
          <a:hlinkClick xmlns:r="http://schemas.openxmlformats.org/officeDocument/2006/relationships" r:id="rId9"/>
          <a:extLst>
            <a:ext uri="{FF2B5EF4-FFF2-40B4-BE49-F238E27FC236}">
              <a16:creationId xmlns:a16="http://schemas.microsoft.com/office/drawing/2014/main" id="{1DC994C1-707F-434C-9AFB-B6D67225FE95}"/>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10</xdr:col>
      <xdr:colOff>310165</xdr:colOff>
      <xdr:row>1</xdr:row>
      <xdr:rowOff>19879</xdr:rowOff>
    </xdr:from>
    <xdr:to>
      <xdr:col>11</xdr:col>
      <xdr:colOff>532145</xdr:colOff>
      <xdr:row>3</xdr:row>
      <xdr:rowOff>10354</xdr:rowOff>
    </xdr:to>
    <xdr:sp macro="" textlink="">
      <xdr:nvSpPr>
        <xdr:cNvPr id="18" name="TextBox 17">
          <a:hlinkClick xmlns:r="http://schemas.openxmlformats.org/officeDocument/2006/relationships" r:id="rId10"/>
          <a:extLst>
            <a:ext uri="{FF2B5EF4-FFF2-40B4-BE49-F238E27FC236}">
              <a16:creationId xmlns:a16="http://schemas.microsoft.com/office/drawing/2014/main" id="{1D696733-FBFB-4AD7-9915-7EB3B04384F4}"/>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11</xdr:col>
      <xdr:colOff>436552</xdr:colOff>
      <xdr:row>1</xdr:row>
      <xdr:rowOff>19879</xdr:rowOff>
    </xdr:from>
    <xdr:to>
      <xdr:col>12</xdr:col>
      <xdr:colOff>656852</xdr:colOff>
      <xdr:row>3</xdr:row>
      <xdr:rowOff>10354</xdr:rowOff>
    </xdr:to>
    <xdr:sp macro="" textlink="">
      <xdr:nvSpPr>
        <xdr:cNvPr id="19" name="TextBox 18">
          <a:hlinkClick xmlns:r="http://schemas.openxmlformats.org/officeDocument/2006/relationships" r:id="rId11"/>
          <a:extLst>
            <a:ext uri="{FF2B5EF4-FFF2-40B4-BE49-F238E27FC236}">
              <a16:creationId xmlns:a16="http://schemas.microsoft.com/office/drawing/2014/main" id="{4AEDF86B-A44F-4320-BD63-8AD036DF47A3}"/>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Comps</a:t>
          </a:r>
        </a:p>
      </xdr:txBody>
    </xdr:sp>
    <xdr:clientData/>
  </xdr:twoCellAnchor>
  <xdr:twoCellAnchor>
    <xdr:from>
      <xdr:col>12</xdr:col>
      <xdr:colOff>561259</xdr:colOff>
      <xdr:row>1</xdr:row>
      <xdr:rowOff>19879</xdr:rowOff>
    </xdr:from>
    <xdr:to>
      <xdr:col>14</xdr:col>
      <xdr:colOff>50592</xdr:colOff>
      <xdr:row>3</xdr:row>
      <xdr:rowOff>10354</xdr:rowOff>
    </xdr:to>
    <xdr:sp macro="" textlink="">
      <xdr:nvSpPr>
        <xdr:cNvPr id="20" name="TextBox 19">
          <a:hlinkClick xmlns:r="http://schemas.openxmlformats.org/officeDocument/2006/relationships" r:id="rId12"/>
          <a:extLst>
            <a:ext uri="{FF2B5EF4-FFF2-40B4-BE49-F238E27FC236}">
              <a16:creationId xmlns:a16="http://schemas.microsoft.com/office/drawing/2014/main" id="{2C3ECB15-2EB5-4959-8B0C-5DB65B08D364}"/>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13</xdr:col>
      <xdr:colOff>686743</xdr:colOff>
      <xdr:row>1</xdr:row>
      <xdr:rowOff>19879</xdr:rowOff>
    </xdr:from>
    <xdr:to>
      <xdr:col>15</xdr:col>
      <xdr:colOff>176429</xdr:colOff>
      <xdr:row>3</xdr:row>
      <xdr:rowOff>10354</xdr:rowOff>
    </xdr:to>
    <xdr:sp macro="" textlink="">
      <xdr:nvSpPr>
        <xdr:cNvPr id="21" name="TextBox 20">
          <a:hlinkClick xmlns:r="http://schemas.openxmlformats.org/officeDocument/2006/relationships" r:id="rId13"/>
          <a:extLst>
            <a:ext uri="{FF2B5EF4-FFF2-40B4-BE49-F238E27FC236}">
              <a16:creationId xmlns:a16="http://schemas.microsoft.com/office/drawing/2014/main" id="{D6B17FCC-B4EF-4BD6-B948-31A8839F046B}"/>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15</xdr:col>
      <xdr:colOff>79155</xdr:colOff>
      <xdr:row>1</xdr:row>
      <xdr:rowOff>19879</xdr:rowOff>
    </xdr:from>
    <xdr:to>
      <xdr:col>16</xdr:col>
      <xdr:colOff>296696</xdr:colOff>
      <xdr:row>3</xdr:row>
      <xdr:rowOff>10354</xdr:rowOff>
    </xdr:to>
    <xdr:sp macro="" textlink="">
      <xdr:nvSpPr>
        <xdr:cNvPr id="22" name="TextBox 21">
          <a:hlinkClick xmlns:r="http://schemas.openxmlformats.org/officeDocument/2006/relationships" r:id="rId14"/>
          <a:extLst>
            <a:ext uri="{FF2B5EF4-FFF2-40B4-BE49-F238E27FC236}">
              <a16:creationId xmlns:a16="http://schemas.microsoft.com/office/drawing/2014/main" id="{6FA96479-422C-488A-A6E5-B7219E89ECCD}"/>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18</xdr:col>
      <xdr:colOff>195866</xdr:colOff>
      <xdr:row>1</xdr:row>
      <xdr:rowOff>19879</xdr:rowOff>
    </xdr:from>
    <xdr:to>
      <xdr:col>19</xdr:col>
      <xdr:colOff>492782</xdr:colOff>
      <xdr:row>3</xdr:row>
      <xdr:rowOff>10354</xdr:rowOff>
    </xdr:to>
    <xdr:sp macro="" textlink="">
      <xdr:nvSpPr>
        <xdr:cNvPr id="23" name="TextBox 22">
          <a:hlinkClick xmlns:r="http://schemas.openxmlformats.org/officeDocument/2006/relationships" r:id="rId15"/>
          <a:extLst>
            <a:ext uri="{FF2B5EF4-FFF2-40B4-BE49-F238E27FC236}">
              <a16:creationId xmlns:a16="http://schemas.microsoft.com/office/drawing/2014/main" id="{CD836D8E-21B6-4ED2-8255-F3724A33E320}"/>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19</xdr:col>
      <xdr:colOff>395508</xdr:colOff>
      <xdr:row>1</xdr:row>
      <xdr:rowOff>19879</xdr:rowOff>
    </xdr:from>
    <xdr:to>
      <xdr:col>21</xdr:col>
      <xdr:colOff>571611</xdr:colOff>
      <xdr:row>3</xdr:row>
      <xdr:rowOff>10354</xdr:rowOff>
    </xdr:to>
    <xdr:sp macro="" textlink="">
      <xdr:nvSpPr>
        <xdr:cNvPr id="24" name="TextBox 23">
          <a:hlinkClick xmlns:r="http://schemas.openxmlformats.org/officeDocument/2006/relationships" r:id="rId16"/>
          <a:extLst>
            <a:ext uri="{FF2B5EF4-FFF2-40B4-BE49-F238E27FC236}">
              <a16:creationId xmlns:a16="http://schemas.microsoft.com/office/drawing/2014/main" id="{FD735354-CB34-458E-8908-A299E4730BBF}"/>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21</xdr:col>
      <xdr:colOff>474337</xdr:colOff>
      <xdr:row>1</xdr:row>
      <xdr:rowOff>19879</xdr:rowOff>
    </xdr:from>
    <xdr:to>
      <xdr:col>22</xdr:col>
      <xdr:colOff>696407</xdr:colOff>
      <xdr:row>3</xdr:row>
      <xdr:rowOff>10354</xdr:rowOff>
    </xdr:to>
    <xdr:sp macro="" textlink="">
      <xdr:nvSpPr>
        <xdr:cNvPr id="25" name="TextBox 24">
          <a:hlinkClick xmlns:r="http://schemas.openxmlformats.org/officeDocument/2006/relationships" r:id="rId17"/>
          <a:extLst>
            <a:ext uri="{FF2B5EF4-FFF2-40B4-BE49-F238E27FC236}">
              <a16:creationId xmlns:a16="http://schemas.microsoft.com/office/drawing/2014/main" id="{F69EC914-5A19-426F-A6B4-E94A747CFCE2}"/>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22</xdr:col>
      <xdr:colOff>599133</xdr:colOff>
      <xdr:row>1</xdr:row>
      <xdr:rowOff>19879</xdr:rowOff>
    </xdr:from>
    <xdr:to>
      <xdr:col>24</xdr:col>
      <xdr:colOff>91475</xdr:colOff>
      <xdr:row>3</xdr:row>
      <xdr:rowOff>10354</xdr:rowOff>
    </xdr:to>
    <xdr:sp macro="" textlink="">
      <xdr:nvSpPr>
        <xdr:cNvPr id="26" name="TextBox 25">
          <a:hlinkClick xmlns:r="http://schemas.openxmlformats.org/officeDocument/2006/relationships" r:id="rId18"/>
          <a:extLst>
            <a:ext uri="{FF2B5EF4-FFF2-40B4-BE49-F238E27FC236}">
              <a16:creationId xmlns:a16="http://schemas.microsoft.com/office/drawing/2014/main" id="{02BDAC31-E597-4710-AC9D-5C26A8339DE6}"/>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23</xdr:col>
      <xdr:colOff>727637</xdr:colOff>
      <xdr:row>1</xdr:row>
      <xdr:rowOff>19879</xdr:rowOff>
    </xdr:from>
    <xdr:to>
      <xdr:col>26</xdr:col>
      <xdr:colOff>169927</xdr:colOff>
      <xdr:row>3</xdr:row>
      <xdr:rowOff>10354</xdr:rowOff>
    </xdr:to>
    <xdr:sp macro="" textlink="">
      <xdr:nvSpPr>
        <xdr:cNvPr id="27" name="TextBox 26">
          <a:hlinkClick xmlns:r="http://schemas.openxmlformats.org/officeDocument/2006/relationships" r:id="rId19"/>
          <a:extLst>
            <a:ext uri="{FF2B5EF4-FFF2-40B4-BE49-F238E27FC236}">
              <a16:creationId xmlns:a16="http://schemas.microsoft.com/office/drawing/2014/main" id="{9B34A796-3306-415C-AFCD-05DC5497EA46}"/>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8</xdr:col>
      <xdr:colOff>99329</xdr:colOff>
      <xdr:row>1</xdr:row>
      <xdr:rowOff>103586</xdr:rowOff>
    </xdr:from>
    <xdr:to>
      <xdr:col>8</xdr:col>
      <xdr:colOff>99329</xdr:colOff>
      <xdr:row>2</xdr:row>
      <xdr:rowOff>117146</xdr:rowOff>
    </xdr:to>
    <xdr:cxnSp macro="">
      <xdr:nvCxnSpPr>
        <xdr:cNvPr id="28" name="Straight Connector 27">
          <a:extLst>
            <a:ext uri="{FF2B5EF4-FFF2-40B4-BE49-F238E27FC236}">
              <a16:creationId xmlns:a16="http://schemas.microsoft.com/office/drawing/2014/main" id="{7075BF25-EAF9-4F1A-9543-040213A4AAE3}"/>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253889</xdr:colOff>
      <xdr:row>1</xdr:row>
      <xdr:rowOff>103586</xdr:rowOff>
    </xdr:from>
    <xdr:to>
      <xdr:col>6</xdr:col>
      <xdr:colOff>253889</xdr:colOff>
      <xdr:row>2</xdr:row>
      <xdr:rowOff>117146</xdr:rowOff>
    </xdr:to>
    <xdr:cxnSp macro="">
      <xdr:nvCxnSpPr>
        <xdr:cNvPr id="29" name="Straight Connector 28">
          <a:extLst>
            <a:ext uri="{FF2B5EF4-FFF2-40B4-BE49-F238E27FC236}">
              <a16:creationId xmlns:a16="http://schemas.microsoft.com/office/drawing/2014/main" id="{D6942324-E6FE-453D-B649-8B9B8B680557}"/>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278565</xdr:colOff>
      <xdr:row>1</xdr:row>
      <xdr:rowOff>103586</xdr:rowOff>
    </xdr:from>
    <xdr:to>
      <xdr:col>5</xdr:col>
      <xdr:colOff>278565</xdr:colOff>
      <xdr:row>2</xdr:row>
      <xdr:rowOff>117146</xdr:rowOff>
    </xdr:to>
    <xdr:cxnSp macro="">
      <xdr:nvCxnSpPr>
        <xdr:cNvPr id="30" name="Straight Connector 29">
          <a:extLst>
            <a:ext uri="{FF2B5EF4-FFF2-40B4-BE49-F238E27FC236}">
              <a16:creationId xmlns:a16="http://schemas.microsoft.com/office/drawing/2014/main" id="{E3B06731-A9B6-4884-BA52-EEEFC191DB85}"/>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227025</xdr:colOff>
      <xdr:row>1</xdr:row>
      <xdr:rowOff>103586</xdr:rowOff>
    </xdr:from>
    <xdr:to>
      <xdr:col>9</xdr:col>
      <xdr:colOff>227025</xdr:colOff>
      <xdr:row>2</xdr:row>
      <xdr:rowOff>117146</xdr:rowOff>
    </xdr:to>
    <xdr:cxnSp macro="">
      <xdr:nvCxnSpPr>
        <xdr:cNvPr id="31" name="Straight Connector 30">
          <a:extLst>
            <a:ext uri="{FF2B5EF4-FFF2-40B4-BE49-F238E27FC236}">
              <a16:creationId xmlns:a16="http://schemas.microsoft.com/office/drawing/2014/main" id="{4893C342-97C2-4AE5-B65B-D7C7D5AD04B5}"/>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358802</xdr:colOff>
      <xdr:row>1</xdr:row>
      <xdr:rowOff>103586</xdr:rowOff>
    </xdr:from>
    <xdr:to>
      <xdr:col>10</xdr:col>
      <xdr:colOff>358802</xdr:colOff>
      <xdr:row>2</xdr:row>
      <xdr:rowOff>117146</xdr:rowOff>
    </xdr:to>
    <xdr:cxnSp macro="">
      <xdr:nvCxnSpPr>
        <xdr:cNvPr id="32" name="Straight Connector 31">
          <a:extLst>
            <a:ext uri="{FF2B5EF4-FFF2-40B4-BE49-F238E27FC236}">
              <a16:creationId xmlns:a16="http://schemas.microsoft.com/office/drawing/2014/main" id="{4F2FFEDA-14BB-4606-9AAE-CD6402C7EB76}"/>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483508</xdr:colOff>
      <xdr:row>1</xdr:row>
      <xdr:rowOff>103586</xdr:rowOff>
    </xdr:from>
    <xdr:to>
      <xdr:col>11</xdr:col>
      <xdr:colOff>483508</xdr:colOff>
      <xdr:row>2</xdr:row>
      <xdr:rowOff>117146</xdr:rowOff>
    </xdr:to>
    <xdr:cxnSp macro="">
      <xdr:nvCxnSpPr>
        <xdr:cNvPr id="33" name="Straight Connector 32">
          <a:extLst>
            <a:ext uri="{FF2B5EF4-FFF2-40B4-BE49-F238E27FC236}">
              <a16:creationId xmlns:a16="http://schemas.microsoft.com/office/drawing/2014/main" id="{DD18854D-0D8B-4225-BCF8-A4792433113E}"/>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609896</xdr:colOff>
      <xdr:row>1</xdr:row>
      <xdr:rowOff>103586</xdr:rowOff>
    </xdr:from>
    <xdr:to>
      <xdr:col>12</xdr:col>
      <xdr:colOff>609896</xdr:colOff>
      <xdr:row>2</xdr:row>
      <xdr:rowOff>117146</xdr:rowOff>
    </xdr:to>
    <xdr:cxnSp macro="">
      <xdr:nvCxnSpPr>
        <xdr:cNvPr id="34" name="Straight Connector 33">
          <a:extLst>
            <a:ext uri="{FF2B5EF4-FFF2-40B4-BE49-F238E27FC236}">
              <a16:creationId xmlns:a16="http://schemas.microsoft.com/office/drawing/2014/main" id="{92336493-6D34-41A2-864E-6B7AEB0F06D8}"/>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1955</xdr:colOff>
      <xdr:row>1</xdr:row>
      <xdr:rowOff>103586</xdr:rowOff>
    </xdr:from>
    <xdr:to>
      <xdr:col>14</xdr:col>
      <xdr:colOff>1955</xdr:colOff>
      <xdr:row>2</xdr:row>
      <xdr:rowOff>117146</xdr:rowOff>
    </xdr:to>
    <xdr:cxnSp macro="">
      <xdr:nvCxnSpPr>
        <xdr:cNvPr id="35" name="Straight Connector 34">
          <a:extLst>
            <a:ext uri="{FF2B5EF4-FFF2-40B4-BE49-F238E27FC236}">
              <a16:creationId xmlns:a16="http://schemas.microsoft.com/office/drawing/2014/main" id="{90B29F51-1840-4036-A79D-7DB86FBC5436}"/>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127792</xdr:colOff>
      <xdr:row>1</xdr:row>
      <xdr:rowOff>103586</xdr:rowOff>
    </xdr:from>
    <xdr:to>
      <xdr:col>15</xdr:col>
      <xdr:colOff>127792</xdr:colOff>
      <xdr:row>2</xdr:row>
      <xdr:rowOff>117146</xdr:rowOff>
    </xdr:to>
    <xdr:cxnSp macro="">
      <xdr:nvCxnSpPr>
        <xdr:cNvPr id="36" name="Straight Connector 35">
          <a:extLst>
            <a:ext uri="{FF2B5EF4-FFF2-40B4-BE49-F238E27FC236}">
              <a16:creationId xmlns:a16="http://schemas.microsoft.com/office/drawing/2014/main" id="{079E2541-B8A5-480A-B289-BD8578800D97}"/>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244503</xdr:colOff>
      <xdr:row>1</xdr:row>
      <xdr:rowOff>103586</xdr:rowOff>
    </xdr:from>
    <xdr:to>
      <xdr:col>18</xdr:col>
      <xdr:colOff>244503</xdr:colOff>
      <xdr:row>2</xdr:row>
      <xdr:rowOff>117146</xdr:rowOff>
    </xdr:to>
    <xdr:cxnSp macro="">
      <xdr:nvCxnSpPr>
        <xdr:cNvPr id="37" name="Straight Connector 36">
          <a:extLst>
            <a:ext uri="{FF2B5EF4-FFF2-40B4-BE49-F238E27FC236}">
              <a16:creationId xmlns:a16="http://schemas.microsoft.com/office/drawing/2014/main" id="{1FE7A8E8-B19F-463B-B848-D466C03B2571}"/>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444145</xdr:colOff>
      <xdr:row>1</xdr:row>
      <xdr:rowOff>103586</xdr:rowOff>
    </xdr:from>
    <xdr:to>
      <xdr:col>19</xdr:col>
      <xdr:colOff>444145</xdr:colOff>
      <xdr:row>2</xdr:row>
      <xdr:rowOff>117146</xdr:rowOff>
    </xdr:to>
    <xdr:cxnSp macro="">
      <xdr:nvCxnSpPr>
        <xdr:cNvPr id="38" name="Straight Connector 37">
          <a:extLst>
            <a:ext uri="{FF2B5EF4-FFF2-40B4-BE49-F238E27FC236}">
              <a16:creationId xmlns:a16="http://schemas.microsoft.com/office/drawing/2014/main" id="{77A1B436-7905-41DE-A333-5D826CB45BCE}"/>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522974</xdr:colOff>
      <xdr:row>1</xdr:row>
      <xdr:rowOff>103586</xdr:rowOff>
    </xdr:from>
    <xdr:to>
      <xdr:col>21</xdr:col>
      <xdr:colOff>522974</xdr:colOff>
      <xdr:row>2</xdr:row>
      <xdr:rowOff>117146</xdr:rowOff>
    </xdr:to>
    <xdr:cxnSp macro="">
      <xdr:nvCxnSpPr>
        <xdr:cNvPr id="39" name="Straight Connector 38">
          <a:extLst>
            <a:ext uri="{FF2B5EF4-FFF2-40B4-BE49-F238E27FC236}">
              <a16:creationId xmlns:a16="http://schemas.microsoft.com/office/drawing/2014/main" id="{FDC70FC8-FCA0-4BDF-BE85-190FF13196C5}"/>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647770</xdr:colOff>
      <xdr:row>1</xdr:row>
      <xdr:rowOff>103586</xdr:rowOff>
    </xdr:from>
    <xdr:to>
      <xdr:col>22</xdr:col>
      <xdr:colOff>647770</xdr:colOff>
      <xdr:row>2</xdr:row>
      <xdr:rowOff>117146</xdr:rowOff>
    </xdr:to>
    <xdr:cxnSp macro="">
      <xdr:nvCxnSpPr>
        <xdr:cNvPr id="40" name="Straight Connector 39">
          <a:extLst>
            <a:ext uri="{FF2B5EF4-FFF2-40B4-BE49-F238E27FC236}">
              <a16:creationId xmlns:a16="http://schemas.microsoft.com/office/drawing/2014/main" id="{F74BFD03-CBDC-4941-88CF-3E7AA92FBBF8}"/>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42838</xdr:colOff>
      <xdr:row>1</xdr:row>
      <xdr:rowOff>103586</xdr:rowOff>
    </xdr:from>
    <xdr:to>
      <xdr:col>24</xdr:col>
      <xdr:colOff>42838</xdr:colOff>
      <xdr:row>2</xdr:row>
      <xdr:rowOff>117146</xdr:rowOff>
    </xdr:to>
    <xdr:cxnSp macro="">
      <xdr:nvCxnSpPr>
        <xdr:cNvPr id="70" name="Straight Connector 69">
          <a:extLst>
            <a:ext uri="{FF2B5EF4-FFF2-40B4-BE49-F238E27FC236}">
              <a16:creationId xmlns:a16="http://schemas.microsoft.com/office/drawing/2014/main" id="{F2F20398-E7FA-45C2-AA0F-5918096A07AF}"/>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248059</xdr:colOff>
      <xdr:row>1</xdr:row>
      <xdr:rowOff>103586</xdr:rowOff>
    </xdr:from>
    <xdr:to>
      <xdr:col>16</xdr:col>
      <xdr:colOff>248059</xdr:colOff>
      <xdr:row>2</xdr:row>
      <xdr:rowOff>117146</xdr:rowOff>
    </xdr:to>
    <xdr:cxnSp macro="">
      <xdr:nvCxnSpPr>
        <xdr:cNvPr id="71" name="Straight Connector 70">
          <a:extLst>
            <a:ext uri="{FF2B5EF4-FFF2-40B4-BE49-F238E27FC236}">
              <a16:creationId xmlns:a16="http://schemas.microsoft.com/office/drawing/2014/main" id="{BB6698CD-6856-4E3E-AB37-5F23446154D2}"/>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55</xdr:col>
      <xdr:colOff>656236</xdr:colOff>
      <xdr:row>4</xdr:row>
      <xdr:rowOff>0</xdr:rowOff>
    </xdr:to>
    <xdr:sp macro="" textlink="">
      <xdr:nvSpPr>
        <xdr:cNvPr id="5" name="Rectangle 4">
          <a:extLst>
            <a:ext uri="{FF2B5EF4-FFF2-40B4-BE49-F238E27FC236}">
              <a16:creationId xmlns:a16="http://schemas.microsoft.com/office/drawing/2014/main" id="{9361A3FD-7BA3-4AC8-8C9A-CD6CECF5D29B}"/>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3018822</xdr:colOff>
      <xdr:row>1</xdr:row>
      <xdr:rowOff>19879</xdr:rowOff>
    </xdr:from>
    <xdr:to>
      <xdr:col>12</xdr:col>
      <xdr:colOff>188365</xdr:colOff>
      <xdr:row>3</xdr:row>
      <xdr:rowOff>10354</xdr:rowOff>
    </xdr:to>
    <xdr:sp macro="" textlink="">
      <xdr:nvSpPr>
        <xdr:cNvPr id="39" name="TextBox 38">
          <a:hlinkClick xmlns:r="http://schemas.openxmlformats.org/officeDocument/2006/relationships" r:id="rId1"/>
          <a:extLst>
            <a:ext uri="{FF2B5EF4-FFF2-40B4-BE49-F238E27FC236}">
              <a16:creationId xmlns:a16="http://schemas.microsoft.com/office/drawing/2014/main" id="{5BB3FF60-EBB9-46BE-AABB-B4572242351F}"/>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40" name="Picture 39">
          <a:extLst>
            <a:ext uri="{FF2B5EF4-FFF2-40B4-BE49-F238E27FC236}">
              <a16:creationId xmlns:a16="http://schemas.microsoft.com/office/drawing/2014/main" id="{9E76B664-F2DF-4691-800B-39241254A05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1297802</xdr:colOff>
      <xdr:row>1</xdr:row>
      <xdr:rowOff>28201</xdr:rowOff>
    </xdr:from>
    <xdr:to>
      <xdr:col>1</xdr:col>
      <xdr:colOff>1297802</xdr:colOff>
      <xdr:row>2</xdr:row>
      <xdr:rowOff>138545</xdr:rowOff>
    </xdr:to>
    <xdr:cxnSp macro="">
      <xdr:nvCxnSpPr>
        <xdr:cNvPr id="42" name="Straight Connector 41">
          <a:extLst>
            <a:ext uri="{FF2B5EF4-FFF2-40B4-BE49-F238E27FC236}">
              <a16:creationId xmlns:a16="http://schemas.microsoft.com/office/drawing/2014/main" id="{A3BAADC3-BC7F-404E-A08E-0C92A5752D98}"/>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3801800</xdr:colOff>
      <xdr:row>1</xdr:row>
      <xdr:rowOff>19879</xdr:rowOff>
    </xdr:from>
    <xdr:to>
      <xdr:col>3</xdr:col>
      <xdr:colOff>622477</xdr:colOff>
      <xdr:row>3</xdr:row>
      <xdr:rowOff>10354</xdr:rowOff>
    </xdr:to>
    <xdr:sp macro="" textlink="">
      <xdr:nvSpPr>
        <xdr:cNvPr id="43" name="TextBox 42">
          <a:hlinkClick xmlns:r="http://schemas.openxmlformats.org/officeDocument/2006/relationships" r:id="rId3"/>
          <a:extLst>
            <a:ext uri="{FF2B5EF4-FFF2-40B4-BE49-F238E27FC236}">
              <a16:creationId xmlns:a16="http://schemas.microsoft.com/office/drawing/2014/main" id="{C3D69DA7-E0E3-484A-82FF-358C0270B596}"/>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525203</xdr:colOff>
      <xdr:row>1</xdr:row>
      <xdr:rowOff>19879</xdr:rowOff>
    </xdr:from>
    <xdr:to>
      <xdr:col>4</xdr:col>
      <xdr:colOff>597801</xdr:colOff>
      <xdr:row>3</xdr:row>
      <xdr:rowOff>10354</xdr:rowOff>
    </xdr:to>
    <xdr:sp macro="" textlink="">
      <xdr:nvSpPr>
        <xdr:cNvPr id="44" name="TextBox 43">
          <a:hlinkClick xmlns:r="http://schemas.openxmlformats.org/officeDocument/2006/relationships" r:id="rId4"/>
          <a:extLst>
            <a:ext uri="{FF2B5EF4-FFF2-40B4-BE49-F238E27FC236}">
              <a16:creationId xmlns:a16="http://schemas.microsoft.com/office/drawing/2014/main" id="{9CF89295-9740-428C-8FEA-F4B6E182A054}"/>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500527</xdr:colOff>
      <xdr:row>1</xdr:row>
      <xdr:rowOff>19879</xdr:rowOff>
    </xdr:from>
    <xdr:to>
      <xdr:col>5</xdr:col>
      <xdr:colOff>567066</xdr:colOff>
      <xdr:row>3</xdr:row>
      <xdr:rowOff>10354</xdr:rowOff>
    </xdr:to>
    <xdr:sp macro="" textlink="">
      <xdr:nvSpPr>
        <xdr:cNvPr id="45" name="TextBox 44">
          <a:hlinkClick xmlns:r="http://schemas.openxmlformats.org/officeDocument/2006/relationships" r:id="rId5"/>
          <a:extLst>
            <a:ext uri="{FF2B5EF4-FFF2-40B4-BE49-F238E27FC236}">
              <a16:creationId xmlns:a16="http://schemas.microsoft.com/office/drawing/2014/main" id="{1F1260B1-4CCC-473E-B417-A928F0774CB5}"/>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5</xdr:col>
      <xdr:colOff>469792</xdr:colOff>
      <xdr:row>1</xdr:row>
      <xdr:rowOff>19879</xdr:rowOff>
    </xdr:from>
    <xdr:to>
      <xdr:col>6</xdr:col>
      <xdr:colOff>542362</xdr:colOff>
      <xdr:row>3</xdr:row>
      <xdr:rowOff>10354</xdr:rowOff>
    </xdr:to>
    <xdr:sp macro="" textlink="">
      <xdr:nvSpPr>
        <xdr:cNvPr id="46" name="TextBox 45">
          <a:hlinkClick xmlns:r="http://schemas.openxmlformats.org/officeDocument/2006/relationships" r:id="rId6"/>
          <a:extLst>
            <a:ext uri="{FF2B5EF4-FFF2-40B4-BE49-F238E27FC236}">
              <a16:creationId xmlns:a16="http://schemas.microsoft.com/office/drawing/2014/main" id="{8B4B9446-EC75-45CC-ABEA-A2A1F59402BF}"/>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6</xdr:col>
      <xdr:colOff>445088</xdr:colOff>
      <xdr:row>1</xdr:row>
      <xdr:rowOff>19879</xdr:rowOff>
    </xdr:from>
    <xdr:to>
      <xdr:col>7</xdr:col>
      <xdr:colOff>521739</xdr:colOff>
      <xdr:row>3</xdr:row>
      <xdr:rowOff>10354</xdr:rowOff>
    </xdr:to>
    <xdr:sp macro="" textlink="">
      <xdr:nvSpPr>
        <xdr:cNvPr id="47" name="TextBox 46">
          <a:hlinkClick xmlns:r="http://schemas.openxmlformats.org/officeDocument/2006/relationships" r:id="rId7"/>
          <a:extLst>
            <a:ext uri="{FF2B5EF4-FFF2-40B4-BE49-F238E27FC236}">
              <a16:creationId xmlns:a16="http://schemas.microsoft.com/office/drawing/2014/main" id="{C5BBA926-68D1-4DCE-8015-B6D56C62D2DC}"/>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7</xdr:col>
      <xdr:colOff>424465</xdr:colOff>
      <xdr:row>1</xdr:row>
      <xdr:rowOff>19879</xdr:rowOff>
    </xdr:from>
    <xdr:to>
      <xdr:col>9</xdr:col>
      <xdr:colOff>370220</xdr:colOff>
      <xdr:row>3</xdr:row>
      <xdr:rowOff>10354</xdr:rowOff>
    </xdr:to>
    <xdr:sp macro="" textlink="">
      <xdr:nvSpPr>
        <xdr:cNvPr id="48" name="TextBox 47">
          <a:hlinkClick xmlns:r="http://schemas.openxmlformats.org/officeDocument/2006/relationships" r:id="rId8"/>
          <a:extLst>
            <a:ext uri="{FF2B5EF4-FFF2-40B4-BE49-F238E27FC236}">
              <a16:creationId xmlns:a16="http://schemas.microsoft.com/office/drawing/2014/main" id="{93578FD3-03E8-495F-9606-DDBE0A539390}"/>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9</xdr:col>
      <xdr:colOff>274627</xdr:colOff>
      <xdr:row>1</xdr:row>
      <xdr:rowOff>19879</xdr:rowOff>
    </xdr:from>
    <xdr:to>
      <xdr:col>10</xdr:col>
      <xdr:colOff>542552</xdr:colOff>
      <xdr:row>3</xdr:row>
      <xdr:rowOff>10354</xdr:rowOff>
    </xdr:to>
    <xdr:sp macro="" textlink="">
      <xdr:nvSpPr>
        <xdr:cNvPr id="49" name="TextBox 48">
          <a:hlinkClick xmlns:r="http://schemas.openxmlformats.org/officeDocument/2006/relationships" r:id="rId9"/>
          <a:extLst>
            <a:ext uri="{FF2B5EF4-FFF2-40B4-BE49-F238E27FC236}">
              <a16:creationId xmlns:a16="http://schemas.microsoft.com/office/drawing/2014/main" id="{EC81B7FA-3FE9-4C69-95AE-93F678085804}"/>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10</xdr:col>
      <xdr:colOff>446959</xdr:colOff>
      <xdr:row>1</xdr:row>
      <xdr:rowOff>19879</xdr:rowOff>
    </xdr:from>
    <xdr:to>
      <xdr:col>10</xdr:col>
      <xdr:colOff>1403142</xdr:colOff>
      <xdr:row>3</xdr:row>
      <xdr:rowOff>10354</xdr:rowOff>
    </xdr:to>
    <xdr:sp macro="" textlink="">
      <xdr:nvSpPr>
        <xdr:cNvPr id="50" name="TextBox 49">
          <a:hlinkClick xmlns:r="http://schemas.openxmlformats.org/officeDocument/2006/relationships" r:id="rId10"/>
          <a:extLst>
            <a:ext uri="{FF2B5EF4-FFF2-40B4-BE49-F238E27FC236}">
              <a16:creationId xmlns:a16="http://schemas.microsoft.com/office/drawing/2014/main" id="{8A7F32F2-3819-406D-A2BA-90CFF308438F}"/>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WACC</a:t>
          </a:r>
        </a:p>
      </xdr:txBody>
    </xdr:sp>
    <xdr:clientData/>
  </xdr:twoCellAnchor>
  <xdr:twoCellAnchor>
    <xdr:from>
      <xdr:col>10</xdr:col>
      <xdr:colOff>1305868</xdr:colOff>
      <xdr:row>1</xdr:row>
      <xdr:rowOff>19879</xdr:rowOff>
    </xdr:from>
    <xdr:to>
      <xdr:col>10</xdr:col>
      <xdr:colOff>2262404</xdr:colOff>
      <xdr:row>3</xdr:row>
      <xdr:rowOff>10354</xdr:rowOff>
    </xdr:to>
    <xdr:sp macro="" textlink="">
      <xdr:nvSpPr>
        <xdr:cNvPr id="51" name="TextBox 50">
          <a:hlinkClick xmlns:r="http://schemas.openxmlformats.org/officeDocument/2006/relationships" r:id="rId11"/>
          <a:extLst>
            <a:ext uri="{FF2B5EF4-FFF2-40B4-BE49-F238E27FC236}">
              <a16:creationId xmlns:a16="http://schemas.microsoft.com/office/drawing/2014/main" id="{5C3CF463-6629-42C1-B63A-512551BDB6F7}"/>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10</xdr:col>
      <xdr:colOff>2165130</xdr:colOff>
      <xdr:row>1</xdr:row>
      <xdr:rowOff>19879</xdr:rowOff>
    </xdr:from>
    <xdr:to>
      <xdr:col>11</xdr:col>
      <xdr:colOff>20471</xdr:colOff>
      <xdr:row>3</xdr:row>
      <xdr:rowOff>10354</xdr:rowOff>
    </xdr:to>
    <xdr:sp macro="" textlink="">
      <xdr:nvSpPr>
        <xdr:cNvPr id="52" name="TextBox 51">
          <a:hlinkClick xmlns:r="http://schemas.openxmlformats.org/officeDocument/2006/relationships" r:id="rId12"/>
          <a:extLst>
            <a:ext uri="{FF2B5EF4-FFF2-40B4-BE49-F238E27FC236}">
              <a16:creationId xmlns:a16="http://schemas.microsoft.com/office/drawing/2014/main" id="{F3ADCC7E-CAFC-44D2-99C4-271048807E2E}"/>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12</xdr:col>
      <xdr:colOff>91091</xdr:colOff>
      <xdr:row>1</xdr:row>
      <xdr:rowOff>19879</xdr:rowOff>
    </xdr:from>
    <xdr:to>
      <xdr:col>13</xdr:col>
      <xdr:colOff>359432</xdr:colOff>
      <xdr:row>3</xdr:row>
      <xdr:rowOff>10354</xdr:rowOff>
    </xdr:to>
    <xdr:sp macro="" textlink="">
      <xdr:nvSpPr>
        <xdr:cNvPr id="53" name="TextBox 52">
          <a:hlinkClick xmlns:r="http://schemas.openxmlformats.org/officeDocument/2006/relationships" r:id="rId13"/>
          <a:extLst>
            <a:ext uri="{FF2B5EF4-FFF2-40B4-BE49-F238E27FC236}">
              <a16:creationId xmlns:a16="http://schemas.microsoft.com/office/drawing/2014/main" id="{EE156D09-15E3-4C05-9FCD-CF9777ACBD8B}"/>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13</xdr:col>
      <xdr:colOff>262158</xdr:colOff>
      <xdr:row>1</xdr:row>
      <xdr:rowOff>19879</xdr:rowOff>
    </xdr:from>
    <xdr:to>
      <xdr:col>14</xdr:col>
      <xdr:colOff>533511</xdr:colOff>
      <xdr:row>3</xdr:row>
      <xdr:rowOff>10354</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5B53E2C-EC94-4034-B12A-3AF2D06258C4}"/>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14</xdr:col>
      <xdr:colOff>436237</xdr:colOff>
      <xdr:row>1</xdr:row>
      <xdr:rowOff>19879</xdr:rowOff>
    </xdr:from>
    <xdr:to>
      <xdr:col>16</xdr:col>
      <xdr:colOff>20132</xdr:colOff>
      <xdr:row>3</xdr:row>
      <xdr:rowOff>10354</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B5F7A5B4-7EB9-4D2B-B8A4-2A0C91E5077A}"/>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15</xdr:col>
      <xdr:colOff>608658</xdr:colOff>
      <xdr:row>1</xdr:row>
      <xdr:rowOff>19879</xdr:rowOff>
    </xdr:from>
    <xdr:to>
      <xdr:col>17</xdr:col>
      <xdr:colOff>196250</xdr:colOff>
      <xdr:row>3</xdr:row>
      <xdr:rowOff>10354</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F5B84C41-ECA4-4193-A607-422E46BAD03E}"/>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17</xdr:col>
      <xdr:colOff>98987</xdr:colOff>
      <xdr:row>1</xdr:row>
      <xdr:rowOff>19879</xdr:rowOff>
    </xdr:from>
    <xdr:to>
      <xdr:col>18</xdr:col>
      <xdr:colOff>369952</xdr:colOff>
      <xdr:row>3</xdr:row>
      <xdr:rowOff>10354</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CE8724CF-B33A-41D4-B885-FCF9908EE7D3}"/>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5</xdr:col>
      <xdr:colOff>518429</xdr:colOff>
      <xdr:row>1</xdr:row>
      <xdr:rowOff>103586</xdr:rowOff>
    </xdr:from>
    <xdr:to>
      <xdr:col>5</xdr:col>
      <xdr:colOff>518429</xdr:colOff>
      <xdr:row>2</xdr:row>
      <xdr:rowOff>117146</xdr:rowOff>
    </xdr:to>
    <xdr:cxnSp macro="">
      <xdr:nvCxnSpPr>
        <xdr:cNvPr id="58" name="Straight Connector 57">
          <a:extLst>
            <a:ext uri="{FF2B5EF4-FFF2-40B4-BE49-F238E27FC236}">
              <a16:creationId xmlns:a16="http://schemas.microsoft.com/office/drawing/2014/main" id="{70788389-2F9B-41AC-ABBC-942394A78F2C}"/>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549164</xdr:colOff>
      <xdr:row>1</xdr:row>
      <xdr:rowOff>103586</xdr:rowOff>
    </xdr:from>
    <xdr:to>
      <xdr:col>4</xdr:col>
      <xdr:colOff>549164</xdr:colOff>
      <xdr:row>2</xdr:row>
      <xdr:rowOff>117146</xdr:rowOff>
    </xdr:to>
    <xdr:cxnSp macro="">
      <xdr:nvCxnSpPr>
        <xdr:cNvPr id="59" name="Straight Connector 58">
          <a:extLst>
            <a:ext uri="{FF2B5EF4-FFF2-40B4-BE49-F238E27FC236}">
              <a16:creationId xmlns:a16="http://schemas.microsoft.com/office/drawing/2014/main" id="{0292A77A-E4E5-403F-BFD8-0CCDE604672A}"/>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573840</xdr:colOff>
      <xdr:row>1</xdr:row>
      <xdr:rowOff>103586</xdr:rowOff>
    </xdr:from>
    <xdr:to>
      <xdr:col>3</xdr:col>
      <xdr:colOff>573840</xdr:colOff>
      <xdr:row>2</xdr:row>
      <xdr:rowOff>117146</xdr:rowOff>
    </xdr:to>
    <xdr:cxnSp macro="">
      <xdr:nvCxnSpPr>
        <xdr:cNvPr id="60" name="Straight Connector 59">
          <a:extLst>
            <a:ext uri="{FF2B5EF4-FFF2-40B4-BE49-F238E27FC236}">
              <a16:creationId xmlns:a16="http://schemas.microsoft.com/office/drawing/2014/main" id="{E2533C51-C93D-46AF-885B-6D84DCD84D51}"/>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493725</xdr:colOff>
      <xdr:row>1</xdr:row>
      <xdr:rowOff>103586</xdr:rowOff>
    </xdr:from>
    <xdr:to>
      <xdr:col>6</xdr:col>
      <xdr:colOff>493725</xdr:colOff>
      <xdr:row>2</xdr:row>
      <xdr:rowOff>117146</xdr:rowOff>
    </xdr:to>
    <xdr:cxnSp macro="">
      <xdr:nvCxnSpPr>
        <xdr:cNvPr id="61" name="Straight Connector 60">
          <a:extLst>
            <a:ext uri="{FF2B5EF4-FFF2-40B4-BE49-F238E27FC236}">
              <a16:creationId xmlns:a16="http://schemas.microsoft.com/office/drawing/2014/main" id="{623019A7-0BED-4EF8-B1E8-0EF6F32A16D6}"/>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473102</xdr:colOff>
      <xdr:row>1</xdr:row>
      <xdr:rowOff>103586</xdr:rowOff>
    </xdr:from>
    <xdr:to>
      <xdr:col>7</xdr:col>
      <xdr:colOff>473102</xdr:colOff>
      <xdr:row>2</xdr:row>
      <xdr:rowOff>117146</xdr:rowOff>
    </xdr:to>
    <xdr:cxnSp macro="">
      <xdr:nvCxnSpPr>
        <xdr:cNvPr id="62" name="Straight Connector 61">
          <a:extLst>
            <a:ext uri="{FF2B5EF4-FFF2-40B4-BE49-F238E27FC236}">
              <a16:creationId xmlns:a16="http://schemas.microsoft.com/office/drawing/2014/main" id="{4E3B571D-C1A2-4F87-9CEA-6654DA12319F}"/>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321583</xdr:colOff>
      <xdr:row>1</xdr:row>
      <xdr:rowOff>103586</xdr:rowOff>
    </xdr:from>
    <xdr:to>
      <xdr:col>9</xdr:col>
      <xdr:colOff>321583</xdr:colOff>
      <xdr:row>2</xdr:row>
      <xdr:rowOff>117146</xdr:rowOff>
    </xdr:to>
    <xdr:cxnSp macro="">
      <xdr:nvCxnSpPr>
        <xdr:cNvPr id="63" name="Straight Connector 62">
          <a:extLst>
            <a:ext uri="{FF2B5EF4-FFF2-40B4-BE49-F238E27FC236}">
              <a16:creationId xmlns:a16="http://schemas.microsoft.com/office/drawing/2014/main" id="{2131708B-EAAB-44BE-AD67-E0B13EC25C15}"/>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495596</xdr:colOff>
      <xdr:row>1</xdr:row>
      <xdr:rowOff>103586</xdr:rowOff>
    </xdr:from>
    <xdr:to>
      <xdr:col>10</xdr:col>
      <xdr:colOff>495596</xdr:colOff>
      <xdr:row>2</xdr:row>
      <xdr:rowOff>117146</xdr:rowOff>
    </xdr:to>
    <xdr:cxnSp macro="">
      <xdr:nvCxnSpPr>
        <xdr:cNvPr id="64" name="Straight Connector 63">
          <a:extLst>
            <a:ext uri="{FF2B5EF4-FFF2-40B4-BE49-F238E27FC236}">
              <a16:creationId xmlns:a16="http://schemas.microsoft.com/office/drawing/2014/main" id="{B776D1A1-A8D7-487F-B7AE-53E662DCE894}"/>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1354505</xdr:colOff>
      <xdr:row>1</xdr:row>
      <xdr:rowOff>103586</xdr:rowOff>
    </xdr:from>
    <xdr:to>
      <xdr:col>10</xdr:col>
      <xdr:colOff>1354505</xdr:colOff>
      <xdr:row>2</xdr:row>
      <xdr:rowOff>117146</xdr:rowOff>
    </xdr:to>
    <xdr:cxnSp macro="">
      <xdr:nvCxnSpPr>
        <xdr:cNvPr id="65" name="Straight Connector 64">
          <a:extLst>
            <a:ext uri="{FF2B5EF4-FFF2-40B4-BE49-F238E27FC236}">
              <a16:creationId xmlns:a16="http://schemas.microsoft.com/office/drawing/2014/main" id="{2940BC73-6A61-4942-93DC-29D366F71C71}"/>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2213767</xdr:colOff>
      <xdr:row>1</xdr:row>
      <xdr:rowOff>103586</xdr:rowOff>
    </xdr:from>
    <xdr:to>
      <xdr:col>10</xdr:col>
      <xdr:colOff>2213767</xdr:colOff>
      <xdr:row>2</xdr:row>
      <xdr:rowOff>117146</xdr:rowOff>
    </xdr:to>
    <xdr:cxnSp macro="">
      <xdr:nvCxnSpPr>
        <xdr:cNvPr id="66" name="Straight Connector 65">
          <a:extLst>
            <a:ext uri="{FF2B5EF4-FFF2-40B4-BE49-F238E27FC236}">
              <a16:creationId xmlns:a16="http://schemas.microsoft.com/office/drawing/2014/main" id="{24C8217E-036D-4CB1-A656-73F97DA1E99F}"/>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139728</xdr:colOff>
      <xdr:row>1</xdr:row>
      <xdr:rowOff>103586</xdr:rowOff>
    </xdr:from>
    <xdr:to>
      <xdr:col>12</xdr:col>
      <xdr:colOff>139728</xdr:colOff>
      <xdr:row>2</xdr:row>
      <xdr:rowOff>117146</xdr:rowOff>
    </xdr:to>
    <xdr:cxnSp macro="">
      <xdr:nvCxnSpPr>
        <xdr:cNvPr id="67" name="Straight Connector 66">
          <a:extLst>
            <a:ext uri="{FF2B5EF4-FFF2-40B4-BE49-F238E27FC236}">
              <a16:creationId xmlns:a16="http://schemas.microsoft.com/office/drawing/2014/main" id="{553BB99E-C0AD-435C-8522-3925435065F0}"/>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310795</xdr:colOff>
      <xdr:row>1</xdr:row>
      <xdr:rowOff>103586</xdr:rowOff>
    </xdr:from>
    <xdr:to>
      <xdr:col>13</xdr:col>
      <xdr:colOff>310795</xdr:colOff>
      <xdr:row>2</xdr:row>
      <xdr:rowOff>117146</xdr:rowOff>
    </xdr:to>
    <xdr:cxnSp macro="">
      <xdr:nvCxnSpPr>
        <xdr:cNvPr id="68" name="Straight Connector 67">
          <a:extLst>
            <a:ext uri="{FF2B5EF4-FFF2-40B4-BE49-F238E27FC236}">
              <a16:creationId xmlns:a16="http://schemas.microsoft.com/office/drawing/2014/main" id="{7A220470-A67B-4791-8230-6004AB5E9E2E}"/>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484874</xdr:colOff>
      <xdr:row>1</xdr:row>
      <xdr:rowOff>103586</xdr:rowOff>
    </xdr:from>
    <xdr:to>
      <xdr:col>14</xdr:col>
      <xdr:colOff>484874</xdr:colOff>
      <xdr:row>2</xdr:row>
      <xdr:rowOff>117146</xdr:rowOff>
    </xdr:to>
    <xdr:cxnSp macro="">
      <xdr:nvCxnSpPr>
        <xdr:cNvPr id="69" name="Straight Connector 68">
          <a:extLst>
            <a:ext uri="{FF2B5EF4-FFF2-40B4-BE49-F238E27FC236}">
              <a16:creationId xmlns:a16="http://schemas.microsoft.com/office/drawing/2014/main" id="{FA4213C4-8E99-4738-803C-F208AAFFA0EB}"/>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657295</xdr:colOff>
      <xdr:row>1</xdr:row>
      <xdr:rowOff>103586</xdr:rowOff>
    </xdr:from>
    <xdr:to>
      <xdr:col>15</xdr:col>
      <xdr:colOff>657295</xdr:colOff>
      <xdr:row>2</xdr:row>
      <xdr:rowOff>117146</xdr:rowOff>
    </xdr:to>
    <xdr:cxnSp macro="">
      <xdr:nvCxnSpPr>
        <xdr:cNvPr id="70" name="Straight Connector 69">
          <a:extLst>
            <a:ext uri="{FF2B5EF4-FFF2-40B4-BE49-F238E27FC236}">
              <a16:creationId xmlns:a16="http://schemas.microsoft.com/office/drawing/2014/main" id="{76DF83C4-023B-4038-82D7-8672E11253E0}"/>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147613</xdr:colOff>
      <xdr:row>1</xdr:row>
      <xdr:rowOff>103586</xdr:rowOff>
    </xdr:from>
    <xdr:to>
      <xdr:col>17</xdr:col>
      <xdr:colOff>147613</xdr:colOff>
      <xdr:row>2</xdr:row>
      <xdr:rowOff>117146</xdr:rowOff>
    </xdr:to>
    <xdr:cxnSp macro="">
      <xdr:nvCxnSpPr>
        <xdr:cNvPr id="71" name="Straight Connector 70">
          <a:extLst>
            <a:ext uri="{FF2B5EF4-FFF2-40B4-BE49-F238E27FC236}">
              <a16:creationId xmlns:a16="http://schemas.microsoft.com/office/drawing/2014/main" id="{8C0C10C9-71A1-4868-95C4-D45FB0386596}"/>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3067459</xdr:colOff>
      <xdr:row>1</xdr:row>
      <xdr:rowOff>103586</xdr:rowOff>
    </xdr:from>
    <xdr:to>
      <xdr:col>10</xdr:col>
      <xdr:colOff>3067459</xdr:colOff>
      <xdr:row>2</xdr:row>
      <xdr:rowOff>117146</xdr:rowOff>
    </xdr:to>
    <xdr:cxnSp macro="">
      <xdr:nvCxnSpPr>
        <xdr:cNvPr id="72" name="Straight Connector 71">
          <a:extLst>
            <a:ext uri="{FF2B5EF4-FFF2-40B4-BE49-F238E27FC236}">
              <a16:creationId xmlns:a16="http://schemas.microsoft.com/office/drawing/2014/main" id="{B6AECF9B-AAEC-4ACD-97AE-407A6A8EA1C3}"/>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56029</xdr:colOff>
      <xdr:row>23</xdr:row>
      <xdr:rowOff>179294</xdr:rowOff>
    </xdr:from>
    <xdr:to>
      <xdr:col>18</xdr:col>
      <xdr:colOff>56030</xdr:colOff>
      <xdr:row>39</xdr:row>
      <xdr:rowOff>85725</xdr:rowOff>
    </xdr:to>
    <xdr:graphicFrame macro="">
      <xdr:nvGraphicFramePr>
        <xdr:cNvPr id="2" name="Chart 1">
          <a:extLst>
            <a:ext uri="{FF2B5EF4-FFF2-40B4-BE49-F238E27FC236}">
              <a16:creationId xmlns:a16="http://schemas.microsoft.com/office/drawing/2014/main" id="{1F79E03C-B24C-4ABE-2F56-C2BB85122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62</xdr:col>
      <xdr:colOff>470779</xdr:colOff>
      <xdr:row>4</xdr:row>
      <xdr:rowOff>0</xdr:rowOff>
    </xdr:to>
    <xdr:sp macro="" textlink="">
      <xdr:nvSpPr>
        <xdr:cNvPr id="2" name="Rectangle 1">
          <a:extLst>
            <a:ext uri="{FF2B5EF4-FFF2-40B4-BE49-F238E27FC236}">
              <a16:creationId xmlns:a16="http://schemas.microsoft.com/office/drawing/2014/main" id="{B3B9FA1E-7A0F-4FB0-B33A-9E7A970CD024}"/>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428582</xdr:colOff>
      <xdr:row>1</xdr:row>
      <xdr:rowOff>19879</xdr:rowOff>
    </xdr:from>
    <xdr:to>
      <xdr:col>16</xdr:col>
      <xdr:colOff>651168</xdr:colOff>
      <xdr:row>3</xdr:row>
      <xdr:rowOff>10354</xdr:rowOff>
    </xdr:to>
    <xdr:sp macro="" textlink="">
      <xdr:nvSpPr>
        <xdr:cNvPr id="3" name="TextBox 2">
          <a:hlinkClick xmlns:r="http://schemas.openxmlformats.org/officeDocument/2006/relationships" r:id="rId1"/>
          <a:extLst>
            <a:ext uri="{FF2B5EF4-FFF2-40B4-BE49-F238E27FC236}">
              <a16:creationId xmlns:a16="http://schemas.microsoft.com/office/drawing/2014/main" id="{D4E69937-910C-4302-BEB8-CEF948F91207}"/>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6" name="Picture 5">
          <a:extLst>
            <a:ext uri="{FF2B5EF4-FFF2-40B4-BE49-F238E27FC236}">
              <a16:creationId xmlns:a16="http://schemas.microsoft.com/office/drawing/2014/main" id="{C1862BE1-3669-411F-A0AC-F1108E24E15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1291639</xdr:colOff>
      <xdr:row>1</xdr:row>
      <xdr:rowOff>28201</xdr:rowOff>
    </xdr:from>
    <xdr:to>
      <xdr:col>1</xdr:col>
      <xdr:colOff>1291639</xdr:colOff>
      <xdr:row>2</xdr:row>
      <xdr:rowOff>138545</xdr:rowOff>
    </xdr:to>
    <xdr:cxnSp macro="">
      <xdr:nvCxnSpPr>
        <xdr:cNvPr id="39" name="Straight Connector 38">
          <a:extLst>
            <a:ext uri="{FF2B5EF4-FFF2-40B4-BE49-F238E27FC236}">
              <a16:creationId xmlns:a16="http://schemas.microsoft.com/office/drawing/2014/main" id="{D477F025-1034-4CEF-B273-515770732ECD}"/>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3795637</xdr:colOff>
      <xdr:row>1</xdr:row>
      <xdr:rowOff>19879</xdr:rowOff>
    </xdr:from>
    <xdr:to>
      <xdr:col>3</xdr:col>
      <xdr:colOff>637605</xdr:colOff>
      <xdr:row>3</xdr:row>
      <xdr:rowOff>10354</xdr:rowOff>
    </xdr:to>
    <xdr:sp macro="" textlink="">
      <xdr:nvSpPr>
        <xdr:cNvPr id="40" name="TextBox 39">
          <a:hlinkClick xmlns:r="http://schemas.openxmlformats.org/officeDocument/2006/relationships" r:id="rId3"/>
          <a:extLst>
            <a:ext uri="{FF2B5EF4-FFF2-40B4-BE49-F238E27FC236}">
              <a16:creationId xmlns:a16="http://schemas.microsoft.com/office/drawing/2014/main" id="{A1578049-AF96-4B91-9ACF-7477C958BF5B}"/>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540331</xdr:colOff>
      <xdr:row>1</xdr:row>
      <xdr:rowOff>19879</xdr:rowOff>
    </xdr:from>
    <xdr:to>
      <xdr:col>5</xdr:col>
      <xdr:colOff>41989</xdr:colOff>
      <xdr:row>3</xdr:row>
      <xdr:rowOff>10354</xdr:rowOff>
    </xdr:to>
    <xdr:sp macro="" textlink="">
      <xdr:nvSpPr>
        <xdr:cNvPr id="41" name="TextBox 40">
          <a:hlinkClick xmlns:r="http://schemas.openxmlformats.org/officeDocument/2006/relationships" r:id="rId4"/>
          <a:extLst>
            <a:ext uri="{FF2B5EF4-FFF2-40B4-BE49-F238E27FC236}">
              <a16:creationId xmlns:a16="http://schemas.microsoft.com/office/drawing/2014/main" id="{25F5091B-EB5B-4119-B135-3AE13104B639}"/>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673098</xdr:colOff>
      <xdr:row>1</xdr:row>
      <xdr:rowOff>19879</xdr:rowOff>
    </xdr:from>
    <xdr:to>
      <xdr:col>6</xdr:col>
      <xdr:colOff>168697</xdr:colOff>
      <xdr:row>3</xdr:row>
      <xdr:rowOff>10354</xdr:rowOff>
    </xdr:to>
    <xdr:sp macro="" textlink="">
      <xdr:nvSpPr>
        <xdr:cNvPr id="42" name="TextBox 41">
          <a:hlinkClick xmlns:r="http://schemas.openxmlformats.org/officeDocument/2006/relationships" r:id="rId5"/>
          <a:extLst>
            <a:ext uri="{FF2B5EF4-FFF2-40B4-BE49-F238E27FC236}">
              <a16:creationId xmlns:a16="http://schemas.microsoft.com/office/drawing/2014/main" id="{8C8782CC-0866-457A-A2B7-80BD409628FD}"/>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6</xdr:col>
      <xdr:colOff>71423</xdr:colOff>
      <xdr:row>1</xdr:row>
      <xdr:rowOff>19879</xdr:rowOff>
    </xdr:from>
    <xdr:to>
      <xdr:col>7</xdr:col>
      <xdr:colOff>301436</xdr:colOff>
      <xdr:row>3</xdr:row>
      <xdr:rowOff>10354</xdr:rowOff>
    </xdr:to>
    <xdr:sp macro="" textlink="">
      <xdr:nvSpPr>
        <xdr:cNvPr id="43" name="TextBox 42">
          <a:hlinkClick xmlns:r="http://schemas.openxmlformats.org/officeDocument/2006/relationships" r:id="rId6"/>
          <a:extLst>
            <a:ext uri="{FF2B5EF4-FFF2-40B4-BE49-F238E27FC236}">
              <a16:creationId xmlns:a16="http://schemas.microsoft.com/office/drawing/2014/main" id="{8298BAD8-CEA1-4156-BA29-423AE8908604}"/>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7</xdr:col>
      <xdr:colOff>204162</xdr:colOff>
      <xdr:row>1</xdr:row>
      <xdr:rowOff>19879</xdr:rowOff>
    </xdr:from>
    <xdr:to>
      <xdr:col>9</xdr:col>
      <xdr:colOff>158108</xdr:colOff>
      <xdr:row>3</xdr:row>
      <xdr:rowOff>10354</xdr:rowOff>
    </xdr:to>
    <xdr:sp macro="" textlink="">
      <xdr:nvSpPr>
        <xdr:cNvPr id="44" name="TextBox 43">
          <a:hlinkClick xmlns:r="http://schemas.openxmlformats.org/officeDocument/2006/relationships" r:id="rId7"/>
          <a:extLst>
            <a:ext uri="{FF2B5EF4-FFF2-40B4-BE49-F238E27FC236}">
              <a16:creationId xmlns:a16="http://schemas.microsoft.com/office/drawing/2014/main" id="{69FB6F3E-0333-4496-96D5-302CAA60B56B}"/>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9</xdr:col>
      <xdr:colOff>60834</xdr:colOff>
      <xdr:row>1</xdr:row>
      <xdr:rowOff>19879</xdr:rowOff>
    </xdr:from>
    <xdr:to>
      <xdr:col>10</xdr:col>
      <xdr:colOff>287857</xdr:colOff>
      <xdr:row>3</xdr:row>
      <xdr:rowOff>10354</xdr:rowOff>
    </xdr:to>
    <xdr:sp macro="" textlink="">
      <xdr:nvSpPr>
        <xdr:cNvPr id="45" name="TextBox 44">
          <a:hlinkClick xmlns:r="http://schemas.openxmlformats.org/officeDocument/2006/relationships" r:id="rId8"/>
          <a:extLst>
            <a:ext uri="{FF2B5EF4-FFF2-40B4-BE49-F238E27FC236}">
              <a16:creationId xmlns:a16="http://schemas.microsoft.com/office/drawing/2014/main" id="{76646059-336F-42B8-B530-6EF52A18CF76}"/>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10</xdr:col>
      <xdr:colOff>192264</xdr:colOff>
      <xdr:row>1</xdr:row>
      <xdr:rowOff>19879</xdr:rowOff>
    </xdr:from>
    <xdr:to>
      <xdr:col>11</xdr:col>
      <xdr:colOff>417606</xdr:colOff>
      <xdr:row>3</xdr:row>
      <xdr:rowOff>10354</xdr:rowOff>
    </xdr:to>
    <xdr:sp macro="" textlink="">
      <xdr:nvSpPr>
        <xdr:cNvPr id="46" name="TextBox 45">
          <a:hlinkClick xmlns:r="http://schemas.openxmlformats.org/officeDocument/2006/relationships" r:id="rId9"/>
          <a:extLst>
            <a:ext uri="{FF2B5EF4-FFF2-40B4-BE49-F238E27FC236}">
              <a16:creationId xmlns:a16="http://schemas.microsoft.com/office/drawing/2014/main" id="{55096E33-C572-4ACE-A2E5-0A3C53CDE24A}"/>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11</xdr:col>
      <xdr:colOff>322013</xdr:colOff>
      <xdr:row>1</xdr:row>
      <xdr:rowOff>19879</xdr:rowOff>
    </xdr:from>
    <xdr:to>
      <xdr:col>12</xdr:col>
      <xdr:colOff>549814</xdr:colOff>
      <xdr:row>3</xdr:row>
      <xdr:rowOff>10354</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98602735-EA77-489C-8BA5-032263016731}"/>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12</xdr:col>
      <xdr:colOff>452540</xdr:colOff>
      <xdr:row>1</xdr:row>
      <xdr:rowOff>19879</xdr:rowOff>
    </xdr:from>
    <xdr:to>
      <xdr:col>13</xdr:col>
      <xdr:colOff>680694</xdr:colOff>
      <xdr:row>3</xdr:row>
      <xdr:rowOff>10354</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0E23078C-A8CE-48DC-8F63-432ADDAA5E87}"/>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FCFF</a:t>
          </a:r>
        </a:p>
      </xdr:txBody>
    </xdr:sp>
    <xdr:clientData/>
  </xdr:twoCellAnchor>
  <xdr:twoCellAnchor>
    <xdr:from>
      <xdr:col>13</xdr:col>
      <xdr:colOff>583420</xdr:colOff>
      <xdr:row>1</xdr:row>
      <xdr:rowOff>19879</xdr:rowOff>
    </xdr:from>
    <xdr:to>
      <xdr:col>15</xdr:col>
      <xdr:colOff>525856</xdr:colOff>
      <xdr:row>3</xdr:row>
      <xdr:rowOff>10354</xdr:rowOff>
    </xdr:to>
    <xdr:sp macro="" textlink="">
      <xdr:nvSpPr>
        <xdr:cNvPr id="49" name="TextBox 48">
          <a:hlinkClick xmlns:r="http://schemas.openxmlformats.org/officeDocument/2006/relationships" r:id="rId12"/>
          <a:extLst>
            <a:ext uri="{FF2B5EF4-FFF2-40B4-BE49-F238E27FC236}">
              <a16:creationId xmlns:a16="http://schemas.microsoft.com/office/drawing/2014/main" id="{F474D1CA-BAF5-45DD-8156-7DDCFC1FF9A2}"/>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16</xdr:col>
      <xdr:colOff>553894</xdr:colOff>
      <xdr:row>1</xdr:row>
      <xdr:rowOff>19879</xdr:rowOff>
    </xdr:from>
    <xdr:to>
      <xdr:col>18</xdr:col>
      <xdr:colOff>51270</xdr:colOff>
      <xdr:row>3</xdr:row>
      <xdr:rowOff>10354</xdr:rowOff>
    </xdr:to>
    <xdr:sp macro="" textlink="">
      <xdr:nvSpPr>
        <xdr:cNvPr id="50" name="TextBox 49">
          <a:hlinkClick xmlns:r="http://schemas.openxmlformats.org/officeDocument/2006/relationships" r:id="rId13"/>
          <a:extLst>
            <a:ext uri="{FF2B5EF4-FFF2-40B4-BE49-F238E27FC236}">
              <a16:creationId xmlns:a16="http://schemas.microsoft.com/office/drawing/2014/main" id="{2F94DB21-9E66-4BA2-984B-7801327CA289}"/>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17</xdr:col>
      <xdr:colOff>682379</xdr:colOff>
      <xdr:row>1</xdr:row>
      <xdr:rowOff>19879</xdr:rowOff>
    </xdr:from>
    <xdr:to>
      <xdr:col>19</xdr:col>
      <xdr:colOff>182767</xdr:colOff>
      <xdr:row>3</xdr:row>
      <xdr:rowOff>10354</xdr:rowOff>
    </xdr:to>
    <xdr:sp macro="" textlink="">
      <xdr:nvSpPr>
        <xdr:cNvPr id="51" name="TextBox 50">
          <a:hlinkClick xmlns:r="http://schemas.openxmlformats.org/officeDocument/2006/relationships" r:id="rId14"/>
          <a:extLst>
            <a:ext uri="{FF2B5EF4-FFF2-40B4-BE49-F238E27FC236}">
              <a16:creationId xmlns:a16="http://schemas.microsoft.com/office/drawing/2014/main" id="{8281EE22-D5FF-483D-AD74-EBCE7E68196A}"/>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19</xdr:col>
      <xdr:colOff>85493</xdr:colOff>
      <xdr:row>1</xdr:row>
      <xdr:rowOff>19879</xdr:rowOff>
    </xdr:from>
    <xdr:to>
      <xdr:col>21</xdr:col>
      <xdr:colOff>32458</xdr:colOff>
      <xdr:row>3</xdr:row>
      <xdr:rowOff>10354</xdr:rowOff>
    </xdr:to>
    <xdr:sp macro="" textlink="">
      <xdr:nvSpPr>
        <xdr:cNvPr id="52" name="TextBox 51">
          <a:hlinkClick xmlns:r="http://schemas.openxmlformats.org/officeDocument/2006/relationships" r:id="rId15"/>
          <a:extLst>
            <a:ext uri="{FF2B5EF4-FFF2-40B4-BE49-F238E27FC236}">
              <a16:creationId xmlns:a16="http://schemas.microsoft.com/office/drawing/2014/main" id="{F038F6B9-B843-42C1-86DE-826B4B2FE29B}"/>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20</xdr:col>
      <xdr:colOff>58449</xdr:colOff>
      <xdr:row>1</xdr:row>
      <xdr:rowOff>19879</xdr:rowOff>
    </xdr:from>
    <xdr:to>
      <xdr:col>22</xdr:col>
      <xdr:colOff>165994</xdr:colOff>
      <xdr:row>3</xdr:row>
      <xdr:rowOff>10354</xdr:rowOff>
    </xdr:to>
    <xdr:sp macro="" textlink="">
      <xdr:nvSpPr>
        <xdr:cNvPr id="53" name="TextBox 52">
          <a:hlinkClick xmlns:r="http://schemas.openxmlformats.org/officeDocument/2006/relationships" r:id="rId16"/>
          <a:extLst>
            <a:ext uri="{FF2B5EF4-FFF2-40B4-BE49-F238E27FC236}">
              <a16:creationId xmlns:a16="http://schemas.microsoft.com/office/drawing/2014/main" id="{FC0B690C-372F-4868-BB46-EAA02B408EEF}"/>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22</xdr:col>
      <xdr:colOff>68731</xdr:colOff>
      <xdr:row>1</xdr:row>
      <xdr:rowOff>19879</xdr:rowOff>
    </xdr:from>
    <xdr:to>
      <xdr:col>23</xdr:col>
      <xdr:colOff>297114</xdr:colOff>
      <xdr:row>3</xdr:row>
      <xdr:rowOff>10354</xdr:rowOff>
    </xdr:to>
    <xdr:sp macro="" textlink="">
      <xdr:nvSpPr>
        <xdr:cNvPr id="54" name="TextBox 53">
          <a:hlinkClick xmlns:r="http://schemas.openxmlformats.org/officeDocument/2006/relationships" r:id="rId17"/>
          <a:extLst>
            <a:ext uri="{FF2B5EF4-FFF2-40B4-BE49-F238E27FC236}">
              <a16:creationId xmlns:a16="http://schemas.microsoft.com/office/drawing/2014/main" id="{B0520DEF-B969-4C0A-B8C3-4C3FB77B9882}"/>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6</xdr:col>
      <xdr:colOff>120060</xdr:colOff>
      <xdr:row>1</xdr:row>
      <xdr:rowOff>103586</xdr:rowOff>
    </xdr:from>
    <xdr:to>
      <xdr:col>6</xdr:col>
      <xdr:colOff>120060</xdr:colOff>
      <xdr:row>2</xdr:row>
      <xdr:rowOff>117146</xdr:rowOff>
    </xdr:to>
    <xdr:cxnSp macro="">
      <xdr:nvCxnSpPr>
        <xdr:cNvPr id="55" name="Straight Connector 54">
          <a:extLst>
            <a:ext uri="{FF2B5EF4-FFF2-40B4-BE49-F238E27FC236}">
              <a16:creationId xmlns:a16="http://schemas.microsoft.com/office/drawing/2014/main" id="{69781C5A-BAD1-48F1-BA66-B14AD3604AB2}"/>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721735</xdr:colOff>
      <xdr:row>1</xdr:row>
      <xdr:rowOff>103586</xdr:rowOff>
    </xdr:from>
    <xdr:to>
      <xdr:col>4</xdr:col>
      <xdr:colOff>721735</xdr:colOff>
      <xdr:row>2</xdr:row>
      <xdr:rowOff>117146</xdr:rowOff>
    </xdr:to>
    <xdr:cxnSp macro="">
      <xdr:nvCxnSpPr>
        <xdr:cNvPr id="56" name="Straight Connector 55">
          <a:extLst>
            <a:ext uri="{FF2B5EF4-FFF2-40B4-BE49-F238E27FC236}">
              <a16:creationId xmlns:a16="http://schemas.microsoft.com/office/drawing/2014/main" id="{B16416D2-1DA8-46BE-87A0-8A9759558074}"/>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588968</xdr:colOff>
      <xdr:row>1</xdr:row>
      <xdr:rowOff>103586</xdr:rowOff>
    </xdr:from>
    <xdr:to>
      <xdr:col>3</xdr:col>
      <xdr:colOff>588968</xdr:colOff>
      <xdr:row>2</xdr:row>
      <xdr:rowOff>117146</xdr:rowOff>
    </xdr:to>
    <xdr:cxnSp macro="">
      <xdr:nvCxnSpPr>
        <xdr:cNvPr id="57" name="Straight Connector 56">
          <a:extLst>
            <a:ext uri="{FF2B5EF4-FFF2-40B4-BE49-F238E27FC236}">
              <a16:creationId xmlns:a16="http://schemas.microsoft.com/office/drawing/2014/main" id="{ECC1ADD5-8578-44DF-A023-BF7C11E120A5}"/>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252799</xdr:colOff>
      <xdr:row>1</xdr:row>
      <xdr:rowOff>103586</xdr:rowOff>
    </xdr:from>
    <xdr:to>
      <xdr:col>7</xdr:col>
      <xdr:colOff>252799</xdr:colOff>
      <xdr:row>2</xdr:row>
      <xdr:rowOff>117146</xdr:rowOff>
    </xdr:to>
    <xdr:cxnSp macro="">
      <xdr:nvCxnSpPr>
        <xdr:cNvPr id="58" name="Straight Connector 57">
          <a:extLst>
            <a:ext uri="{FF2B5EF4-FFF2-40B4-BE49-F238E27FC236}">
              <a16:creationId xmlns:a16="http://schemas.microsoft.com/office/drawing/2014/main" id="{9697DC2A-7554-4629-988F-C79DBC51974D}"/>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109471</xdr:colOff>
      <xdr:row>1</xdr:row>
      <xdr:rowOff>103586</xdr:rowOff>
    </xdr:from>
    <xdr:to>
      <xdr:col>9</xdr:col>
      <xdr:colOff>109471</xdr:colOff>
      <xdr:row>2</xdr:row>
      <xdr:rowOff>117146</xdr:rowOff>
    </xdr:to>
    <xdr:cxnSp macro="">
      <xdr:nvCxnSpPr>
        <xdr:cNvPr id="59" name="Straight Connector 58">
          <a:extLst>
            <a:ext uri="{FF2B5EF4-FFF2-40B4-BE49-F238E27FC236}">
              <a16:creationId xmlns:a16="http://schemas.microsoft.com/office/drawing/2014/main" id="{8F61A2CD-C389-4716-BF30-992BC58B8614}"/>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239220</xdr:colOff>
      <xdr:row>1</xdr:row>
      <xdr:rowOff>103586</xdr:rowOff>
    </xdr:from>
    <xdr:to>
      <xdr:col>10</xdr:col>
      <xdr:colOff>239220</xdr:colOff>
      <xdr:row>2</xdr:row>
      <xdr:rowOff>117146</xdr:rowOff>
    </xdr:to>
    <xdr:cxnSp macro="">
      <xdr:nvCxnSpPr>
        <xdr:cNvPr id="60" name="Straight Connector 59">
          <a:extLst>
            <a:ext uri="{FF2B5EF4-FFF2-40B4-BE49-F238E27FC236}">
              <a16:creationId xmlns:a16="http://schemas.microsoft.com/office/drawing/2014/main" id="{F2AE59AD-9C88-48C3-9F21-34203C261A0C}"/>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370650</xdr:colOff>
      <xdr:row>1</xdr:row>
      <xdr:rowOff>103586</xdr:rowOff>
    </xdr:from>
    <xdr:to>
      <xdr:col>11</xdr:col>
      <xdr:colOff>370650</xdr:colOff>
      <xdr:row>2</xdr:row>
      <xdr:rowOff>117146</xdr:rowOff>
    </xdr:to>
    <xdr:cxnSp macro="">
      <xdr:nvCxnSpPr>
        <xdr:cNvPr id="61" name="Straight Connector 60">
          <a:extLst>
            <a:ext uri="{FF2B5EF4-FFF2-40B4-BE49-F238E27FC236}">
              <a16:creationId xmlns:a16="http://schemas.microsoft.com/office/drawing/2014/main" id="{FBEC924C-CA76-4570-9C2B-89613DCAC52C}"/>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501177</xdr:colOff>
      <xdr:row>1</xdr:row>
      <xdr:rowOff>103586</xdr:rowOff>
    </xdr:from>
    <xdr:to>
      <xdr:col>12</xdr:col>
      <xdr:colOff>501177</xdr:colOff>
      <xdr:row>2</xdr:row>
      <xdr:rowOff>117146</xdr:rowOff>
    </xdr:to>
    <xdr:cxnSp macro="">
      <xdr:nvCxnSpPr>
        <xdr:cNvPr id="62" name="Straight Connector 61">
          <a:extLst>
            <a:ext uri="{FF2B5EF4-FFF2-40B4-BE49-F238E27FC236}">
              <a16:creationId xmlns:a16="http://schemas.microsoft.com/office/drawing/2014/main" id="{1CB19589-E990-4AE4-B709-81A67ED797AB}"/>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632057</xdr:colOff>
      <xdr:row>1</xdr:row>
      <xdr:rowOff>103586</xdr:rowOff>
    </xdr:from>
    <xdr:to>
      <xdr:col>13</xdr:col>
      <xdr:colOff>632057</xdr:colOff>
      <xdr:row>2</xdr:row>
      <xdr:rowOff>117146</xdr:rowOff>
    </xdr:to>
    <xdr:cxnSp macro="">
      <xdr:nvCxnSpPr>
        <xdr:cNvPr id="63" name="Straight Connector 62">
          <a:extLst>
            <a:ext uri="{FF2B5EF4-FFF2-40B4-BE49-F238E27FC236}">
              <a16:creationId xmlns:a16="http://schemas.microsoft.com/office/drawing/2014/main" id="{E1607C58-CD82-4D1C-BDE9-C0CDB80FAA31}"/>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602531</xdr:colOff>
      <xdr:row>1</xdr:row>
      <xdr:rowOff>103586</xdr:rowOff>
    </xdr:from>
    <xdr:to>
      <xdr:col>16</xdr:col>
      <xdr:colOff>602531</xdr:colOff>
      <xdr:row>2</xdr:row>
      <xdr:rowOff>117146</xdr:rowOff>
    </xdr:to>
    <xdr:cxnSp macro="">
      <xdr:nvCxnSpPr>
        <xdr:cNvPr id="64" name="Straight Connector 63">
          <a:extLst>
            <a:ext uri="{FF2B5EF4-FFF2-40B4-BE49-F238E27FC236}">
              <a16:creationId xmlns:a16="http://schemas.microsoft.com/office/drawing/2014/main" id="{6A939570-A9B5-4E17-87FE-2FDBF4570669}"/>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2633</xdr:colOff>
      <xdr:row>1</xdr:row>
      <xdr:rowOff>103586</xdr:rowOff>
    </xdr:from>
    <xdr:to>
      <xdr:col>18</xdr:col>
      <xdr:colOff>2633</xdr:colOff>
      <xdr:row>2</xdr:row>
      <xdr:rowOff>117146</xdr:rowOff>
    </xdr:to>
    <xdr:cxnSp macro="">
      <xdr:nvCxnSpPr>
        <xdr:cNvPr id="65" name="Straight Connector 64">
          <a:extLst>
            <a:ext uri="{FF2B5EF4-FFF2-40B4-BE49-F238E27FC236}">
              <a16:creationId xmlns:a16="http://schemas.microsoft.com/office/drawing/2014/main" id="{2B28781C-862B-465D-B963-7D8299CB9911}"/>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134130</xdr:colOff>
      <xdr:row>1</xdr:row>
      <xdr:rowOff>103586</xdr:rowOff>
    </xdr:from>
    <xdr:to>
      <xdr:col>19</xdr:col>
      <xdr:colOff>134130</xdr:colOff>
      <xdr:row>2</xdr:row>
      <xdr:rowOff>117146</xdr:rowOff>
    </xdr:to>
    <xdr:cxnSp macro="">
      <xdr:nvCxnSpPr>
        <xdr:cNvPr id="66" name="Straight Connector 65">
          <a:extLst>
            <a:ext uri="{FF2B5EF4-FFF2-40B4-BE49-F238E27FC236}">
              <a16:creationId xmlns:a16="http://schemas.microsoft.com/office/drawing/2014/main" id="{9D40F05A-8B34-4056-BC97-A9B7E0B999AF}"/>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107086</xdr:colOff>
      <xdr:row>1</xdr:row>
      <xdr:rowOff>103586</xdr:rowOff>
    </xdr:from>
    <xdr:to>
      <xdr:col>20</xdr:col>
      <xdr:colOff>107086</xdr:colOff>
      <xdr:row>2</xdr:row>
      <xdr:rowOff>117146</xdr:rowOff>
    </xdr:to>
    <xdr:cxnSp macro="">
      <xdr:nvCxnSpPr>
        <xdr:cNvPr id="67" name="Straight Connector 66">
          <a:extLst>
            <a:ext uri="{FF2B5EF4-FFF2-40B4-BE49-F238E27FC236}">
              <a16:creationId xmlns:a16="http://schemas.microsoft.com/office/drawing/2014/main" id="{EF66F637-4E2F-4E60-99E5-A1687F7B53A1}"/>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117357</xdr:colOff>
      <xdr:row>1</xdr:row>
      <xdr:rowOff>103586</xdr:rowOff>
    </xdr:from>
    <xdr:to>
      <xdr:col>22</xdr:col>
      <xdr:colOff>117357</xdr:colOff>
      <xdr:row>2</xdr:row>
      <xdr:rowOff>117146</xdr:rowOff>
    </xdr:to>
    <xdr:cxnSp macro="">
      <xdr:nvCxnSpPr>
        <xdr:cNvPr id="68" name="Straight Connector 67">
          <a:extLst>
            <a:ext uri="{FF2B5EF4-FFF2-40B4-BE49-F238E27FC236}">
              <a16:creationId xmlns:a16="http://schemas.microsoft.com/office/drawing/2014/main" id="{920429B8-DEE7-4589-9003-2936C88A1796}"/>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477219</xdr:colOff>
      <xdr:row>1</xdr:row>
      <xdr:rowOff>103586</xdr:rowOff>
    </xdr:from>
    <xdr:to>
      <xdr:col>15</xdr:col>
      <xdr:colOff>477219</xdr:colOff>
      <xdr:row>2</xdr:row>
      <xdr:rowOff>117146</xdr:rowOff>
    </xdr:to>
    <xdr:cxnSp macro="">
      <xdr:nvCxnSpPr>
        <xdr:cNvPr id="69" name="Straight Connector 68">
          <a:extLst>
            <a:ext uri="{FF2B5EF4-FFF2-40B4-BE49-F238E27FC236}">
              <a16:creationId xmlns:a16="http://schemas.microsoft.com/office/drawing/2014/main" id="{44B536AC-DD8B-48F2-B3F9-C3F8C064A509}"/>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53</xdr:col>
      <xdr:colOff>656236</xdr:colOff>
      <xdr:row>4</xdr:row>
      <xdr:rowOff>0</xdr:rowOff>
    </xdr:to>
    <xdr:sp macro="" textlink="">
      <xdr:nvSpPr>
        <xdr:cNvPr id="4" name="Rectangle 3">
          <a:extLst>
            <a:ext uri="{FF2B5EF4-FFF2-40B4-BE49-F238E27FC236}">
              <a16:creationId xmlns:a16="http://schemas.microsoft.com/office/drawing/2014/main" id="{E5C21A71-5063-4FFA-B079-25DE67E9D649}"/>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561372</xdr:colOff>
      <xdr:row>1</xdr:row>
      <xdr:rowOff>19879</xdr:rowOff>
    </xdr:from>
    <xdr:to>
      <xdr:col>12</xdr:col>
      <xdr:colOff>550315</xdr:colOff>
      <xdr:row>3</xdr:row>
      <xdr:rowOff>10354</xdr:rowOff>
    </xdr:to>
    <xdr:sp macro="" textlink="">
      <xdr:nvSpPr>
        <xdr:cNvPr id="5" name="TextBox 4">
          <a:hlinkClick xmlns:r="http://schemas.openxmlformats.org/officeDocument/2006/relationships" r:id="rId1"/>
          <a:extLst>
            <a:ext uri="{FF2B5EF4-FFF2-40B4-BE49-F238E27FC236}">
              <a16:creationId xmlns:a16="http://schemas.microsoft.com/office/drawing/2014/main" id="{8F8890A5-9CD9-430A-817D-B8943AC254E2}"/>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22" name="Picture 21">
          <a:extLst>
            <a:ext uri="{FF2B5EF4-FFF2-40B4-BE49-F238E27FC236}">
              <a16:creationId xmlns:a16="http://schemas.microsoft.com/office/drawing/2014/main" id="{0B8985E1-0E4D-460F-AE38-5B300E4E09B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1183502</xdr:colOff>
      <xdr:row>1</xdr:row>
      <xdr:rowOff>28201</xdr:rowOff>
    </xdr:from>
    <xdr:to>
      <xdr:col>1</xdr:col>
      <xdr:colOff>1183502</xdr:colOff>
      <xdr:row>2</xdr:row>
      <xdr:rowOff>138545</xdr:rowOff>
    </xdr:to>
    <xdr:cxnSp macro="">
      <xdr:nvCxnSpPr>
        <xdr:cNvPr id="39" name="Straight Connector 38">
          <a:extLst>
            <a:ext uri="{FF2B5EF4-FFF2-40B4-BE49-F238E27FC236}">
              <a16:creationId xmlns:a16="http://schemas.microsoft.com/office/drawing/2014/main" id="{67C5BD55-D3F0-4183-AC3F-DBD37F5CACBD}"/>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706175</xdr:colOff>
      <xdr:row>1</xdr:row>
      <xdr:rowOff>19879</xdr:rowOff>
    </xdr:from>
    <xdr:to>
      <xdr:col>3</xdr:col>
      <xdr:colOff>622477</xdr:colOff>
      <xdr:row>3</xdr:row>
      <xdr:rowOff>10354</xdr:rowOff>
    </xdr:to>
    <xdr:sp macro="" textlink="">
      <xdr:nvSpPr>
        <xdr:cNvPr id="40" name="TextBox 39">
          <a:hlinkClick xmlns:r="http://schemas.openxmlformats.org/officeDocument/2006/relationships" r:id="rId3"/>
          <a:extLst>
            <a:ext uri="{FF2B5EF4-FFF2-40B4-BE49-F238E27FC236}">
              <a16:creationId xmlns:a16="http://schemas.microsoft.com/office/drawing/2014/main" id="{4673E65A-2F8F-423B-A7ED-925C2C835FC9}"/>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525203</xdr:colOff>
      <xdr:row>1</xdr:row>
      <xdr:rowOff>19879</xdr:rowOff>
    </xdr:from>
    <xdr:to>
      <xdr:col>4</xdr:col>
      <xdr:colOff>521601</xdr:colOff>
      <xdr:row>3</xdr:row>
      <xdr:rowOff>10354</xdr:rowOff>
    </xdr:to>
    <xdr:sp macro="" textlink="">
      <xdr:nvSpPr>
        <xdr:cNvPr id="41" name="TextBox 40">
          <a:hlinkClick xmlns:r="http://schemas.openxmlformats.org/officeDocument/2006/relationships" r:id="rId4"/>
          <a:extLst>
            <a:ext uri="{FF2B5EF4-FFF2-40B4-BE49-F238E27FC236}">
              <a16:creationId xmlns:a16="http://schemas.microsoft.com/office/drawing/2014/main" id="{751DA4FE-0A8B-4365-8CF6-665FE2CC1AC1}"/>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424327</xdr:colOff>
      <xdr:row>1</xdr:row>
      <xdr:rowOff>19879</xdr:rowOff>
    </xdr:from>
    <xdr:to>
      <xdr:col>5</xdr:col>
      <xdr:colOff>414666</xdr:colOff>
      <xdr:row>3</xdr:row>
      <xdr:rowOff>10354</xdr:rowOff>
    </xdr:to>
    <xdr:sp macro="" textlink="">
      <xdr:nvSpPr>
        <xdr:cNvPr id="42" name="TextBox 41">
          <a:hlinkClick xmlns:r="http://schemas.openxmlformats.org/officeDocument/2006/relationships" r:id="rId5"/>
          <a:extLst>
            <a:ext uri="{FF2B5EF4-FFF2-40B4-BE49-F238E27FC236}">
              <a16:creationId xmlns:a16="http://schemas.microsoft.com/office/drawing/2014/main" id="{31D76FBF-7F1E-449C-B20A-E22607D85C6B}"/>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5</xdr:col>
      <xdr:colOff>317392</xdr:colOff>
      <xdr:row>1</xdr:row>
      <xdr:rowOff>19879</xdr:rowOff>
    </xdr:from>
    <xdr:to>
      <xdr:col>6</xdr:col>
      <xdr:colOff>313762</xdr:colOff>
      <xdr:row>3</xdr:row>
      <xdr:rowOff>10354</xdr:rowOff>
    </xdr:to>
    <xdr:sp macro="" textlink="">
      <xdr:nvSpPr>
        <xdr:cNvPr id="43" name="TextBox 42">
          <a:hlinkClick xmlns:r="http://schemas.openxmlformats.org/officeDocument/2006/relationships" r:id="rId6"/>
          <a:extLst>
            <a:ext uri="{FF2B5EF4-FFF2-40B4-BE49-F238E27FC236}">
              <a16:creationId xmlns:a16="http://schemas.microsoft.com/office/drawing/2014/main" id="{A9AF28AD-1675-465B-BB56-8C421864BD4D}"/>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6</xdr:col>
      <xdr:colOff>216488</xdr:colOff>
      <xdr:row>1</xdr:row>
      <xdr:rowOff>19879</xdr:rowOff>
    </xdr:from>
    <xdr:to>
      <xdr:col>7</xdr:col>
      <xdr:colOff>216939</xdr:colOff>
      <xdr:row>3</xdr:row>
      <xdr:rowOff>10354</xdr:rowOff>
    </xdr:to>
    <xdr:sp macro="" textlink="">
      <xdr:nvSpPr>
        <xdr:cNvPr id="44" name="TextBox 43">
          <a:hlinkClick xmlns:r="http://schemas.openxmlformats.org/officeDocument/2006/relationships" r:id="rId7"/>
          <a:extLst>
            <a:ext uri="{FF2B5EF4-FFF2-40B4-BE49-F238E27FC236}">
              <a16:creationId xmlns:a16="http://schemas.microsoft.com/office/drawing/2014/main" id="{6F46FB3A-4807-4296-B3D9-0957C7467C92}"/>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7</xdr:col>
      <xdr:colOff>119665</xdr:colOff>
      <xdr:row>1</xdr:row>
      <xdr:rowOff>19879</xdr:rowOff>
    </xdr:from>
    <xdr:to>
      <xdr:col>8</xdr:col>
      <xdr:colOff>113045</xdr:colOff>
      <xdr:row>3</xdr:row>
      <xdr:rowOff>10354</xdr:rowOff>
    </xdr:to>
    <xdr:sp macro="" textlink="">
      <xdr:nvSpPr>
        <xdr:cNvPr id="45" name="TextBox 44">
          <a:hlinkClick xmlns:r="http://schemas.openxmlformats.org/officeDocument/2006/relationships" r:id="rId8"/>
          <a:extLst>
            <a:ext uri="{FF2B5EF4-FFF2-40B4-BE49-F238E27FC236}">
              <a16:creationId xmlns:a16="http://schemas.microsoft.com/office/drawing/2014/main" id="{8C1277BF-791D-4339-8BDD-B66B5AF2E1A6}"/>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8</xdr:col>
      <xdr:colOff>17452</xdr:colOff>
      <xdr:row>1</xdr:row>
      <xdr:rowOff>19879</xdr:rowOff>
    </xdr:from>
    <xdr:to>
      <xdr:col>9</xdr:col>
      <xdr:colOff>9152</xdr:colOff>
      <xdr:row>3</xdr:row>
      <xdr:rowOff>10354</xdr:rowOff>
    </xdr:to>
    <xdr:sp macro="" textlink="">
      <xdr:nvSpPr>
        <xdr:cNvPr id="46" name="TextBox 45">
          <a:hlinkClick xmlns:r="http://schemas.openxmlformats.org/officeDocument/2006/relationships" r:id="rId9"/>
          <a:extLst>
            <a:ext uri="{FF2B5EF4-FFF2-40B4-BE49-F238E27FC236}">
              <a16:creationId xmlns:a16="http://schemas.microsoft.com/office/drawing/2014/main" id="{47249956-3DC9-45F1-863D-D01840B00FA8}"/>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8</xdr:col>
      <xdr:colOff>875584</xdr:colOff>
      <xdr:row>1</xdr:row>
      <xdr:rowOff>19879</xdr:rowOff>
    </xdr:from>
    <xdr:to>
      <xdr:col>9</xdr:col>
      <xdr:colOff>869742</xdr:colOff>
      <xdr:row>3</xdr:row>
      <xdr:rowOff>10354</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8496B1C1-4A71-47BB-96F9-97116EA07FD0}"/>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9</xdr:col>
      <xdr:colOff>772468</xdr:colOff>
      <xdr:row>1</xdr:row>
      <xdr:rowOff>19879</xdr:rowOff>
    </xdr:from>
    <xdr:to>
      <xdr:col>10</xdr:col>
      <xdr:colOff>766979</xdr:colOff>
      <xdr:row>3</xdr:row>
      <xdr:rowOff>10354</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C63F643E-9C16-42A8-B670-8D15311B5E80}"/>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10</xdr:col>
      <xdr:colOff>669705</xdr:colOff>
      <xdr:row>1</xdr:row>
      <xdr:rowOff>19879</xdr:rowOff>
    </xdr:from>
    <xdr:to>
      <xdr:col>11</xdr:col>
      <xdr:colOff>658646</xdr:colOff>
      <xdr:row>3</xdr:row>
      <xdr:rowOff>10354</xdr:rowOff>
    </xdr:to>
    <xdr:sp macro="" textlink="">
      <xdr:nvSpPr>
        <xdr:cNvPr id="49" name="TextBox 48">
          <a:hlinkClick xmlns:r="http://schemas.openxmlformats.org/officeDocument/2006/relationships" r:id="rId12"/>
          <a:extLst>
            <a:ext uri="{FF2B5EF4-FFF2-40B4-BE49-F238E27FC236}">
              <a16:creationId xmlns:a16="http://schemas.microsoft.com/office/drawing/2014/main" id="{33AE9142-4D46-4E82-BA8B-9137D46DACD9}"/>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LBO</a:t>
          </a:r>
        </a:p>
      </xdr:txBody>
    </xdr:sp>
    <xdr:clientData/>
  </xdr:twoCellAnchor>
  <xdr:twoCellAnchor>
    <xdr:from>
      <xdr:col>12</xdr:col>
      <xdr:colOff>453041</xdr:colOff>
      <xdr:row>1</xdr:row>
      <xdr:rowOff>19879</xdr:rowOff>
    </xdr:from>
    <xdr:to>
      <xdr:col>13</xdr:col>
      <xdr:colOff>445157</xdr:colOff>
      <xdr:row>3</xdr:row>
      <xdr:rowOff>10354</xdr:rowOff>
    </xdr:to>
    <xdr:sp macro="" textlink="">
      <xdr:nvSpPr>
        <xdr:cNvPr id="50" name="TextBox 49">
          <a:hlinkClick xmlns:r="http://schemas.openxmlformats.org/officeDocument/2006/relationships" r:id="rId13"/>
          <a:extLst>
            <a:ext uri="{FF2B5EF4-FFF2-40B4-BE49-F238E27FC236}">
              <a16:creationId xmlns:a16="http://schemas.microsoft.com/office/drawing/2014/main" id="{57D109D3-2A6A-4A14-9890-9710B67BCBE1}"/>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13</xdr:col>
      <xdr:colOff>347883</xdr:colOff>
      <xdr:row>1</xdr:row>
      <xdr:rowOff>19879</xdr:rowOff>
    </xdr:from>
    <xdr:to>
      <xdr:col>14</xdr:col>
      <xdr:colOff>343011</xdr:colOff>
      <xdr:row>3</xdr:row>
      <xdr:rowOff>10354</xdr:rowOff>
    </xdr:to>
    <xdr:sp macro="" textlink="">
      <xdr:nvSpPr>
        <xdr:cNvPr id="51" name="TextBox 50">
          <a:hlinkClick xmlns:r="http://schemas.openxmlformats.org/officeDocument/2006/relationships" r:id="rId14"/>
          <a:extLst>
            <a:ext uri="{FF2B5EF4-FFF2-40B4-BE49-F238E27FC236}">
              <a16:creationId xmlns:a16="http://schemas.microsoft.com/office/drawing/2014/main" id="{01C93FA3-CEC8-4FC5-B1B4-6B227B8C6ED8}"/>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14</xdr:col>
      <xdr:colOff>245737</xdr:colOff>
      <xdr:row>1</xdr:row>
      <xdr:rowOff>19879</xdr:rowOff>
    </xdr:from>
    <xdr:to>
      <xdr:col>15</xdr:col>
      <xdr:colOff>239207</xdr:colOff>
      <xdr:row>3</xdr:row>
      <xdr:rowOff>10354</xdr:rowOff>
    </xdr:to>
    <xdr:sp macro="" textlink="">
      <xdr:nvSpPr>
        <xdr:cNvPr id="52" name="TextBox 51">
          <a:hlinkClick xmlns:r="http://schemas.openxmlformats.org/officeDocument/2006/relationships" r:id="rId15"/>
          <a:extLst>
            <a:ext uri="{FF2B5EF4-FFF2-40B4-BE49-F238E27FC236}">
              <a16:creationId xmlns:a16="http://schemas.microsoft.com/office/drawing/2014/main" id="{F9E8916E-8A93-42D7-B856-6B1B2F46535B}"/>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15</xdr:col>
      <xdr:colOff>141933</xdr:colOff>
      <xdr:row>1</xdr:row>
      <xdr:rowOff>19879</xdr:rowOff>
    </xdr:from>
    <xdr:to>
      <xdr:col>16</xdr:col>
      <xdr:colOff>139100</xdr:colOff>
      <xdr:row>3</xdr:row>
      <xdr:rowOff>10354</xdr:rowOff>
    </xdr:to>
    <xdr:sp macro="" textlink="">
      <xdr:nvSpPr>
        <xdr:cNvPr id="53" name="TextBox 52">
          <a:hlinkClick xmlns:r="http://schemas.openxmlformats.org/officeDocument/2006/relationships" r:id="rId16"/>
          <a:extLst>
            <a:ext uri="{FF2B5EF4-FFF2-40B4-BE49-F238E27FC236}">
              <a16:creationId xmlns:a16="http://schemas.microsoft.com/office/drawing/2014/main" id="{6C6300C5-A50F-48CF-8A23-D40CF38C6723}"/>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16</xdr:col>
      <xdr:colOff>41837</xdr:colOff>
      <xdr:row>1</xdr:row>
      <xdr:rowOff>19879</xdr:rowOff>
    </xdr:from>
    <xdr:to>
      <xdr:col>17</xdr:col>
      <xdr:colOff>36577</xdr:colOff>
      <xdr:row>3</xdr:row>
      <xdr:rowOff>10354</xdr:rowOff>
    </xdr:to>
    <xdr:sp macro="" textlink="">
      <xdr:nvSpPr>
        <xdr:cNvPr id="54" name="TextBox 53">
          <a:hlinkClick xmlns:r="http://schemas.openxmlformats.org/officeDocument/2006/relationships" r:id="rId17"/>
          <a:extLst>
            <a:ext uri="{FF2B5EF4-FFF2-40B4-BE49-F238E27FC236}">
              <a16:creationId xmlns:a16="http://schemas.microsoft.com/office/drawing/2014/main" id="{68534189-1DD3-4DD1-9EDD-2F4500AD6C51}"/>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5</xdr:col>
      <xdr:colOff>366029</xdr:colOff>
      <xdr:row>1</xdr:row>
      <xdr:rowOff>103586</xdr:rowOff>
    </xdr:from>
    <xdr:to>
      <xdr:col>5</xdr:col>
      <xdr:colOff>366029</xdr:colOff>
      <xdr:row>2</xdr:row>
      <xdr:rowOff>117146</xdr:rowOff>
    </xdr:to>
    <xdr:cxnSp macro="">
      <xdr:nvCxnSpPr>
        <xdr:cNvPr id="55" name="Straight Connector 54">
          <a:extLst>
            <a:ext uri="{FF2B5EF4-FFF2-40B4-BE49-F238E27FC236}">
              <a16:creationId xmlns:a16="http://schemas.microsoft.com/office/drawing/2014/main" id="{7C936F8A-EA55-4747-981D-B4AF0A5BAFB5}"/>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472964</xdr:colOff>
      <xdr:row>1</xdr:row>
      <xdr:rowOff>103586</xdr:rowOff>
    </xdr:from>
    <xdr:to>
      <xdr:col>4</xdr:col>
      <xdr:colOff>472964</xdr:colOff>
      <xdr:row>2</xdr:row>
      <xdr:rowOff>117146</xdr:rowOff>
    </xdr:to>
    <xdr:cxnSp macro="">
      <xdr:nvCxnSpPr>
        <xdr:cNvPr id="56" name="Straight Connector 55">
          <a:extLst>
            <a:ext uri="{FF2B5EF4-FFF2-40B4-BE49-F238E27FC236}">
              <a16:creationId xmlns:a16="http://schemas.microsoft.com/office/drawing/2014/main" id="{02FC1A29-F5E8-433E-904D-E258F1C49FCA}"/>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573840</xdr:colOff>
      <xdr:row>1</xdr:row>
      <xdr:rowOff>103586</xdr:rowOff>
    </xdr:from>
    <xdr:to>
      <xdr:col>3</xdr:col>
      <xdr:colOff>573840</xdr:colOff>
      <xdr:row>2</xdr:row>
      <xdr:rowOff>117146</xdr:rowOff>
    </xdr:to>
    <xdr:cxnSp macro="">
      <xdr:nvCxnSpPr>
        <xdr:cNvPr id="57" name="Straight Connector 56">
          <a:extLst>
            <a:ext uri="{FF2B5EF4-FFF2-40B4-BE49-F238E27FC236}">
              <a16:creationId xmlns:a16="http://schemas.microsoft.com/office/drawing/2014/main" id="{5E741EFA-2F93-4827-8EC2-7565AF73EDCA}"/>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265125</xdr:colOff>
      <xdr:row>1</xdr:row>
      <xdr:rowOff>103586</xdr:rowOff>
    </xdr:from>
    <xdr:to>
      <xdr:col>6</xdr:col>
      <xdr:colOff>265125</xdr:colOff>
      <xdr:row>2</xdr:row>
      <xdr:rowOff>117146</xdr:rowOff>
    </xdr:to>
    <xdr:cxnSp macro="">
      <xdr:nvCxnSpPr>
        <xdr:cNvPr id="58" name="Straight Connector 57">
          <a:extLst>
            <a:ext uri="{FF2B5EF4-FFF2-40B4-BE49-F238E27FC236}">
              <a16:creationId xmlns:a16="http://schemas.microsoft.com/office/drawing/2014/main" id="{290B1C12-9DC4-4280-9388-821F2B9783C0}"/>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168302</xdr:colOff>
      <xdr:row>1</xdr:row>
      <xdr:rowOff>103586</xdr:rowOff>
    </xdr:from>
    <xdr:to>
      <xdr:col>7</xdr:col>
      <xdr:colOff>168302</xdr:colOff>
      <xdr:row>2</xdr:row>
      <xdr:rowOff>117146</xdr:rowOff>
    </xdr:to>
    <xdr:cxnSp macro="">
      <xdr:nvCxnSpPr>
        <xdr:cNvPr id="59" name="Straight Connector 58">
          <a:extLst>
            <a:ext uri="{FF2B5EF4-FFF2-40B4-BE49-F238E27FC236}">
              <a16:creationId xmlns:a16="http://schemas.microsoft.com/office/drawing/2014/main" id="{04AA4FC9-E9E9-4A97-8460-9FC5B82E40D9}"/>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64408</xdr:colOff>
      <xdr:row>1</xdr:row>
      <xdr:rowOff>103586</xdr:rowOff>
    </xdr:from>
    <xdr:to>
      <xdr:col>8</xdr:col>
      <xdr:colOff>64408</xdr:colOff>
      <xdr:row>2</xdr:row>
      <xdr:rowOff>117146</xdr:rowOff>
    </xdr:to>
    <xdr:cxnSp macro="">
      <xdr:nvCxnSpPr>
        <xdr:cNvPr id="60" name="Straight Connector 59">
          <a:extLst>
            <a:ext uri="{FF2B5EF4-FFF2-40B4-BE49-F238E27FC236}">
              <a16:creationId xmlns:a16="http://schemas.microsoft.com/office/drawing/2014/main" id="{0917E34D-3039-459F-8B66-3B3152608E70}"/>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924221</xdr:colOff>
      <xdr:row>1</xdr:row>
      <xdr:rowOff>103586</xdr:rowOff>
    </xdr:from>
    <xdr:to>
      <xdr:col>8</xdr:col>
      <xdr:colOff>924221</xdr:colOff>
      <xdr:row>2</xdr:row>
      <xdr:rowOff>117146</xdr:rowOff>
    </xdr:to>
    <xdr:cxnSp macro="">
      <xdr:nvCxnSpPr>
        <xdr:cNvPr id="61" name="Straight Connector 60">
          <a:extLst>
            <a:ext uri="{FF2B5EF4-FFF2-40B4-BE49-F238E27FC236}">
              <a16:creationId xmlns:a16="http://schemas.microsoft.com/office/drawing/2014/main" id="{1516AA0C-5532-4A66-87A0-6B3262946C72}"/>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821105</xdr:colOff>
      <xdr:row>1</xdr:row>
      <xdr:rowOff>103586</xdr:rowOff>
    </xdr:from>
    <xdr:to>
      <xdr:col>9</xdr:col>
      <xdr:colOff>821105</xdr:colOff>
      <xdr:row>2</xdr:row>
      <xdr:rowOff>117146</xdr:rowOff>
    </xdr:to>
    <xdr:cxnSp macro="">
      <xdr:nvCxnSpPr>
        <xdr:cNvPr id="62" name="Straight Connector 61">
          <a:extLst>
            <a:ext uri="{FF2B5EF4-FFF2-40B4-BE49-F238E27FC236}">
              <a16:creationId xmlns:a16="http://schemas.microsoft.com/office/drawing/2014/main" id="{8A02328B-88CD-4A7E-8905-4F17362BA2BF}"/>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718342</xdr:colOff>
      <xdr:row>1</xdr:row>
      <xdr:rowOff>103586</xdr:rowOff>
    </xdr:from>
    <xdr:to>
      <xdr:col>10</xdr:col>
      <xdr:colOff>718342</xdr:colOff>
      <xdr:row>2</xdr:row>
      <xdr:rowOff>117146</xdr:rowOff>
    </xdr:to>
    <xdr:cxnSp macro="">
      <xdr:nvCxnSpPr>
        <xdr:cNvPr id="63" name="Straight Connector 62">
          <a:extLst>
            <a:ext uri="{FF2B5EF4-FFF2-40B4-BE49-F238E27FC236}">
              <a16:creationId xmlns:a16="http://schemas.microsoft.com/office/drawing/2014/main" id="{03A12636-1F14-4720-80C8-ADB90DB5E71B}"/>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501678</xdr:colOff>
      <xdr:row>1</xdr:row>
      <xdr:rowOff>103586</xdr:rowOff>
    </xdr:from>
    <xdr:to>
      <xdr:col>12</xdr:col>
      <xdr:colOff>501678</xdr:colOff>
      <xdr:row>2</xdr:row>
      <xdr:rowOff>117146</xdr:rowOff>
    </xdr:to>
    <xdr:cxnSp macro="">
      <xdr:nvCxnSpPr>
        <xdr:cNvPr id="64" name="Straight Connector 63">
          <a:extLst>
            <a:ext uri="{FF2B5EF4-FFF2-40B4-BE49-F238E27FC236}">
              <a16:creationId xmlns:a16="http://schemas.microsoft.com/office/drawing/2014/main" id="{19A6647D-299A-4748-8897-86651E08A9AF}"/>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396520</xdr:colOff>
      <xdr:row>1</xdr:row>
      <xdr:rowOff>103586</xdr:rowOff>
    </xdr:from>
    <xdr:to>
      <xdr:col>13</xdr:col>
      <xdr:colOff>396520</xdr:colOff>
      <xdr:row>2</xdr:row>
      <xdr:rowOff>117146</xdr:rowOff>
    </xdr:to>
    <xdr:cxnSp macro="">
      <xdr:nvCxnSpPr>
        <xdr:cNvPr id="65" name="Straight Connector 64">
          <a:extLst>
            <a:ext uri="{FF2B5EF4-FFF2-40B4-BE49-F238E27FC236}">
              <a16:creationId xmlns:a16="http://schemas.microsoft.com/office/drawing/2014/main" id="{27C23E6B-9619-4050-8B2B-C09015B3ECC7}"/>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294374</xdr:colOff>
      <xdr:row>1</xdr:row>
      <xdr:rowOff>103586</xdr:rowOff>
    </xdr:from>
    <xdr:to>
      <xdr:col>14</xdr:col>
      <xdr:colOff>294374</xdr:colOff>
      <xdr:row>2</xdr:row>
      <xdr:rowOff>117146</xdr:rowOff>
    </xdr:to>
    <xdr:cxnSp macro="">
      <xdr:nvCxnSpPr>
        <xdr:cNvPr id="66" name="Straight Connector 65">
          <a:extLst>
            <a:ext uri="{FF2B5EF4-FFF2-40B4-BE49-F238E27FC236}">
              <a16:creationId xmlns:a16="http://schemas.microsoft.com/office/drawing/2014/main" id="{0C211074-E0E3-47D0-AA39-EFA6DB726808}"/>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190570</xdr:colOff>
      <xdr:row>1</xdr:row>
      <xdr:rowOff>103586</xdr:rowOff>
    </xdr:from>
    <xdr:to>
      <xdr:col>15</xdr:col>
      <xdr:colOff>190570</xdr:colOff>
      <xdr:row>2</xdr:row>
      <xdr:rowOff>117146</xdr:rowOff>
    </xdr:to>
    <xdr:cxnSp macro="">
      <xdr:nvCxnSpPr>
        <xdr:cNvPr id="67" name="Straight Connector 66">
          <a:extLst>
            <a:ext uri="{FF2B5EF4-FFF2-40B4-BE49-F238E27FC236}">
              <a16:creationId xmlns:a16="http://schemas.microsoft.com/office/drawing/2014/main" id="{80EA75DC-B76E-42F6-8F03-2162246808A7}"/>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90463</xdr:colOff>
      <xdr:row>1</xdr:row>
      <xdr:rowOff>103586</xdr:rowOff>
    </xdr:from>
    <xdr:to>
      <xdr:col>16</xdr:col>
      <xdr:colOff>90463</xdr:colOff>
      <xdr:row>2</xdr:row>
      <xdr:rowOff>117146</xdr:rowOff>
    </xdr:to>
    <xdr:cxnSp macro="">
      <xdr:nvCxnSpPr>
        <xdr:cNvPr id="68" name="Straight Connector 67">
          <a:extLst>
            <a:ext uri="{FF2B5EF4-FFF2-40B4-BE49-F238E27FC236}">
              <a16:creationId xmlns:a16="http://schemas.microsoft.com/office/drawing/2014/main" id="{187C8BC0-8340-4C13-8E08-9AAD1A5A3C8B}"/>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610009</xdr:colOff>
      <xdr:row>1</xdr:row>
      <xdr:rowOff>103586</xdr:rowOff>
    </xdr:from>
    <xdr:to>
      <xdr:col>11</xdr:col>
      <xdr:colOff>610009</xdr:colOff>
      <xdr:row>2</xdr:row>
      <xdr:rowOff>117146</xdr:rowOff>
    </xdr:to>
    <xdr:cxnSp macro="">
      <xdr:nvCxnSpPr>
        <xdr:cNvPr id="69" name="Straight Connector 68">
          <a:extLst>
            <a:ext uri="{FF2B5EF4-FFF2-40B4-BE49-F238E27FC236}">
              <a16:creationId xmlns:a16="http://schemas.microsoft.com/office/drawing/2014/main" id="{59D7CCD1-11E7-4F37-94EF-99ED06634EA4}"/>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17</xdr:col>
      <xdr:colOff>11206</xdr:colOff>
      <xdr:row>10</xdr:row>
      <xdr:rowOff>62595</xdr:rowOff>
    </xdr:from>
    <xdr:to>
      <xdr:col>26</xdr:col>
      <xdr:colOff>112059</xdr:colOff>
      <xdr:row>29</xdr:row>
      <xdr:rowOff>1</xdr:rowOff>
    </xdr:to>
    <xdr:graphicFrame macro="">
      <xdr:nvGraphicFramePr>
        <xdr:cNvPr id="4" name="Chart 3">
          <a:extLst>
            <a:ext uri="{FF2B5EF4-FFF2-40B4-BE49-F238E27FC236}">
              <a16:creationId xmlns:a16="http://schemas.microsoft.com/office/drawing/2014/main" id="{D59B45DA-BBAB-715B-113D-35FF819D9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63</xdr:col>
      <xdr:colOff>470779</xdr:colOff>
      <xdr:row>4</xdr:row>
      <xdr:rowOff>0</xdr:rowOff>
    </xdr:to>
    <xdr:sp macro="" textlink="">
      <xdr:nvSpPr>
        <xdr:cNvPr id="40" name="Rectangle 39">
          <a:extLst>
            <a:ext uri="{FF2B5EF4-FFF2-40B4-BE49-F238E27FC236}">
              <a16:creationId xmlns:a16="http://schemas.microsoft.com/office/drawing/2014/main" id="{6718B9DD-6E7D-48AF-84DC-48DE5C595A90}"/>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u="sng"/>
        </a:p>
      </xdr:txBody>
    </xdr:sp>
    <xdr:clientData/>
  </xdr:twoCellAnchor>
  <xdr:twoCellAnchor>
    <xdr:from>
      <xdr:col>19</xdr:col>
      <xdr:colOff>81200</xdr:colOff>
      <xdr:row>1</xdr:row>
      <xdr:rowOff>19879</xdr:rowOff>
    </xdr:from>
    <xdr:to>
      <xdr:col>20</xdr:col>
      <xdr:colOff>348609</xdr:colOff>
      <xdr:row>3</xdr:row>
      <xdr:rowOff>10354</xdr:rowOff>
    </xdr:to>
    <xdr:sp macro="" textlink="">
      <xdr:nvSpPr>
        <xdr:cNvPr id="41" name="TextBox 40">
          <a:hlinkClick xmlns:r="http://schemas.openxmlformats.org/officeDocument/2006/relationships" r:id="rId2"/>
          <a:extLst>
            <a:ext uri="{FF2B5EF4-FFF2-40B4-BE49-F238E27FC236}">
              <a16:creationId xmlns:a16="http://schemas.microsoft.com/office/drawing/2014/main" id="{F6E8D479-6FFF-405E-88EE-BD8DF830BFB0}"/>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42" name="Picture 41">
          <a:extLst>
            <a:ext uri="{FF2B5EF4-FFF2-40B4-BE49-F238E27FC236}">
              <a16:creationId xmlns:a16="http://schemas.microsoft.com/office/drawing/2014/main" id="{905DA265-AF8B-4BE0-882A-C33B7072E3F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2</xdr:col>
      <xdr:colOff>608080</xdr:colOff>
      <xdr:row>1</xdr:row>
      <xdr:rowOff>28201</xdr:rowOff>
    </xdr:from>
    <xdr:to>
      <xdr:col>2</xdr:col>
      <xdr:colOff>608080</xdr:colOff>
      <xdr:row>2</xdr:row>
      <xdr:rowOff>138545</xdr:rowOff>
    </xdr:to>
    <xdr:cxnSp macro="">
      <xdr:nvCxnSpPr>
        <xdr:cNvPr id="44" name="Straight Connector 43">
          <a:extLst>
            <a:ext uri="{FF2B5EF4-FFF2-40B4-BE49-F238E27FC236}">
              <a16:creationId xmlns:a16="http://schemas.microsoft.com/office/drawing/2014/main" id="{2EB8935B-3DB8-4E56-A328-8AC6245D6556}"/>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377843</xdr:colOff>
      <xdr:row>1</xdr:row>
      <xdr:rowOff>19879</xdr:rowOff>
    </xdr:from>
    <xdr:to>
      <xdr:col>7</xdr:col>
      <xdr:colOff>648811</xdr:colOff>
      <xdr:row>3</xdr:row>
      <xdr:rowOff>10354</xdr:rowOff>
    </xdr:to>
    <xdr:sp macro="" textlink="">
      <xdr:nvSpPr>
        <xdr:cNvPr id="45" name="TextBox 44">
          <a:hlinkClick xmlns:r="http://schemas.openxmlformats.org/officeDocument/2006/relationships" r:id="rId4"/>
          <a:extLst>
            <a:ext uri="{FF2B5EF4-FFF2-40B4-BE49-F238E27FC236}">
              <a16:creationId xmlns:a16="http://schemas.microsoft.com/office/drawing/2014/main" id="{CAABC9B1-FE3F-4E92-9F7D-61862B4F6159}"/>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7</xdr:col>
      <xdr:colOff>551537</xdr:colOff>
      <xdr:row>1</xdr:row>
      <xdr:rowOff>19879</xdr:rowOff>
    </xdr:from>
    <xdr:to>
      <xdr:col>9</xdr:col>
      <xdr:colOff>142842</xdr:colOff>
      <xdr:row>3</xdr:row>
      <xdr:rowOff>10354</xdr:rowOff>
    </xdr:to>
    <xdr:sp macro="" textlink="">
      <xdr:nvSpPr>
        <xdr:cNvPr id="46" name="TextBox 45">
          <a:hlinkClick xmlns:r="http://schemas.openxmlformats.org/officeDocument/2006/relationships" r:id="rId5"/>
          <a:extLst>
            <a:ext uri="{FF2B5EF4-FFF2-40B4-BE49-F238E27FC236}">
              <a16:creationId xmlns:a16="http://schemas.microsoft.com/office/drawing/2014/main" id="{260A05A0-C69E-4B44-B0A3-36837E0E966B}"/>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9</xdr:col>
      <xdr:colOff>45568</xdr:colOff>
      <xdr:row>1</xdr:row>
      <xdr:rowOff>19879</xdr:rowOff>
    </xdr:from>
    <xdr:to>
      <xdr:col>10</xdr:col>
      <xdr:colOff>314373</xdr:colOff>
      <xdr:row>3</xdr:row>
      <xdr:rowOff>10354</xdr:rowOff>
    </xdr:to>
    <xdr:sp macro="" textlink="">
      <xdr:nvSpPr>
        <xdr:cNvPr id="47" name="TextBox 46">
          <a:hlinkClick xmlns:r="http://schemas.openxmlformats.org/officeDocument/2006/relationships" r:id="rId6"/>
          <a:extLst>
            <a:ext uri="{FF2B5EF4-FFF2-40B4-BE49-F238E27FC236}">
              <a16:creationId xmlns:a16="http://schemas.microsoft.com/office/drawing/2014/main" id="{189AE3C0-C619-47A8-8E89-E7E176C02FFE}"/>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10</xdr:col>
      <xdr:colOff>217099</xdr:colOff>
      <xdr:row>1</xdr:row>
      <xdr:rowOff>19879</xdr:rowOff>
    </xdr:from>
    <xdr:to>
      <xdr:col>11</xdr:col>
      <xdr:colOff>491936</xdr:colOff>
      <xdr:row>3</xdr:row>
      <xdr:rowOff>10354</xdr:rowOff>
    </xdr:to>
    <xdr:sp macro="" textlink="">
      <xdr:nvSpPr>
        <xdr:cNvPr id="48" name="TextBox 47">
          <a:hlinkClick xmlns:r="http://schemas.openxmlformats.org/officeDocument/2006/relationships" r:id="rId7"/>
          <a:extLst>
            <a:ext uri="{FF2B5EF4-FFF2-40B4-BE49-F238E27FC236}">
              <a16:creationId xmlns:a16="http://schemas.microsoft.com/office/drawing/2014/main" id="{A806B1D4-7EB1-499E-87A1-6F5E6372095B}"/>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11</xdr:col>
      <xdr:colOff>394662</xdr:colOff>
      <xdr:row>1</xdr:row>
      <xdr:rowOff>19879</xdr:rowOff>
    </xdr:from>
    <xdr:to>
      <xdr:col>12</xdr:col>
      <xdr:colOff>673579</xdr:colOff>
      <xdr:row>3</xdr:row>
      <xdr:rowOff>10354</xdr:rowOff>
    </xdr:to>
    <xdr:sp macro="" textlink="">
      <xdr:nvSpPr>
        <xdr:cNvPr id="49" name="TextBox 48">
          <a:hlinkClick xmlns:r="http://schemas.openxmlformats.org/officeDocument/2006/relationships" r:id="rId8"/>
          <a:extLst>
            <a:ext uri="{FF2B5EF4-FFF2-40B4-BE49-F238E27FC236}">
              <a16:creationId xmlns:a16="http://schemas.microsoft.com/office/drawing/2014/main" id="{D7ABCDD3-F78A-440B-841A-74247B2A54B6}"/>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12</xdr:col>
      <xdr:colOff>576305</xdr:colOff>
      <xdr:row>1</xdr:row>
      <xdr:rowOff>19879</xdr:rowOff>
    </xdr:from>
    <xdr:to>
      <xdr:col>14</xdr:col>
      <xdr:colOff>164592</xdr:colOff>
      <xdr:row>3</xdr:row>
      <xdr:rowOff>10354</xdr:rowOff>
    </xdr:to>
    <xdr:sp macro="" textlink="">
      <xdr:nvSpPr>
        <xdr:cNvPr id="50" name="TextBox 49">
          <a:hlinkClick xmlns:r="http://schemas.openxmlformats.org/officeDocument/2006/relationships" r:id="rId9"/>
          <a:extLst>
            <a:ext uri="{FF2B5EF4-FFF2-40B4-BE49-F238E27FC236}">
              <a16:creationId xmlns:a16="http://schemas.microsoft.com/office/drawing/2014/main" id="{70BA2138-00CE-4D92-9800-A2083B822D6F}"/>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14</xdr:col>
      <xdr:colOff>68999</xdr:colOff>
      <xdr:row>1</xdr:row>
      <xdr:rowOff>19879</xdr:rowOff>
    </xdr:from>
    <xdr:to>
      <xdr:col>15</xdr:col>
      <xdr:colOff>339165</xdr:colOff>
      <xdr:row>3</xdr:row>
      <xdr:rowOff>10354</xdr:rowOff>
    </xdr:to>
    <xdr:sp macro="" textlink="">
      <xdr:nvSpPr>
        <xdr:cNvPr id="51" name="TextBox 50">
          <a:hlinkClick xmlns:r="http://schemas.openxmlformats.org/officeDocument/2006/relationships" r:id="rId10"/>
          <a:extLst>
            <a:ext uri="{FF2B5EF4-FFF2-40B4-BE49-F238E27FC236}">
              <a16:creationId xmlns:a16="http://schemas.microsoft.com/office/drawing/2014/main" id="{D8A0818B-E92A-4A99-972D-EDADD747A244}"/>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15</xdr:col>
      <xdr:colOff>243572</xdr:colOff>
      <xdr:row>1</xdr:row>
      <xdr:rowOff>19879</xdr:rowOff>
    </xdr:from>
    <xdr:to>
      <xdr:col>16</xdr:col>
      <xdr:colOff>516196</xdr:colOff>
      <xdr:row>3</xdr:row>
      <xdr:rowOff>10354</xdr:rowOff>
    </xdr:to>
    <xdr:sp macro="" textlink="">
      <xdr:nvSpPr>
        <xdr:cNvPr id="52" name="TextBox 51">
          <a:hlinkClick xmlns:r="http://schemas.openxmlformats.org/officeDocument/2006/relationships" r:id="rId11"/>
          <a:extLst>
            <a:ext uri="{FF2B5EF4-FFF2-40B4-BE49-F238E27FC236}">
              <a16:creationId xmlns:a16="http://schemas.microsoft.com/office/drawing/2014/main" id="{558721BD-8E0C-4A7C-AB17-053E0ACBDA2C}"/>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16</xdr:col>
      <xdr:colOff>418922</xdr:colOff>
      <xdr:row>1</xdr:row>
      <xdr:rowOff>19879</xdr:rowOff>
    </xdr:from>
    <xdr:to>
      <xdr:col>18</xdr:col>
      <xdr:colOff>8341</xdr:colOff>
      <xdr:row>3</xdr:row>
      <xdr:rowOff>10354</xdr:rowOff>
    </xdr:to>
    <xdr:sp macro="" textlink="">
      <xdr:nvSpPr>
        <xdr:cNvPr id="53" name="TextBox 52">
          <a:hlinkClick xmlns:r="http://schemas.openxmlformats.org/officeDocument/2006/relationships" r:id="rId12"/>
          <a:extLst>
            <a:ext uri="{FF2B5EF4-FFF2-40B4-BE49-F238E27FC236}">
              <a16:creationId xmlns:a16="http://schemas.microsoft.com/office/drawing/2014/main" id="{CD4D31F4-E2B9-4E1F-A2CF-4FF5FF4B252D}"/>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17</xdr:col>
      <xdr:colOff>594626</xdr:colOff>
      <xdr:row>1</xdr:row>
      <xdr:rowOff>19879</xdr:rowOff>
    </xdr:from>
    <xdr:to>
      <xdr:col>19</xdr:col>
      <xdr:colOff>178474</xdr:colOff>
      <xdr:row>3</xdr:row>
      <xdr:rowOff>10354</xdr:rowOff>
    </xdr:to>
    <xdr:sp macro="" textlink="">
      <xdr:nvSpPr>
        <xdr:cNvPr id="54" name="TextBox 53">
          <a:hlinkClick xmlns:r="http://schemas.openxmlformats.org/officeDocument/2006/relationships" r:id="rId13"/>
          <a:extLst>
            <a:ext uri="{FF2B5EF4-FFF2-40B4-BE49-F238E27FC236}">
              <a16:creationId xmlns:a16="http://schemas.microsoft.com/office/drawing/2014/main" id="{F7711511-8CCE-4B47-9808-92967898DAEF}"/>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20</xdr:col>
      <xdr:colOff>251335</xdr:colOff>
      <xdr:row>1</xdr:row>
      <xdr:rowOff>19879</xdr:rowOff>
    </xdr:from>
    <xdr:to>
      <xdr:col>21</xdr:col>
      <xdr:colOff>499506</xdr:colOff>
      <xdr:row>3</xdr:row>
      <xdr:rowOff>10354</xdr:rowOff>
    </xdr:to>
    <xdr:sp macro="" textlink="">
      <xdr:nvSpPr>
        <xdr:cNvPr id="55" name="TextBox 54">
          <a:hlinkClick xmlns:r="http://schemas.openxmlformats.org/officeDocument/2006/relationships" r:id="rId14"/>
          <a:extLst>
            <a:ext uri="{FF2B5EF4-FFF2-40B4-BE49-F238E27FC236}">
              <a16:creationId xmlns:a16="http://schemas.microsoft.com/office/drawing/2014/main" id="{8F4FDE50-C839-4729-9F1E-5BA65224AD4E}"/>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IS</a:t>
          </a:r>
        </a:p>
      </xdr:txBody>
    </xdr:sp>
    <xdr:clientData/>
  </xdr:twoCellAnchor>
  <xdr:twoCellAnchor>
    <xdr:from>
      <xdr:col>21</xdr:col>
      <xdr:colOff>402232</xdr:colOff>
      <xdr:row>1</xdr:row>
      <xdr:rowOff>19879</xdr:rowOff>
    </xdr:from>
    <xdr:to>
      <xdr:col>22</xdr:col>
      <xdr:colOff>653414</xdr:colOff>
      <xdr:row>3</xdr:row>
      <xdr:rowOff>10354</xdr:rowOff>
    </xdr:to>
    <xdr:sp macro="" textlink="">
      <xdr:nvSpPr>
        <xdr:cNvPr id="56" name="TextBox 55">
          <a:hlinkClick xmlns:r="http://schemas.openxmlformats.org/officeDocument/2006/relationships" r:id="rId15"/>
          <a:extLst>
            <a:ext uri="{FF2B5EF4-FFF2-40B4-BE49-F238E27FC236}">
              <a16:creationId xmlns:a16="http://schemas.microsoft.com/office/drawing/2014/main" id="{B690B155-83CD-497D-BA24-221594A95679}"/>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22</xdr:col>
      <xdr:colOff>556140</xdr:colOff>
      <xdr:row>1</xdr:row>
      <xdr:rowOff>19879</xdr:rowOff>
    </xdr:from>
    <xdr:to>
      <xdr:col>24</xdr:col>
      <xdr:colOff>99694</xdr:colOff>
      <xdr:row>3</xdr:row>
      <xdr:rowOff>10354</xdr:rowOff>
    </xdr:to>
    <xdr:sp macro="" textlink="">
      <xdr:nvSpPr>
        <xdr:cNvPr id="57" name="TextBox 56">
          <a:hlinkClick xmlns:r="http://schemas.openxmlformats.org/officeDocument/2006/relationships" r:id="rId16"/>
          <a:extLst>
            <a:ext uri="{FF2B5EF4-FFF2-40B4-BE49-F238E27FC236}">
              <a16:creationId xmlns:a16="http://schemas.microsoft.com/office/drawing/2014/main" id="{2DF37820-DAA4-4FE6-9B0F-51271951F90A}"/>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24</xdr:col>
      <xdr:colOff>2420</xdr:colOff>
      <xdr:row>1</xdr:row>
      <xdr:rowOff>19879</xdr:rowOff>
    </xdr:from>
    <xdr:to>
      <xdr:col>25</xdr:col>
      <xdr:colOff>278053</xdr:colOff>
      <xdr:row>3</xdr:row>
      <xdr:rowOff>10354</xdr:rowOff>
    </xdr:to>
    <xdr:sp macro="" textlink="">
      <xdr:nvSpPr>
        <xdr:cNvPr id="58" name="TextBox 57">
          <a:hlinkClick xmlns:r="http://schemas.openxmlformats.org/officeDocument/2006/relationships" r:id="rId17"/>
          <a:extLst>
            <a:ext uri="{FF2B5EF4-FFF2-40B4-BE49-F238E27FC236}">
              <a16:creationId xmlns:a16="http://schemas.microsoft.com/office/drawing/2014/main" id="{CD0814D2-F40E-4F77-A934-A66F94BB9462}"/>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25</xdr:col>
      <xdr:colOff>180790</xdr:colOff>
      <xdr:row>1</xdr:row>
      <xdr:rowOff>19879</xdr:rowOff>
    </xdr:from>
    <xdr:to>
      <xdr:col>26</xdr:col>
      <xdr:colOff>453996</xdr:colOff>
      <xdr:row>3</xdr:row>
      <xdr:rowOff>10354</xdr:rowOff>
    </xdr:to>
    <xdr:sp macro="" textlink="">
      <xdr:nvSpPr>
        <xdr:cNvPr id="59" name="TextBox 58">
          <a:hlinkClick xmlns:r="http://schemas.openxmlformats.org/officeDocument/2006/relationships" r:id="rId18"/>
          <a:extLst>
            <a:ext uri="{FF2B5EF4-FFF2-40B4-BE49-F238E27FC236}">
              <a16:creationId xmlns:a16="http://schemas.microsoft.com/office/drawing/2014/main" id="{C2CA7DD5-E5DC-4811-B179-76B863673509}"/>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10</xdr:col>
      <xdr:colOff>265736</xdr:colOff>
      <xdr:row>1</xdr:row>
      <xdr:rowOff>103586</xdr:rowOff>
    </xdr:from>
    <xdr:to>
      <xdr:col>10</xdr:col>
      <xdr:colOff>265736</xdr:colOff>
      <xdr:row>2</xdr:row>
      <xdr:rowOff>117146</xdr:rowOff>
    </xdr:to>
    <xdr:cxnSp macro="">
      <xdr:nvCxnSpPr>
        <xdr:cNvPr id="60" name="Straight Connector 59">
          <a:extLst>
            <a:ext uri="{FF2B5EF4-FFF2-40B4-BE49-F238E27FC236}">
              <a16:creationId xmlns:a16="http://schemas.microsoft.com/office/drawing/2014/main" id="{A0ACF81B-D411-490F-8AAC-6DDBC353177D}"/>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94205</xdr:colOff>
      <xdr:row>1</xdr:row>
      <xdr:rowOff>103586</xdr:rowOff>
    </xdr:from>
    <xdr:to>
      <xdr:col>9</xdr:col>
      <xdr:colOff>94205</xdr:colOff>
      <xdr:row>2</xdr:row>
      <xdr:rowOff>117146</xdr:rowOff>
    </xdr:to>
    <xdr:cxnSp macro="">
      <xdr:nvCxnSpPr>
        <xdr:cNvPr id="61" name="Straight Connector 60">
          <a:extLst>
            <a:ext uri="{FF2B5EF4-FFF2-40B4-BE49-F238E27FC236}">
              <a16:creationId xmlns:a16="http://schemas.microsoft.com/office/drawing/2014/main" id="{446FAD6D-611D-468E-AFDD-0B52AD38A2BC}"/>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600174</xdr:colOff>
      <xdr:row>1</xdr:row>
      <xdr:rowOff>103586</xdr:rowOff>
    </xdr:from>
    <xdr:to>
      <xdr:col>7</xdr:col>
      <xdr:colOff>600174</xdr:colOff>
      <xdr:row>2</xdr:row>
      <xdr:rowOff>117146</xdr:rowOff>
    </xdr:to>
    <xdr:cxnSp macro="">
      <xdr:nvCxnSpPr>
        <xdr:cNvPr id="62" name="Straight Connector 61">
          <a:extLst>
            <a:ext uri="{FF2B5EF4-FFF2-40B4-BE49-F238E27FC236}">
              <a16:creationId xmlns:a16="http://schemas.microsoft.com/office/drawing/2014/main" id="{00538D45-E35F-40D3-A792-EB55720A9A57}"/>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443299</xdr:colOff>
      <xdr:row>1</xdr:row>
      <xdr:rowOff>103586</xdr:rowOff>
    </xdr:from>
    <xdr:to>
      <xdr:col>11</xdr:col>
      <xdr:colOff>443299</xdr:colOff>
      <xdr:row>2</xdr:row>
      <xdr:rowOff>117146</xdr:rowOff>
    </xdr:to>
    <xdr:cxnSp macro="">
      <xdr:nvCxnSpPr>
        <xdr:cNvPr id="63" name="Straight Connector 62">
          <a:extLst>
            <a:ext uri="{FF2B5EF4-FFF2-40B4-BE49-F238E27FC236}">
              <a16:creationId xmlns:a16="http://schemas.microsoft.com/office/drawing/2014/main" id="{65DA74B9-16C2-4CB0-95E5-B9DE60AA1E8D}"/>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624942</xdr:colOff>
      <xdr:row>1</xdr:row>
      <xdr:rowOff>103586</xdr:rowOff>
    </xdr:from>
    <xdr:to>
      <xdr:col>12</xdr:col>
      <xdr:colOff>624942</xdr:colOff>
      <xdr:row>2</xdr:row>
      <xdr:rowOff>117146</xdr:rowOff>
    </xdr:to>
    <xdr:cxnSp macro="">
      <xdr:nvCxnSpPr>
        <xdr:cNvPr id="64" name="Straight Connector 63">
          <a:extLst>
            <a:ext uri="{FF2B5EF4-FFF2-40B4-BE49-F238E27FC236}">
              <a16:creationId xmlns:a16="http://schemas.microsoft.com/office/drawing/2014/main" id="{A3F16B74-111A-4B8E-8554-2C324B17183B}"/>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115955</xdr:colOff>
      <xdr:row>1</xdr:row>
      <xdr:rowOff>103586</xdr:rowOff>
    </xdr:from>
    <xdr:to>
      <xdr:col>14</xdr:col>
      <xdr:colOff>115955</xdr:colOff>
      <xdr:row>2</xdr:row>
      <xdr:rowOff>117146</xdr:rowOff>
    </xdr:to>
    <xdr:cxnSp macro="">
      <xdr:nvCxnSpPr>
        <xdr:cNvPr id="65" name="Straight Connector 64">
          <a:extLst>
            <a:ext uri="{FF2B5EF4-FFF2-40B4-BE49-F238E27FC236}">
              <a16:creationId xmlns:a16="http://schemas.microsoft.com/office/drawing/2014/main" id="{F12CE0FF-7D24-464B-A695-6CEA16B58253}"/>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292209</xdr:colOff>
      <xdr:row>1</xdr:row>
      <xdr:rowOff>103586</xdr:rowOff>
    </xdr:from>
    <xdr:to>
      <xdr:col>15</xdr:col>
      <xdr:colOff>292209</xdr:colOff>
      <xdr:row>2</xdr:row>
      <xdr:rowOff>117146</xdr:rowOff>
    </xdr:to>
    <xdr:cxnSp macro="">
      <xdr:nvCxnSpPr>
        <xdr:cNvPr id="66" name="Straight Connector 65">
          <a:extLst>
            <a:ext uri="{FF2B5EF4-FFF2-40B4-BE49-F238E27FC236}">
              <a16:creationId xmlns:a16="http://schemas.microsoft.com/office/drawing/2014/main" id="{24BE83D7-0CAA-40CA-98DF-7E0A63407494}"/>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467559</xdr:colOff>
      <xdr:row>1</xdr:row>
      <xdr:rowOff>103586</xdr:rowOff>
    </xdr:from>
    <xdr:to>
      <xdr:col>16</xdr:col>
      <xdr:colOff>467559</xdr:colOff>
      <xdr:row>2</xdr:row>
      <xdr:rowOff>117146</xdr:rowOff>
    </xdr:to>
    <xdr:cxnSp macro="">
      <xdr:nvCxnSpPr>
        <xdr:cNvPr id="67" name="Straight Connector 66">
          <a:extLst>
            <a:ext uri="{FF2B5EF4-FFF2-40B4-BE49-F238E27FC236}">
              <a16:creationId xmlns:a16="http://schemas.microsoft.com/office/drawing/2014/main" id="{B568332A-8914-4393-A547-EED847086A94}"/>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643263</xdr:colOff>
      <xdr:row>1</xdr:row>
      <xdr:rowOff>103586</xdr:rowOff>
    </xdr:from>
    <xdr:to>
      <xdr:col>17</xdr:col>
      <xdr:colOff>643263</xdr:colOff>
      <xdr:row>2</xdr:row>
      <xdr:rowOff>117146</xdr:rowOff>
    </xdr:to>
    <xdr:cxnSp macro="">
      <xdr:nvCxnSpPr>
        <xdr:cNvPr id="68" name="Straight Connector 67">
          <a:extLst>
            <a:ext uri="{FF2B5EF4-FFF2-40B4-BE49-F238E27FC236}">
              <a16:creationId xmlns:a16="http://schemas.microsoft.com/office/drawing/2014/main" id="{5D355C19-F67E-4301-85D4-2E7149DCEAC1}"/>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299972</xdr:colOff>
      <xdr:row>1</xdr:row>
      <xdr:rowOff>103586</xdr:rowOff>
    </xdr:from>
    <xdr:to>
      <xdr:col>20</xdr:col>
      <xdr:colOff>299972</xdr:colOff>
      <xdr:row>2</xdr:row>
      <xdr:rowOff>117146</xdr:rowOff>
    </xdr:to>
    <xdr:cxnSp macro="">
      <xdr:nvCxnSpPr>
        <xdr:cNvPr id="69" name="Straight Connector 68">
          <a:extLst>
            <a:ext uri="{FF2B5EF4-FFF2-40B4-BE49-F238E27FC236}">
              <a16:creationId xmlns:a16="http://schemas.microsoft.com/office/drawing/2014/main" id="{A25C1E46-D717-43B6-A8B1-67C1DE4B19DD}"/>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450869</xdr:colOff>
      <xdr:row>1</xdr:row>
      <xdr:rowOff>103586</xdr:rowOff>
    </xdr:from>
    <xdr:to>
      <xdr:col>21</xdr:col>
      <xdr:colOff>450869</xdr:colOff>
      <xdr:row>2</xdr:row>
      <xdr:rowOff>117146</xdr:rowOff>
    </xdr:to>
    <xdr:cxnSp macro="">
      <xdr:nvCxnSpPr>
        <xdr:cNvPr id="70" name="Straight Connector 69">
          <a:extLst>
            <a:ext uri="{FF2B5EF4-FFF2-40B4-BE49-F238E27FC236}">
              <a16:creationId xmlns:a16="http://schemas.microsoft.com/office/drawing/2014/main" id="{9FC8B357-5AA4-47D3-8DFF-59C516DD8890}"/>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604777</xdr:colOff>
      <xdr:row>1</xdr:row>
      <xdr:rowOff>103586</xdr:rowOff>
    </xdr:from>
    <xdr:to>
      <xdr:col>22</xdr:col>
      <xdr:colOff>604777</xdr:colOff>
      <xdr:row>2</xdr:row>
      <xdr:rowOff>117146</xdr:rowOff>
    </xdr:to>
    <xdr:cxnSp macro="">
      <xdr:nvCxnSpPr>
        <xdr:cNvPr id="71" name="Straight Connector 70">
          <a:extLst>
            <a:ext uri="{FF2B5EF4-FFF2-40B4-BE49-F238E27FC236}">
              <a16:creationId xmlns:a16="http://schemas.microsoft.com/office/drawing/2014/main" id="{599B67DC-74F5-46EC-8CC7-2C11D4DB7D02}"/>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51057</xdr:colOff>
      <xdr:row>1</xdr:row>
      <xdr:rowOff>103586</xdr:rowOff>
    </xdr:from>
    <xdr:to>
      <xdr:col>24</xdr:col>
      <xdr:colOff>51057</xdr:colOff>
      <xdr:row>2</xdr:row>
      <xdr:rowOff>117146</xdr:rowOff>
    </xdr:to>
    <xdr:cxnSp macro="">
      <xdr:nvCxnSpPr>
        <xdr:cNvPr id="72" name="Straight Connector 71">
          <a:extLst>
            <a:ext uri="{FF2B5EF4-FFF2-40B4-BE49-F238E27FC236}">
              <a16:creationId xmlns:a16="http://schemas.microsoft.com/office/drawing/2014/main" id="{34EAB332-56E6-4F99-B973-1FBAB46550C9}"/>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229416</xdr:colOff>
      <xdr:row>1</xdr:row>
      <xdr:rowOff>103586</xdr:rowOff>
    </xdr:from>
    <xdr:to>
      <xdr:col>25</xdr:col>
      <xdr:colOff>229416</xdr:colOff>
      <xdr:row>2</xdr:row>
      <xdr:rowOff>117146</xdr:rowOff>
    </xdr:to>
    <xdr:cxnSp macro="">
      <xdr:nvCxnSpPr>
        <xdr:cNvPr id="73" name="Straight Connector 72">
          <a:extLst>
            <a:ext uri="{FF2B5EF4-FFF2-40B4-BE49-F238E27FC236}">
              <a16:creationId xmlns:a16="http://schemas.microsoft.com/office/drawing/2014/main" id="{8433AE92-9548-4BE5-872D-1CF6D0688884}"/>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129837</xdr:colOff>
      <xdr:row>1</xdr:row>
      <xdr:rowOff>103586</xdr:rowOff>
    </xdr:from>
    <xdr:to>
      <xdr:col>19</xdr:col>
      <xdr:colOff>129837</xdr:colOff>
      <xdr:row>2</xdr:row>
      <xdr:rowOff>117146</xdr:rowOff>
    </xdr:to>
    <xdr:cxnSp macro="">
      <xdr:nvCxnSpPr>
        <xdr:cNvPr id="74" name="Straight Connector 73">
          <a:extLst>
            <a:ext uri="{FF2B5EF4-FFF2-40B4-BE49-F238E27FC236}">
              <a16:creationId xmlns:a16="http://schemas.microsoft.com/office/drawing/2014/main" id="{6CCA1591-D2F2-495C-876C-5045CAD5DBEF}"/>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142875</xdr:colOff>
      <xdr:row>11</xdr:row>
      <xdr:rowOff>0</xdr:rowOff>
    </xdr:from>
    <xdr:to>
      <xdr:col>14</xdr:col>
      <xdr:colOff>28575</xdr:colOff>
      <xdr:row>39</xdr:row>
      <xdr:rowOff>47625</xdr:rowOff>
    </xdr:to>
    <xdr:pic>
      <xdr:nvPicPr>
        <xdr:cNvPr id="2" name="Picture 1">
          <a:extLst>
            <a:ext uri="{FF2B5EF4-FFF2-40B4-BE49-F238E27FC236}">
              <a16:creationId xmlns:a16="http://schemas.microsoft.com/office/drawing/2014/main" id="{86CA1B80-B462-85B3-264A-47B1E41CEF6A}"/>
            </a:ext>
            <a:ext uri="{147F2762-F138-4A5C-976F-8EAC2B608ADB}">
              <a16:predDERef xmlns:a16="http://schemas.microsoft.com/office/drawing/2014/main" pred="{6CCA1591-D2F2-495C-876C-5045CAD5DBEF}"/>
            </a:ext>
          </a:extLst>
        </xdr:cNvPr>
        <xdr:cNvPicPr>
          <a:picLocks noChangeAspect="1"/>
        </xdr:cNvPicPr>
      </xdr:nvPicPr>
      <xdr:blipFill>
        <a:blip xmlns:r="http://schemas.openxmlformats.org/officeDocument/2006/relationships" r:embed="rId19"/>
        <a:stretch>
          <a:fillRect/>
        </a:stretch>
      </xdr:blipFill>
      <xdr:spPr>
        <a:xfrm>
          <a:off x="142875" y="1809750"/>
          <a:ext cx="8963025" cy="53816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63</xdr:col>
      <xdr:colOff>1732</xdr:colOff>
      <xdr:row>4</xdr:row>
      <xdr:rowOff>0</xdr:rowOff>
    </xdr:to>
    <xdr:sp macro="" textlink="">
      <xdr:nvSpPr>
        <xdr:cNvPr id="2" name="Rectangle 1">
          <a:extLst>
            <a:ext uri="{FF2B5EF4-FFF2-40B4-BE49-F238E27FC236}">
              <a16:creationId xmlns:a16="http://schemas.microsoft.com/office/drawing/2014/main" id="{43017C49-9EA0-4EE2-81EB-25B9D10D4D8D}"/>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361347</xdr:colOff>
      <xdr:row>1</xdr:row>
      <xdr:rowOff>19879</xdr:rowOff>
    </xdr:from>
    <xdr:to>
      <xdr:col>16</xdr:col>
      <xdr:colOff>577529</xdr:colOff>
      <xdr:row>3</xdr:row>
      <xdr:rowOff>10354</xdr:rowOff>
    </xdr:to>
    <xdr:sp macro="" textlink="">
      <xdr:nvSpPr>
        <xdr:cNvPr id="4" name="TextBox 3">
          <a:hlinkClick xmlns:r="http://schemas.openxmlformats.org/officeDocument/2006/relationships" r:id="rId1"/>
          <a:extLst>
            <a:ext uri="{FF2B5EF4-FFF2-40B4-BE49-F238E27FC236}">
              <a16:creationId xmlns:a16="http://schemas.microsoft.com/office/drawing/2014/main" id="{7D420E38-046F-4AEF-8E50-F0365EFDD3F1}"/>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5" name="Picture 4">
          <a:extLst>
            <a:ext uri="{FF2B5EF4-FFF2-40B4-BE49-F238E27FC236}">
              <a16:creationId xmlns:a16="http://schemas.microsoft.com/office/drawing/2014/main" id="{69131AEF-2AB8-4195-BDFA-16D6DEF395F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1282834</xdr:colOff>
      <xdr:row>1</xdr:row>
      <xdr:rowOff>28201</xdr:rowOff>
    </xdr:from>
    <xdr:to>
      <xdr:col>1</xdr:col>
      <xdr:colOff>1282834</xdr:colOff>
      <xdr:row>2</xdr:row>
      <xdr:rowOff>138545</xdr:rowOff>
    </xdr:to>
    <xdr:cxnSp macro="">
      <xdr:nvCxnSpPr>
        <xdr:cNvPr id="39" name="Straight Connector 38">
          <a:extLst>
            <a:ext uri="{FF2B5EF4-FFF2-40B4-BE49-F238E27FC236}">
              <a16:creationId xmlns:a16="http://schemas.microsoft.com/office/drawing/2014/main" id="{78218EBC-5A74-4226-9ECC-56BACFD4503B}"/>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3786832</xdr:colOff>
      <xdr:row>1</xdr:row>
      <xdr:rowOff>19879</xdr:rowOff>
    </xdr:from>
    <xdr:to>
      <xdr:col>3</xdr:col>
      <xdr:colOff>618395</xdr:colOff>
      <xdr:row>3</xdr:row>
      <xdr:rowOff>10354</xdr:rowOff>
    </xdr:to>
    <xdr:sp macro="" textlink="">
      <xdr:nvSpPr>
        <xdr:cNvPr id="40" name="TextBox 39">
          <a:hlinkClick xmlns:r="http://schemas.openxmlformats.org/officeDocument/2006/relationships" r:id="rId3"/>
          <a:extLst>
            <a:ext uri="{FF2B5EF4-FFF2-40B4-BE49-F238E27FC236}">
              <a16:creationId xmlns:a16="http://schemas.microsoft.com/office/drawing/2014/main" id="{C129E1FF-62DE-45B1-8AB2-B1C39505603C}"/>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521121</xdr:colOff>
      <xdr:row>1</xdr:row>
      <xdr:rowOff>19879</xdr:rowOff>
    </xdr:from>
    <xdr:to>
      <xdr:col>5</xdr:col>
      <xdr:colOff>9972</xdr:colOff>
      <xdr:row>3</xdr:row>
      <xdr:rowOff>10354</xdr:rowOff>
    </xdr:to>
    <xdr:sp macro="" textlink="">
      <xdr:nvSpPr>
        <xdr:cNvPr id="41" name="TextBox 40">
          <a:hlinkClick xmlns:r="http://schemas.openxmlformats.org/officeDocument/2006/relationships" r:id="rId4"/>
          <a:extLst>
            <a:ext uri="{FF2B5EF4-FFF2-40B4-BE49-F238E27FC236}">
              <a16:creationId xmlns:a16="http://schemas.microsoft.com/office/drawing/2014/main" id="{9AE9281B-70F9-4203-8C6F-72A1E6927BB5}"/>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647484</xdr:colOff>
      <xdr:row>1</xdr:row>
      <xdr:rowOff>19879</xdr:rowOff>
    </xdr:from>
    <xdr:to>
      <xdr:col>6</xdr:col>
      <xdr:colOff>130277</xdr:colOff>
      <xdr:row>3</xdr:row>
      <xdr:rowOff>10354</xdr:rowOff>
    </xdr:to>
    <xdr:sp macro="" textlink="">
      <xdr:nvSpPr>
        <xdr:cNvPr id="42" name="TextBox 41">
          <a:hlinkClick xmlns:r="http://schemas.openxmlformats.org/officeDocument/2006/relationships" r:id="rId5"/>
          <a:extLst>
            <a:ext uri="{FF2B5EF4-FFF2-40B4-BE49-F238E27FC236}">
              <a16:creationId xmlns:a16="http://schemas.microsoft.com/office/drawing/2014/main" id="{08731BB7-EA48-49A2-AB22-4372BAC93FF4}"/>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6</xdr:col>
      <xdr:colOff>33003</xdr:colOff>
      <xdr:row>1</xdr:row>
      <xdr:rowOff>19879</xdr:rowOff>
    </xdr:from>
    <xdr:to>
      <xdr:col>7</xdr:col>
      <xdr:colOff>256612</xdr:colOff>
      <xdr:row>3</xdr:row>
      <xdr:rowOff>10354</xdr:rowOff>
    </xdr:to>
    <xdr:sp macro="" textlink="">
      <xdr:nvSpPr>
        <xdr:cNvPr id="43" name="TextBox 42">
          <a:hlinkClick xmlns:r="http://schemas.openxmlformats.org/officeDocument/2006/relationships" r:id="rId6"/>
          <a:extLst>
            <a:ext uri="{FF2B5EF4-FFF2-40B4-BE49-F238E27FC236}">
              <a16:creationId xmlns:a16="http://schemas.microsoft.com/office/drawing/2014/main" id="{BA22BF2A-0106-4188-B0C7-88D2269405D9}"/>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7</xdr:col>
      <xdr:colOff>159338</xdr:colOff>
      <xdr:row>1</xdr:row>
      <xdr:rowOff>19879</xdr:rowOff>
    </xdr:from>
    <xdr:to>
      <xdr:col>9</xdr:col>
      <xdr:colOff>114885</xdr:colOff>
      <xdr:row>3</xdr:row>
      <xdr:rowOff>10354</xdr:rowOff>
    </xdr:to>
    <xdr:sp macro="" textlink="">
      <xdr:nvSpPr>
        <xdr:cNvPr id="44" name="TextBox 43">
          <a:hlinkClick xmlns:r="http://schemas.openxmlformats.org/officeDocument/2006/relationships" r:id="rId7"/>
          <a:extLst>
            <a:ext uri="{FF2B5EF4-FFF2-40B4-BE49-F238E27FC236}">
              <a16:creationId xmlns:a16="http://schemas.microsoft.com/office/drawing/2014/main" id="{761007E9-9A05-4B11-90F0-7290F9A13CB4}"/>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9</xdr:col>
      <xdr:colOff>17611</xdr:colOff>
      <xdr:row>1</xdr:row>
      <xdr:rowOff>19879</xdr:rowOff>
    </xdr:from>
    <xdr:to>
      <xdr:col>10</xdr:col>
      <xdr:colOff>238231</xdr:colOff>
      <xdr:row>3</xdr:row>
      <xdr:rowOff>10354</xdr:rowOff>
    </xdr:to>
    <xdr:sp macro="" textlink="">
      <xdr:nvSpPr>
        <xdr:cNvPr id="45" name="TextBox 44">
          <a:hlinkClick xmlns:r="http://schemas.openxmlformats.org/officeDocument/2006/relationships" r:id="rId8"/>
          <a:extLst>
            <a:ext uri="{FF2B5EF4-FFF2-40B4-BE49-F238E27FC236}">
              <a16:creationId xmlns:a16="http://schemas.microsoft.com/office/drawing/2014/main" id="{FF1174C0-DD1A-4C7F-ADC1-75DA876F2BA5}"/>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10</xdr:col>
      <xdr:colOff>142638</xdr:colOff>
      <xdr:row>1</xdr:row>
      <xdr:rowOff>19879</xdr:rowOff>
    </xdr:from>
    <xdr:to>
      <xdr:col>11</xdr:col>
      <xdr:colOff>361577</xdr:colOff>
      <xdr:row>3</xdr:row>
      <xdr:rowOff>10354</xdr:rowOff>
    </xdr:to>
    <xdr:sp macro="" textlink="">
      <xdr:nvSpPr>
        <xdr:cNvPr id="46" name="TextBox 45">
          <a:hlinkClick xmlns:r="http://schemas.openxmlformats.org/officeDocument/2006/relationships" r:id="rId9"/>
          <a:extLst>
            <a:ext uri="{FF2B5EF4-FFF2-40B4-BE49-F238E27FC236}">
              <a16:creationId xmlns:a16="http://schemas.microsoft.com/office/drawing/2014/main" id="{927DFDED-D84E-477F-BF27-85683C68C522}"/>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11</xdr:col>
      <xdr:colOff>265984</xdr:colOff>
      <xdr:row>1</xdr:row>
      <xdr:rowOff>19879</xdr:rowOff>
    </xdr:from>
    <xdr:to>
      <xdr:col>12</xdr:col>
      <xdr:colOff>487381</xdr:colOff>
      <xdr:row>3</xdr:row>
      <xdr:rowOff>10354</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D3572F7D-2225-45C3-AFCC-55F670CC229B}"/>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12</xdr:col>
      <xdr:colOff>390107</xdr:colOff>
      <xdr:row>1</xdr:row>
      <xdr:rowOff>19879</xdr:rowOff>
    </xdr:from>
    <xdr:to>
      <xdr:col>13</xdr:col>
      <xdr:colOff>611858</xdr:colOff>
      <xdr:row>3</xdr:row>
      <xdr:rowOff>10354</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CB330906-E121-4D99-982D-FC5020616F3C}"/>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13</xdr:col>
      <xdr:colOff>514584</xdr:colOff>
      <xdr:row>1</xdr:row>
      <xdr:rowOff>19879</xdr:rowOff>
    </xdr:from>
    <xdr:to>
      <xdr:col>15</xdr:col>
      <xdr:colOff>458621</xdr:colOff>
      <xdr:row>3</xdr:row>
      <xdr:rowOff>10354</xdr:rowOff>
    </xdr:to>
    <xdr:sp macro="" textlink="">
      <xdr:nvSpPr>
        <xdr:cNvPr id="49" name="TextBox 48">
          <a:hlinkClick xmlns:r="http://schemas.openxmlformats.org/officeDocument/2006/relationships" r:id="rId12"/>
          <a:extLst>
            <a:ext uri="{FF2B5EF4-FFF2-40B4-BE49-F238E27FC236}">
              <a16:creationId xmlns:a16="http://schemas.microsoft.com/office/drawing/2014/main" id="{C9A5D376-C3D5-47FD-B425-6C353600B78B}"/>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16</xdr:col>
      <xdr:colOff>480255</xdr:colOff>
      <xdr:row>1</xdr:row>
      <xdr:rowOff>19879</xdr:rowOff>
    </xdr:from>
    <xdr:to>
      <xdr:col>17</xdr:col>
      <xdr:colOff>699611</xdr:colOff>
      <xdr:row>3</xdr:row>
      <xdr:rowOff>10354</xdr:rowOff>
    </xdr:to>
    <xdr:sp macro="" textlink="">
      <xdr:nvSpPr>
        <xdr:cNvPr id="50" name="TextBox 49">
          <a:hlinkClick xmlns:r="http://schemas.openxmlformats.org/officeDocument/2006/relationships" r:id="rId13"/>
          <a:extLst>
            <a:ext uri="{FF2B5EF4-FFF2-40B4-BE49-F238E27FC236}">
              <a16:creationId xmlns:a16="http://schemas.microsoft.com/office/drawing/2014/main" id="{C8ABB620-6C0F-4EFF-A586-6B8FBA367640}"/>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IS</a:t>
          </a:r>
        </a:p>
      </xdr:txBody>
    </xdr:sp>
    <xdr:clientData/>
  </xdr:twoCellAnchor>
  <xdr:twoCellAnchor>
    <xdr:from>
      <xdr:col>17</xdr:col>
      <xdr:colOff>602337</xdr:colOff>
      <xdr:row>1</xdr:row>
      <xdr:rowOff>19879</xdr:rowOff>
    </xdr:from>
    <xdr:to>
      <xdr:col>19</xdr:col>
      <xdr:colOff>89918</xdr:colOff>
      <xdr:row>3</xdr:row>
      <xdr:rowOff>10354</xdr:rowOff>
    </xdr:to>
    <xdr:sp macro="" textlink="">
      <xdr:nvSpPr>
        <xdr:cNvPr id="51" name="TextBox 50">
          <a:hlinkClick xmlns:r="http://schemas.openxmlformats.org/officeDocument/2006/relationships" r:id="rId14"/>
          <a:extLst>
            <a:ext uri="{FF2B5EF4-FFF2-40B4-BE49-F238E27FC236}">
              <a16:creationId xmlns:a16="http://schemas.microsoft.com/office/drawing/2014/main" id="{24EFB7B9-EB57-4B4B-909D-B34156B6FF7A}"/>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18</xdr:col>
      <xdr:colOff>727430</xdr:colOff>
      <xdr:row>1</xdr:row>
      <xdr:rowOff>19879</xdr:rowOff>
    </xdr:from>
    <xdr:to>
      <xdr:col>20</xdr:col>
      <xdr:colOff>63675</xdr:colOff>
      <xdr:row>3</xdr:row>
      <xdr:rowOff>10354</xdr:rowOff>
    </xdr:to>
    <xdr:sp macro="" textlink="">
      <xdr:nvSpPr>
        <xdr:cNvPr id="52" name="TextBox 51">
          <a:hlinkClick xmlns:r="http://schemas.openxmlformats.org/officeDocument/2006/relationships" r:id="rId15"/>
          <a:extLst>
            <a:ext uri="{FF2B5EF4-FFF2-40B4-BE49-F238E27FC236}">
              <a16:creationId xmlns:a16="http://schemas.microsoft.com/office/drawing/2014/main" id="{B25CF6BF-1B77-4615-83BE-D64C942249C5}"/>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19</xdr:col>
      <xdr:colOff>850865</xdr:colOff>
      <xdr:row>1</xdr:row>
      <xdr:rowOff>19879</xdr:rowOff>
    </xdr:from>
    <xdr:to>
      <xdr:col>22</xdr:col>
      <xdr:colOff>68343</xdr:colOff>
      <xdr:row>3</xdr:row>
      <xdr:rowOff>10354</xdr:rowOff>
    </xdr:to>
    <xdr:sp macro="" textlink="">
      <xdr:nvSpPr>
        <xdr:cNvPr id="53" name="TextBox 52">
          <a:hlinkClick xmlns:r="http://schemas.openxmlformats.org/officeDocument/2006/relationships" r:id="rId16"/>
          <a:extLst>
            <a:ext uri="{FF2B5EF4-FFF2-40B4-BE49-F238E27FC236}">
              <a16:creationId xmlns:a16="http://schemas.microsoft.com/office/drawing/2014/main" id="{A360A8FE-A2F0-49A3-9AC0-802EA17937AE}"/>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21</xdr:col>
      <xdr:colOff>705866</xdr:colOff>
      <xdr:row>1</xdr:row>
      <xdr:rowOff>19879</xdr:rowOff>
    </xdr:from>
    <xdr:to>
      <xdr:col>23</xdr:col>
      <xdr:colOff>193059</xdr:colOff>
      <xdr:row>3</xdr:row>
      <xdr:rowOff>10354</xdr:rowOff>
    </xdr:to>
    <xdr:sp macro="" textlink="">
      <xdr:nvSpPr>
        <xdr:cNvPr id="54" name="TextBox 53">
          <a:hlinkClick xmlns:r="http://schemas.openxmlformats.org/officeDocument/2006/relationships" r:id="rId17"/>
          <a:extLst>
            <a:ext uri="{FF2B5EF4-FFF2-40B4-BE49-F238E27FC236}">
              <a16:creationId xmlns:a16="http://schemas.microsoft.com/office/drawing/2014/main" id="{B2AA7A40-AE0C-49DA-BBFB-286549F1AC2D}"/>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6</xdr:col>
      <xdr:colOff>81640</xdr:colOff>
      <xdr:row>1</xdr:row>
      <xdr:rowOff>103586</xdr:rowOff>
    </xdr:from>
    <xdr:to>
      <xdr:col>6</xdr:col>
      <xdr:colOff>81640</xdr:colOff>
      <xdr:row>2</xdr:row>
      <xdr:rowOff>117146</xdr:rowOff>
    </xdr:to>
    <xdr:cxnSp macro="">
      <xdr:nvCxnSpPr>
        <xdr:cNvPr id="55" name="Straight Connector 54">
          <a:extLst>
            <a:ext uri="{FF2B5EF4-FFF2-40B4-BE49-F238E27FC236}">
              <a16:creationId xmlns:a16="http://schemas.microsoft.com/office/drawing/2014/main" id="{24A051E6-1392-4828-9BA1-B13F5C3E5986}"/>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696121</xdr:colOff>
      <xdr:row>1</xdr:row>
      <xdr:rowOff>103586</xdr:rowOff>
    </xdr:from>
    <xdr:to>
      <xdr:col>4</xdr:col>
      <xdr:colOff>696121</xdr:colOff>
      <xdr:row>2</xdr:row>
      <xdr:rowOff>117146</xdr:rowOff>
    </xdr:to>
    <xdr:cxnSp macro="">
      <xdr:nvCxnSpPr>
        <xdr:cNvPr id="56" name="Straight Connector 55">
          <a:extLst>
            <a:ext uri="{FF2B5EF4-FFF2-40B4-BE49-F238E27FC236}">
              <a16:creationId xmlns:a16="http://schemas.microsoft.com/office/drawing/2014/main" id="{217FCE4C-3B17-46AE-8072-A3DCE8DB002D}"/>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569758</xdr:colOff>
      <xdr:row>1</xdr:row>
      <xdr:rowOff>103586</xdr:rowOff>
    </xdr:from>
    <xdr:to>
      <xdr:col>3</xdr:col>
      <xdr:colOff>569758</xdr:colOff>
      <xdr:row>2</xdr:row>
      <xdr:rowOff>117146</xdr:rowOff>
    </xdr:to>
    <xdr:cxnSp macro="">
      <xdr:nvCxnSpPr>
        <xdr:cNvPr id="57" name="Straight Connector 56">
          <a:extLst>
            <a:ext uri="{FF2B5EF4-FFF2-40B4-BE49-F238E27FC236}">
              <a16:creationId xmlns:a16="http://schemas.microsoft.com/office/drawing/2014/main" id="{ED665E52-3C41-4278-80FE-4B8353ACB366}"/>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207975</xdr:colOff>
      <xdr:row>1</xdr:row>
      <xdr:rowOff>103586</xdr:rowOff>
    </xdr:from>
    <xdr:to>
      <xdr:col>7</xdr:col>
      <xdr:colOff>207975</xdr:colOff>
      <xdr:row>2</xdr:row>
      <xdr:rowOff>117146</xdr:rowOff>
    </xdr:to>
    <xdr:cxnSp macro="">
      <xdr:nvCxnSpPr>
        <xdr:cNvPr id="58" name="Straight Connector 57">
          <a:extLst>
            <a:ext uri="{FF2B5EF4-FFF2-40B4-BE49-F238E27FC236}">
              <a16:creationId xmlns:a16="http://schemas.microsoft.com/office/drawing/2014/main" id="{1A3A78B6-51C2-4CE8-8E38-10891F0B031D}"/>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66248</xdr:colOff>
      <xdr:row>1</xdr:row>
      <xdr:rowOff>103586</xdr:rowOff>
    </xdr:from>
    <xdr:to>
      <xdr:col>9</xdr:col>
      <xdr:colOff>66248</xdr:colOff>
      <xdr:row>2</xdr:row>
      <xdr:rowOff>117146</xdr:rowOff>
    </xdr:to>
    <xdr:cxnSp macro="">
      <xdr:nvCxnSpPr>
        <xdr:cNvPr id="59" name="Straight Connector 58">
          <a:extLst>
            <a:ext uri="{FF2B5EF4-FFF2-40B4-BE49-F238E27FC236}">
              <a16:creationId xmlns:a16="http://schemas.microsoft.com/office/drawing/2014/main" id="{40CA7663-7096-40B3-9DC0-0E76ECF850FA}"/>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189594</xdr:colOff>
      <xdr:row>1</xdr:row>
      <xdr:rowOff>103586</xdr:rowOff>
    </xdr:from>
    <xdr:to>
      <xdr:col>10</xdr:col>
      <xdr:colOff>189594</xdr:colOff>
      <xdr:row>2</xdr:row>
      <xdr:rowOff>117146</xdr:rowOff>
    </xdr:to>
    <xdr:cxnSp macro="">
      <xdr:nvCxnSpPr>
        <xdr:cNvPr id="60" name="Straight Connector 59">
          <a:extLst>
            <a:ext uri="{FF2B5EF4-FFF2-40B4-BE49-F238E27FC236}">
              <a16:creationId xmlns:a16="http://schemas.microsoft.com/office/drawing/2014/main" id="{599EA639-8AFE-4F25-804C-31CE707CBF72}"/>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314621</xdr:colOff>
      <xdr:row>1</xdr:row>
      <xdr:rowOff>103586</xdr:rowOff>
    </xdr:from>
    <xdr:to>
      <xdr:col>11</xdr:col>
      <xdr:colOff>314621</xdr:colOff>
      <xdr:row>2</xdr:row>
      <xdr:rowOff>117146</xdr:rowOff>
    </xdr:to>
    <xdr:cxnSp macro="">
      <xdr:nvCxnSpPr>
        <xdr:cNvPr id="61" name="Straight Connector 60">
          <a:extLst>
            <a:ext uri="{FF2B5EF4-FFF2-40B4-BE49-F238E27FC236}">
              <a16:creationId xmlns:a16="http://schemas.microsoft.com/office/drawing/2014/main" id="{5F28E991-396E-4CB9-96CD-E84A2CA2F371}"/>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438744</xdr:colOff>
      <xdr:row>1</xdr:row>
      <xdr:rowOff>103586</xdr:rowOff>
    </xdr:from>
    <xdr:to>
      <xdr:col>12</xdr:col>
      <xdr:colOff>438744</xdr:colOff>
      <xdr:row>2</xdr:row>
      <xdr:rowOff>117146</xdr:rowOff>
    </xdr:to>
    <xdr:cxnSp macro="">
      <xdr:nvCxnSpPr>
        <xdr:cNvPr id="62" name="Straight Connector 61">
          <a:extLst>
            <a:ext uri="{FF2B5EF4-FFF2-40B4-BE49-F238E27FC236}">
              <a16:creationId xmlns:a16="http://schemas.microsoft.com/office/drawing/2014/main" id="{5F7DFCC2-113E-4F25-9A19-320E6EDCBC1A}"/>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563221</xdr:colOff>
      <xdr:row>1</xdr:row>
      <xdr:rowOff>103586</xdr:rowOff>
    </xdr:from>
    <xdr:to>
      <xdr:col>13</xdr:col>
      <xdr:colOff>563221</xdr:colOff>
      <xdr:row>2</xdr:row>
      <xdr:rowOff>117146</xdr:rowOff>
    </xdr:to>
    <xdr:cxnSp macro="">
      <xdr:nvCxnSpPr>
        <xdr:cNvPr id="63" name="Straight Connector 62">
          <a:extLst>
            <a:ext uri="{FF2B5EF4-FFF2-40B4-BE49-F238E27FC236}">
              <a16:creationId xmlns:a16="http://schemas.microsoft.com/office/drawing/2014/main" id="{45EE0C0F-1EFA-42F9-8B2A-134651E76B8C}"/>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528892</xdr:colOff>
      <xdr:row>1</xdr:row>
      <xdr:rowOff>103586</xdr:rowOff>
    </xdr:from>
    <xdr:to>
      <xdr:col>16</xdr:col>
      <xdr:colOff>528892</xdr:colOff>
      <xdr:row>2</xdr:row>
      <xdr:rowOff>117146</xdr:rowOff>
    </xdr:to>
    <xdr:cxnSp macro="">
      <xdr:nvCxnSpPr>
        <xdr:cNvPr id="64" name="Straight Connector 63">
          <a:extLst>
            <a:ext uri="{FF2B5EF4-FFF2-40B4-BE49-F238E27FC236}">
              <a16:creationId xmlns:a16="http://schemas.microsoft.com/office/drawing/2014/main" id="{07F0F97D-A38E-4AD2-98D0-0EDA19DFDB77}"/>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650974</xdr:colOff>
      <xdr:row>1</xdr:row>
      <xdr:rowOff>103586</xdr:rowOff>
    </xdr:from>
    <xdr:to>
      <xdr:col>17</xdr:col>
      <xdr:colOff>650974</xdr:colOff>
      <xdr:row>2</xdr:row>
      <xdr:rowOff>117146</xdr:rowOff>
    </xdr:to>
    <xdr:cxnSp macro="">
      <xdr:nvCxnSpPr>
        <xdr:cNvPr id="65" name="Straight Connector 64">
          <a:extLst>
            <a:ext uri="{FF2B5EF4-FFF2-40B4-BE49-F238E27FC236}">
              <a16:creationId xmlns:a16="http://schemas.microsoft.com/office/drawing/2014/main" id="{5E56EF89-BA47-4A5A-8793-D4DF99559ECF}"/>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41281</xdr:colOff>
      <xdr:row>1</xdr:row>
      <xdr:rowOff>103586</xdr:rowOff>
    </xdr:from>
    <xdr:to>
      <xdr:col>19</xdr:col>
      <xdr:colOff>41281</xdr:colOff>
      <xdr:row>2</xdr:row>
      <xdr:rowOff>117146</xdr:rowOff>
    </xdr:to>
    <xdr:cxnSp macro="">
      <xdr:nvCxnSpPr>
        <xdr:cNvPr id="66" name="Straight Connector 65">
          <a:extLst>
            <a:ext uri="{FF2B5EF4-FFF2-40B4-BE49-F238E27FC236}">
              <a16:creationId xmlns:a16="http://schemas.microsoft.com/office/drawing/2014/main" id="{A49D973B-E1D6-4171-98DE-3CE5129259A2}"/>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15038</xdr:colOff>
      <xdr:row>1</xdr:row>
      <xdr:rowOff>103586</xdr:rowOff>
    </xdr:from>
    <xdr:to>
      <xdr:col>20</xdr:col>
      <xdr:colOff>15038</xdr:colOff>
      <xdr:row>2</xdr:row>
      <xdr:rowOff>117146</xdr:rowOff>
    </xdr:to>
    <xdr:cxnSp macro="">
      <xdr:nvCxnSpPr>
        <xdr:cNvPr id="67" name="Straight Connector 66">
          <a:extLst>
            <a:ext uri="{FF2B5EF4-FFF2-40B4-BE49-F238E27FC236}">
              <a16:creationId xmlns:a16="http://schemas.microsoft.com/office/drawing/2014/main" id="{58279B69-0D3D-4DE5-93A8-6D7E615DFDD4}"/>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19706</xdr:colOff>
      <xdr:row>1</xdr:row>
      <xdr:rowOff>103586</xdr:rowOff>
    </xdr:from>
    <xdr:to>
      <xdr:col>22</xdr:col>
      <xdr:colOff>19706</xdr:colOff>
      <xdr:row>2</xdr:row>
      <xdr:rowOff>117146</xdr:rowOff>
    </xdr:to>
    <xdr:cxnSp macro="">
      <xdr:nvCxnSpPr>
        <xdr:cNvPr id="68" name="Straight Connector 67">
          <a:extLst>
            <a:ext uri="{FF2B5EF4-FFF2-40B4-BE49-F238E27FC236}">
              <a16:creationId xmlns:a16="http://schemas.microsoft.com/office/drawing/2014/main" id="{C2D41711-31D1-4EB5-965D-DC83F3B9BCC2}"/>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409984</xdr:colOff>
      <xdr:row>1</xdr:row>
      <xdr:rowOff>103586</xdr:rowOff>
    </xdr:from>
    <xdr:to>
      <xdr:col>15</xdr:col>
      <xdr:colOff>409984</xdr:colOff>
      <xdr:row>2</xdr:row>
      <xdr:rowOff>117146</xdr:rowOff>
    </xdr:to>
    <xdr:cxnSp macro="">
      <xdr:nvCxnSpPr>
        <xdr:cNvPr id="69" name="Straight Connector 68">
          <a:extLst>
            <a:ext uri="{FF2B5EF4-FFF2-40B4-BE49-F238E27FC236}">
              <a16:creationId xmlns:a16="http://schemas.microsoft.com/office/drawing/2014/main" id="{265A516A-A86D-4AB2-B867-532883B80F2D}"/>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62</xdr:col>
      <xdr:colOff>124197</xdr:colOff>
      <xdr:row>4</xdr:row>
      <xdr:rowOff>0</xdr:rowOff>
    </xdr:to>
    <xdr:sp macro="" textlink="">
      <xdr:nvSpPr>
        <xdr:cNvPr id="4" name="Rectangle 3">
          <a:extLst>
            <a:ext uri="{FF2B5EF4-FFF2-40B4-BE49-F238E27FC236}">
              <a16:creationId xmlns:a16="http://schemas.microsoft.com/office/drawing/2014/main" id="{617FAE12-5B59-435D-B24B-0FCBF9748204}"/>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361347</xdr:colOff>
      <xdr:row>1</xdr:row>
      <xdr:rowOff>19879</xdr:rowOff>
    </xdr:from>
    <xdr:to>
      <xdr:col>16</xdr:col>
      <xdr:colOff>577529</xdr:colOff>
      <xdr:row>3</xdr:row>
      <xdr:rowOff>10354</xdr:rowOff>
    </xdr:to>
    <xdr:sp macro="" textlink="">
      <xdr:nvSpPr>
        <xdr:cNvPr id="5" name="TextBox 4">
          <a:hlinkClick xmlns:r="http://schemas.openxmlformats.org/officeDocument/2006/relationships" r:id="rId1"/>
          <a:extLst>
            <a:ext uri="{FF2B5EF4-FFF2-40B4-BE49-F238E27FC236}">
              <a16:creationId xmlns:a16="http://schemas.microsoft.com/office/drawing/2014/main" id="{AC51300F-E5C3-4DA0-8124-E456063E06C5}"/>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6" name="Picture 5">
          <a:extLst>
            <a:ext uri="{FF2B5EF4-FFF2-40B4-BE49-F238E27FC236}">
              <a16:creationId xmlns:a16="http://schemas.microsoft.com/office/drawing/2014/main" id="{211799E0-91EF-44D6-8652-E3D5FC6D0EC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1282834</xdr:colOff>
      <xdr:row>1</xdr:row>
      <xdr:rowOff>28201</xdr:rowOff>
    </xdr:from>
    <xdr:to>
      <xdr:col>1</xdr:col>
      <xdr:colOff>1282834</xdr:colOff>
      <xdr:row>2</xdr:row>
      <xdr:rowOff>138545</xdr:rowOff>
    </xdr:to>
    <xdr:cxnSp macro="">
      <xdr:nvCxnSpPr>
        <xdr:cNvPr id="39" name="Straight Connector 38">
          <a:extLst>
            <a:ext uri="{FF2B5EF4-FFF2-40B4-BE49-F238E27FC236}">
              <a16:creationId xmlns:a16="http://schemas.microsoft.com/office/drawing/2014/main" id="{B9F33AD2-D475-457E-A876-AD16D5FA510B}"/>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3786832</xdr:colOff>
      <xdr:row>1</xdr:row>
      <xdr:rowOff>19879</xdr:rowOff>
    </xdr:from>
    <xdr:to>
      <xdr:col>3</xdr:col>
      <xdr:colOff>618395</xdr:colOff>
      <xdr:row>3</xdr:row>
      <xdr:rowOff>10354</xdr:rowOff>
    </xdr:to>
    <xdr:sp macro="" textlink="">
      <xdr:nvSpPr>
        <xdr:cNvPr id="40" name="TextBox 39">
          <a:hlinkClick xmlns:r="http://schemas.openxmlformats.org/officeDocument/2006/relationships" r:id="rId3"/>
          <a:extLst>
            <a:ext uri="{FF2B5EF4-FFF2-40B4-BE49-F238E27FC236}">
              <a16:creationId xmlns:a16="http://schemas.microsoft.com/office/drawing/2014/main" id="{0901A182-93A0-43E7-B11F-9242774613D0}"/>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521121</xdr:colOff>
      <xdr:row>1</xdr:row>
      <xdr:rowOff>19879</xdr:rowOff>
    </xdr:from>
    <xdr:to>
      <xdr:col>5</xdr:col>
      <xdr:colOff>9972</xdr:colOff>
      <xdr:row>3</xdr:row>
      <xdr:rowOff>10354</xdr:rowOff>
    </xdr:to>
    <xdr:sp macro="" textlink="">
      <xdr:nvSpPr>
        <xdr:cNvPr id="41" name="TextBox 40">
          <a:hlinkClick xmlns:r="http://schemas.openxmlformats.org/officeDocument/2006/relationships" r:id="rId4"/>
          <a:extLst>
            <a:ext uri="{FF2B5EF4-FFF2-40B4-BE49-F238E27FC236}">
              <a16:creationId xmlns:a16="http://schemas.microsoft.com/office/drawing/2014/main" id="{E157F68F-619A-43B6-935E-9FA5DA220B55}"/>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647484</xdr:colOff>
      <xdr:row>1</xdr:row>
      <xdr:rowOff>19879</xdr:rowOff>
    </xdr:from>
    <xdr:to>
      <xdr:col>6</xdr:col>
      <xdr:colOff>130277</xdr:colOff>
      <xdr:row>3</xdr:row>
      <xdr:rowOff>10354</xdr:rowOff>
    </xdr:to>
    <xdr:sp macro="" textlink="">
      <xdr:nvSpPr>
        <xdr:cNvPr id="42" name="TextBox 41">
          <a:hlinkClick xmlns:r="http://schemas.openxmlformats.org/officeDocument/2006/relationships" r:id="rId5"/>
          <a:extLst>
            <a:ext uri="{FF2B5EF4-FFF2-40B4-BE49-F238E27FC236}">
              <a16:creationId xmlns:a16="http://schemas.microsoft.com/office/drawing/2014/main" id="{4485F24B-BA52-46D3-A985-6D55B37CE809}"/>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6</xdr:col>
      <xdr:colOff>33003</xdr:colOff>
      <xdr:row>1</xdr:row>
      <xdr:rowOff>19879</xdr:rowOff>
    </xdr:from>
    <xdr:to>
      <xdr:col>7</xdr:col>
      <xdr:colOff>256612</xdr:colOff>
      <xdr:row>3</xdr:row>
      <xdr:rowOff>10354</xdr:rowOff>
    </xdr:to>
    <xdr:sp macro="" textlink="">
      <xdr:nvSpPr>
        <xdr:cNvPr id="43" name="TextBox 42">
          <a:hlinkClick xmlns:r="http://schemas.openxmlformats.org/officeDocument/2006/relationships" r:id="rId6"/>
          <a:extLst>
            <a:ext uri="{FF2B5EF4-FFF2-40B4-BE49-F238E27FC236}">
              <a16:creationId xmlns:a16="http://schemas.microsoft.com/office/drawing/2014/main" id="{E682221F-4755-4ECE-9218-DCFAF07747BA}"/>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7</xdr:col>
      <xdr:colOff>159338</xdr:colOff>
      <xdr:row>1</xdr:row>
      <xdr:rowOff>19879</xdr:rowOff>
    </xdr:from>
    <xdr:to>
      <xdr:col>9</xdr:col>
      <xdr:colOff>114885</xdr:colOff>
      <xdr:row>3</xdr:row>
      <xdr:rowOff>10354</xdr:rowOff>
    </xdr:to>
    <xdr:sp macro="" textlink="">
      <xdr:nvSpPr>
        <xdr:cNvPr id="44" name="TextBox 43">
          <a:hlinkClick xmlns:r="http://schemas.openxmlformats.org/officeDocument/2006/relationships" r:id="rId7"/>
          <a:extLst>
            <a:ext uri="{FF2B5EF4-FFF2-40B4-BE49-F238E27FC236}">
              <a16:creationId xmlns:a16="http://schemas.microsoft.com/office/drawing/2014/main" id="{7E701A3A-E82E-4FBD-9207-6E16365DEA52}"/>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9</xdr:col>
      <xdr:colOff>17611</xdr:colOff>
      <xdr:row>1</xdr:row>
      <xdr:rowOff>19879</xdr:rowOff>
    </xdr:from>
    <xdr:to>
      <xdr:col>10</xdr:col>
      <xdr:colOff>238231</xdr:colOff>
      <xdr:row>3</xdr:row>
      <xdr:rowOff>10354</xdr:rowOff>
    </xdr:to>
    <xdr:sp macro="" textlink="">
      <xdr:nvSpPr>
        <xdr:cNvPr id="45" name="TextBox 44">
          <a:hlinkClick xmlns:r="http://schemas.openxmlformats.org/officeDocument/2006/relationships" r:id="rId8"/>
          <a:extLst>
            <a:ext uri="{FF2B5EF4-FFF2-40B4-BE49-F238E27FC236}">
              <a16:creationId xmlns:a16="http://schemas.microsoft.com/office/drawing/2014/main" id="{06338BF7-6B8B-47CF-B4D7-6B213D7D194B}"/>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10</xdr:col>
      <xdr:colOff>142638</xdr:colOff>
      <xdr:row>1</xdr:row>
      <xdr:rowOff>19879</xdr:rowOff>
    </xdr:from>
    <xdr:to>
      <xdr:col>11</xdr:col>
      <xdr:colOff>361577</xdr:colOff>
      <xdr:row>3</xdr:row>
      <xdr:rowOff>10354</xdr:rowOff>
    </xdr:to>
    <xdr:sp macro="" textlink="">
      <xdr:nvSpPr>
        <xdr:cNvPr id="46" name="TextBox 45">
          <a:hlinkClick xmlns:r="http://schemas.openxmlformats.org/officeDocument/2006/relationships" r:id="rId9"/>
          <a:extLst>
            <a:ext uri="{FF2B5EF4-FFF2-40B4-BE49-F238E27FC236}">
              <a16:creationId xmlns:a16="http://schemas.microsoft.com/office/drawing/2014/main" id="{130FFE4A-EECE-44A1-8B9B-16DE1CFE852B}"/>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11</xdr:col>
      <xdr:colOff>265984</xdr:colOff>
      <xdr:row>1</xdr:row>
      <xdr:rowOff>19879</xdr:rowOff>
    </xdr:from>
    <xdr:to>
      <xdr:col>12</xdr:col>
      <xdr:colOff>487381</xdr:colOff>
      <xdr:row>3</xdr:row>
      <xdr:rowOff>10354</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FB937D78-F683-4486-A17C-BCE41D4951B3}"/>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12</xdr:col>
      <xdr:colOff>390107</xdr:colOff>
      <xdr:row>1</xdr:row>
      <xdr:rowOff>19879</xdr:rowOff>
    </xdr:from>
    <xdr:to>
      <xdr:col>13</xdr:col>
      <xdr:colOff>611858</xdr:colOff>
      <xdr:row>3</xdr:row>
      <xdr:rowOff>10354</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E23C3758-3925-4B52-9016-A86DA7019C91}"/>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13</xdr:col>
      <xdr:colOff>514584</xdr:colOff>
      <xdr:row>1</xdr:row>
      <xdr:rowOff>19879</xdr:rowOff>
    </xdr:from>
    <xdr:to>
      <xdr:col>15</xdr:col>
      <xdr:colOff>458621</xdr:colOff>
      <xdr:row>3</xdr:row>
      <xdr:rowOff>10354</xdr:rowOff>
    </xdr:to>
    <xdr:sp macro="" textlink="">
      <xdr:nvSpPr>
        <xdr:cNvPr id="49" name="TextBox 48">
          <a:hlinkClick xmlns:r="http://schemas.openxmlformats.org/officeDocument/2006/relationships" r:id="rId12"/>
          <a:extLst>
            <a:ext uri="{FF2B5EF4-FFF2-40B4-BE49-F238E27FC236}">
              <a16:creationId xmlns:a16="http://schemas.microsoft.com/office/drawing/2014/main" id="{31B22D2D-90A3-47C7-AA4C-04998904BC19}"/>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16</xdr:col>
      <xdr:colOff>480255</xdr:colOff>
      <xdr:row>1</xdr:row>
      <xdr:rowOff>19879</xdr:rowOff>
    </xdr:from>
    <xdr:to>
      <xdr:col>17</xdr:col>
      <xdr:colOff>699611</xdr:colOff>
      <xdr:row>3</xdr:row>
      <xdr:rowOff>10354</xdr:rowOff>
    </xdr:to>
    <xdr:sp macro="" textlink="">
      <xdr:nvSpPr>
        <xdr:cNvPr id="50" name="TextBox 49">
          <a:hlinkClick xmlns:r="http://schemas.openxmlformats.org/officeDocument/2006/relationships" r:id="rId13"/>
          <a:extLst>
            <a:ext uri="{FF2B5EF4-FFF2-40B4-BE49-F238E27FC236}">
              <a16:creationId xmlns:a16="http://schemas.microsoft.com/office/drawing/2014/main" id="{EBD948F3-B150-49E0-9FE4-A1BEE18B32DE}"/>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17</xdr:col>
      <xdr:colOff>602337</xdr:colOff>
      <xdr:row>1</xdr:row>
      <xdr:rowOff>19879</xdr:rowOff>
    </xdr:from>
    <xdr:to>
      <xdr:col>19</xdr:col>
      <xdr:colOff>89918</xdr:colOff>
      <xdr:row>3</xdr:row>
      <xdr:rowOff>10354</xdr:rowOff>
    </xdr:to>
    <xdr:sp macro="" textlink="">
      <xdr:nvSpPr>
        <xdr:cNvPr id="51" name="TextBox 50">
          <a:hlinkClick xmlns:r="http://schemas.openxmlformats.org/officeDocument/2006/relationships" r:id="rId14"/>
          <a:extLst>
            <a:ext uri="{FF2B5EF4-FFF2-40B4-BE49-F238E27FC236}">
              <a16:creationId xmlns:a16="http://schemas.microsoft.com/office/drawing/2014/main" id="{7E679969-D9FC-4E42-BA71-91F1E080BB4E}"/>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BS</a:t>
          </a:r>
        </a:p>
      </xdr:txBody>
    </xdr:sp>
    <xdr:clientData/>
  </xdr:twoCellAnchor>
  <xdr:twoCellAnchor>
    <xdr:from>
      <xdr:col>18</xdr:col>
      <xdr:colOff>727430</xdr:colOff>
      <xdr:row>1</xdr:row>
      <xdr:rowOff>19879</xdr:rowOff>
    </xdr:from>
    <xdr:to>
      <xdr:col>20</xdr:col>
      <xdr:colOff>63675</xdr:colOff>
      <xdr:row>3</xdr:row>
      <xdr:rowOff>10354</xdr:rowOff>
    </xdr:to>
    <xdr:sp macro="" textlink="">
      <xdr:nvSpPr>
        <xdr:cNvPr id="52" name="TextBox 51">
          <a:hlinkClick xmlns:r="http://schemas.openxmlformats.org/officeDocument/2006/relationships" r:id="rId15"/>
          <a:extLst>
            <a:ext uri="{FF2B5EF4-FFF2-40B4-BE49-F238E27FC236}">
              <a16:creationId xmlns:a16="http://schemas.microsoft.com/office/drawing/2014/main" id="{DC5657EA-9DB2-4806-92EB-CBC9535B4FF8}"/>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19</xdr:col>
      <xdr:colOff>850865</xdr:colOff>
      <xdr:row>1</xdr:row>
      <xdr:rowOff>19879</xdr:rowOff>
    </xdr:from>
    <xdr:to>
      <xdr:col>22</xdr:col>
      <xdr:colOff>68343</xdr:colOff>
      <xdr:row>3</xdr:row>
      <xdr:rowOff>10354</xdr:rowOff>
    </xdr:to>
    <xdr:sp macro="" textlink="">
      <xdr:nvSpPr>
        <xdr:cNvPr id="53" name="TextBox 52">
          <a:hlinkClick xmlns:r="http://schemas.openxmlformats.org/officeDocument/2006/relationships" r:id="rId16"/>
          <a:extLst>
            <a:ext uri="{FF2B5EF4-FFF2-40B4-BE49-F238E27FC236}">
              <a16:creationId xmlns:a16="http://schemas.microsoft.com/office/drawing/2014/main" id="{FFBB7292-B296-4EC5-87AA-E0E887AC9FA6}"/>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21</xdr:col>
      <xdr:colOff>705866</xdr:colOff>
      <xdr:row>1</xdr:row>
      <xdr:rowOff>19879</xdr:rowOff>
    </xdr:from>
    <xdr:to>
      <xdr:col>23</xdr:col>
      <xdr:colOff>193059</xdr:colOff>
      <xdr:row>3</xdr:row>
      <xdr:rowOff>10354</xdr:rowOff>
    </xdr:to>
    <xdr:sp macro="" textlink="">
      <xdr:nvSpPr>
        <xdr:cNvPr id="54" name="TextBox 53">
          <a:hlinkClick xmlns:r="http://schemas.openxmlformats.org/officeDocument/2006/relationships" r:id="rId17"/>
          <a:extLst>
            <a:ext uri="{FF2B5EF4-FFF2-40B4-BE49-F238E27FC236}">
              <a16:creationId xmlns:a16="http://schemas.microsoft.com/office/drawing/2014/main" id="{EF2F54B5-EA83-4AB6-9281-8DC7D985AD44}"/>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6</xdr:col>
      <xdr:colOff>81640</xdr:colOff>
      <xdr:row>1</xdr:row>
      <xdr:rowOff>103586</xdr:rowOff>
    </xdr:from>
    <xdr:to>
      <xdr:col>6</xdr:col>
      <xdr:colOff>81640</xdr:colOff>
      <xdr:row>2</xdr:row>
      <xdr:rowOff>117146</xdr:rowOff>
    </xdr:to>
    <xdr:cxnSp macro="">
      <xdr:nvCxnSpPr>
        <xdr:cNvPr id="55" name="Straight Connector 54">
          <a:extLst>
            <a:ext uri="{FF2B5EF4-FFF2-40B4-BE49-F238E27FC236}">
              <a16:creationId xmlns:a16="http://schemas.microsoft.com/office/drawing/2014/main" id="{DF9E42C4-49A2-40E4-9467-45F4323210C0}"/>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696121</xdr:colOff>
      <xdr:row>1</xdr:row>
      <xdr:rowOff>103586</xdr:rowOff>
    </xdr:from>
    <xdr:to>
      <xdr:col>4</xdr:col>
      <xdr:colOff>696121</xdr:colOff>
      <xdr:row>2</xdr:row>
      <xdr:rowOff>117146</xdr:rowOff>
    </xdr:to>
    <xdr:cxnSp macro="">
      <xdr:nvCxnSpPr>
        <xdr:cNvPr id="56" name="Straight Connector 55">
          <a:extLst>
            <a:ext uri="{FF2B5EF4-FFF2-40B4-BE49-F238E27FC236}">
              <a16:creationId xmlns:a16="http://schemas.microsoft.com/office/drawing/2014/main" id="{29161BDF-FF88-4458-A34E-C81C183520C9}"/>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569758</xdr:colOff>
      <xdr:row>1</xdr:row>
      <xdr:rowOff>103586</xdr:rowOff>
    </xdr:from>
    <xdr:to>
      <xdr:col>3</xdr:col>
      <xdr:colOff>569758</xdr:colOff>
      <xdr:row>2</xdr:row>
      <xdr:rowOff>117146</xdr:rowOff>
    </xdr:to>
    <xdr:cxnSp macro="">
      <xdr:nvCxnSpPr>
        <xdr:cNvPr id="57" name="Straight Connector 56">
          <a:extLst>
            <a:ext uri="{FF2B5EF4-FFF2-40B4-BE49-F238E27FC236}">
              <a16:creationId xmlns:a16="http://schemas.microsoft.com/office/drawing/2014/main" id="{3001A618-7877-4DE3-A81D-042089FC0A1F}"/>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207975</xdr:colOff>
      <xdr:row>1</xdr:row>
      <xdr:rowOff>103586</xdr:rowOff>
    </xdr:from>
    <xdr:to>
      <xdr:col>7</xdr:col>
      <xdr:colOff>207975</xdr:colOff>
      <xdr:row>2</xdr:row>
      <xdr:rowOff>117146</xdr:rowOff>
    </xdr:to>
    <xdr:cxnSp macro="">
      <xdr:nvCxnSpPr>
        <xdr:cNvPr id="58" name="Straight Connector 57">
          <a:extLst>
            <a:ext uri="{FF2B5EF4-FFF2-40B4-BE49-F238E27FC236}">
              <a16:creationId xmlns:a16="http://schemas.microsoft.com/office/drawing/2014/main" id="{6DF62CF3-B167-4CF8-87BF-6DA43705B9E0}"/>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66248</xdr:colOff>
      <xdr:row>1</xdr:row>
      <xdr:rowOff>103586</xdr:rowOff>
    </xdr:from>
    <xdr:to>
      <xdr:col>9</xdr:col>
      <xdr:colOff>66248</xdr:colOff>
      <xdr:row>2</xdr:row>
      <xdr:rowOff>117146</xdr:rowOff>
    </xdr:to>
    <xdr:cxnSp macro="">
      <xdr:nvCxnSpPr>
        <xdr:cNvPr id="59" name="Straight Connector 58">
          <a:extLst>
            <a:ext uri="{FF2B5EF4-FFF2-40B4-BE49-F238E27FC236}">
              <a16:creationId xmlns:a16="http://schemas.microsoft.com/office/drawing/2014/main" id="{8078C07A-269D-49D8-9436-9219448DFA73}"/>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189594</xdr:colOff>
      <xdr:row>1</xdr:row>
      <xdr:rowOff>103586</xdr:rowOff>
    </xdr:from>
    <xdr:to>
      <xdr:col>10</xdr:col>
      <xdr:colOff>189594</xdr:colOff>
      <xdr:row>2</xdr:row>
      <xdr:rowOff>117146</xdr:rowOff>
    </xdr:to>
    <xdr:cxnSp macro="">
      <xdr:nvCxnSpPr>
        <xdr:cNvPr id="60" name="Straight Connector 59">
          <a:extLst>
            <a:ext uri="{FF2B5EF4-FFF2-40B4-BE49-F238E27FC236}">
              <a16:creationId xmlns:a16="http://schemas.microsoft.com/office/drawing/2014/main" id="{9256061D-ECF0-42A2-AB2E-189FCE9C0136}"/>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314621</xdr:colOff>
      <xdr:row>1</xdr:row>
      <xdr:rowOff>103586</xdr:rowOff>
    </xdr:from>
    <xdr:to>
      <xdr:col>11</xdr:col>
      <xdr:colOff>314621</xdr:colOff>
      <xdr:row>2</xdr:row>
      <xdr:rowOff>117146</xdr:rowOff>
    </xdr:to>
    <xdr:cxnSp macro="">
      <xdr:nvCxnSpPr>
        <xdr:cNvPr id="61" name="Straight Connector 60">
          <a:extLst>
            <a:ext uri="{FF2B5EF4-FFF2-40B4-BE49-F238E27FC236}">
              <a16:creationId xmlns:a16="http://schemas.microsoft.com/office/drawing/2014/main" id="{199825F1-5805-49A5-B44F-8D055BB4E6CE}"/>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438744</xdr:colOff>
      <xdr:row>1</xdr:row>
      <xdr:rowOff>103586</xdr:rowOff>
    </xdr:from>
    <xdr:to>
      <xdr:col>12</xdr:col>
      <xdr:colOff>438744</xdr:colOff>
      <xdr:row>2</xdr:row>
      <xdr:rowOff>117146</xdr:rowOff>
    </xdr:to>
    <xdr:cxnSp macro="">
      <xdr:nvCxnSpPr>
        <xdr:cNvPr id="62" name="Straight Connector 61">
          <a:extLst>
            <a:ext uri="{FF2B5EF4-FFF2-40B4-BE49-F238E27FC236}">
              <a16:creationId xmlns:a16="http://schemas.microsoft.com/office/drawing/2014/main" id="{93A18476-8DBF-42F6-8657-DC0B10A1E1DC}"/>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563221</xdr:colOff>
      <xdr:row>1</xdr:row>
      <xdr:rowOff>103586</xdr:rowOff>
    </xdr:from>
    <xdr:to>
      <xdr:col>13</xdr:col>
      <xdr:colOff>563221</xdr:colOff>
      <xdr:row>2</xdr:row>
      <xdr:rowOff>117146</xdr:rowOff>
    </xdr:to>
    <xdr:cxnSp macro="">
      <xdr:nvCxnSpPr>
        <xdr:cNvPr id="63" name="Straight Connector 62">
          <a:extLst>
            <a:ext uri="{FF2B5EF4-FFF2-40B4-BE49-F238E27FC236}">
              <a16:creationId xmlns:a16="http://schemas.microsoft.com/office/drawing/2014/main" id="{9E59116F-26F3-4C72-830B-827EFA920B33}"/>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528892</xdr:colOff>
      <xdr:row>1</xdr:row>
      <xdr:rowOff>103586</xdr:rowOff>
    </xdr:from>
    <xdr:to>
      <xdr:col>16</xdr:col>
      <xdr:colOff>528892</xdr:colOff>
      <xdr:row>2</xdr:row>
      <xdr:rowOff>117146</xdr:rowOff>
    </xdr:to>
    <xdr:cxnSp macro="">
      <xdr:nvCxnSpPr>
        <xdr:cNvPr id="64" name="Straight Connector 63">
          <a:extLst>
            <a:ext uri="{FF2B5EF4-FFF2-40B4-BE49-F238E27FC236}">
              <a16:creationId xmlns:a16="http://schemas.microsoft.com/office/drawing/2014/main" id="{C53A68F6-38CF-4A81-814F-814D619AEBD0}"/>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650974</xdr:colOff>
      <xdr:row>1</xdr:row>
      <xdr:rowOff>103586</xdr:rowOff>
    </xdr:from>
    <xdr:to>
      <xdr:col>17</xdr:col>
      <xdr:colOff>650974</xdr:colOff>
      <xdr:row>2</xdr:row>
      <xdr:rowOff>117146</xdr:rowOff>
    </xdr:to>
    <xdr:cxnSp macro="">
      <xdr:nvCxnSpPr>
        <xdr:cNvPr id="65" name="Straight Connector 64">
          <a:extLst>
            <a:ext uri="{FF2B5EF4-FFF2-40B4-BE49-F238E27FC236}">
              <a16:creationId xmlns:a16="http://schemas.microsoft.com/office/drawing/2014/main" id="{863A907D-30B0-4C5E-870E-116186F07A6B}"/>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41281</xdr:colOff>
      <xdr:row>1</xdr:row>
      <xdr:rowOff>103586</xdr:rowOff>
    </xdr:from>
    <xdr:to>
      <xdr:col>19</xdr:col>
      <xdr:colOff>41281</xdr:colOff>
      <xdr:row>2</xdr:row>
      <xdr:rowOff>117146</xdr:rowOff>
    </xdr:to>
    <xdr:cxnSp macro="">
      <xdr:nvCxnSpPr>
        <xdr:cNvPr id="66" name="Straight Connector 65">
          <a:extLst>
            <a:ext uri="{FF2B5EF4-FFF2-40B4-BE49-F238E27FC236}">
              <a16:creationId xmlns:a16="http://schemas.microsoft.com/office/drawing/2014/main" id="{09AAB225-3204-4862-ACB3-1C74EACEE8F0}"/>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15038</xdr:colOff>
      <xdr:row>1</xdr:row>
      <xdr:rowOff>103586</xdr:rowOff>
    </xdr:from>
    <xdr:to>
      <xdr:col>20</xdr:col>
      <xdr:colOff>15038</xdr:colOff>
      <xdr:row>2</xdr:row>
      <xdr:rowOff>117146</xdr:rowOff>
    </xdr:to>
    <xdr:cxnSp macro="">
      <xdr:nvCxnSpPr>
        <xdr:cNvPr id="67" name="Straight Connector 66">
          <a:extLst>
            <a:ext uri="{FF2B5EF4-FFF2-40B4-BE49-F238E27FC236}">
              <a16:creationId xmlns:a16="http://schemas.microsoft.com/office/drawing/2014/main" id="{4136DC8A-9384-4B44-A3A7-76D13B1D4183}"/>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19706</xdr:colOff>
      <xdr:row>1</xdr:row>
      <xdr:rowOff>103586</xdr:rowOff>
    </xdr:from>
    <xdr:to>
      <xdr:col>22</xdr:col>
      <xdr:colOff>19706</xdr:colOff>
      <xdr:row>2</xdr:row>
      <xdr:rowOff>117146</xdr:rowOff>
    </xdr:to>
    <xdr:cxnSp macro="">
      <xdr:nvCxnSpPr>
        <xdr:cNvPr id="68" name="Straight Connector 67">
          <a:extLst>
            <a:ext uri="{FF2B5EF4-FFF2-40B4-BE49-F238E27FC236}">
              <a16:creationId xmlns:a16="http://schemas.microsoft.com/office/drawing/2014/main" id="{A178428A-72B7-4B5A-99B2-177D5C6DFCC5}"/>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409984</xdr:colOff>
      <xdr:row>1</xdr:row>
      <xdr:rowOff>103586</xdr:rowOff>
    </xdr:from>
    <xdr:to>
      <xdr:col>15</xdr:col>
      <xdr:colOff>409984</xdr:colOff>
      <xdr:row>2</xdr:row>
      <xdr:rowOff>117146</xdr:rowOff>
    </xdr:to>
    <xdr:cxnSp macro="">
      <xdr:nvCxnSpPr>
        <xdr:cNvPr id="69" name="Straight Connector 68">
          <a:extLst>
            <a:ext uri="{FF2B5EF4-FFF2-40B4-BE49-F238E27FC236}">
              <a16:creationId xmlns:a16="http://schemas.microsoft.com/office/drawing/2014/main" id="{E016A023-4A45-44D7-BD38-DC68691D85DB}"/>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63</xdr:col>
      <xdr:colOff>1732</xdr:colOff>
      <xdr:row>4</xdr:row>
      <xdr:rowOff>0</xdr:rowOff>
    </xdr:to>
    <xdr:sp macro="" textlink="">
      <xdr:nvSpPr>
        <xdr:cNvPr id="2" name="Rectangle 1">
          <a:extLst>
            <a:ext uri="{FF2B5EF4-FFF2-40B4-BE49-F238E27FC236}">
              <a16:creationId xmlns:a16="http://schemas.microsoft.com/office/drawing/2014/main" id="{8EAC2606-C0C2-497E-A715-23ED24CC3AC5}"/>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361347</xdr:colOff>
      <xdr:row>1</xdr:row>
      <xdr:rowOff>19879</xdr:rowOff>
    </xdr:from>
    <xdr:to>
      <xdr:col>16</xdr:col>
      <xdr:colOff>577529</xdr:colOff>
      <xdr:row>3</xdr:row>
      <xdr:rowOff>10354</xdr:rowOff>
    </xdr:to>
    <xdr:sp macro="" textlink="">
      <xdr:nvSpPr>
        <xdr:cNvPr id="3" name="TextBox 2">
          <a:hlinkClick xmlns:r="http://schemas.openxmlformats.org/officeDocument/2006/relationships" r:id="rId1"/>
          <a:extLst>
            <a:ext uri="{FF2B5EF4-FFF2-40B4-BE49-F238E27FC236}">
              <a16:creationId xmlns:a16="http://schemas.microsoft.com/office/drawing/2014/main" id="{0872C436-FE21-48CA-B36B-A11125B44037}"/>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4" name="Picture 3">
          <a:extLst>
            <a:ext uri="{FF2B5EF4-FFF2-40B4-BE49-F238E27FC236}">
              <a16:creationId xmlns:a16="http://schemas.microsoft.com/office/drawing/2014/main" id="{34B4F7FA-B997-4609-8FA9-E4DA75667B7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1282834</xdr:colOff>
      <xdr:row>1</xdr:row>
      <xdr:rowOff>28201</xdr:rowOff>
    </xdr:from>
    <xdr:to>
      <xdr:col>1</xdr:col>
      <xdr:colOff>1282834</xdr:colOff>
      <xdr:row>2</xdr:row>
      <xdr:rowOff>138545</xdr:rowOff>
    </xdr:to>
    <xdr:cxnSp macro="">
      <xdr:nvCxnSpPr>
        <xdr:cNvPr id="39" name="Straight Connector 38">
          <a:extLst>
            <a:ext uri="{FF2B5EF4-FFF2-40B4-BE49-F238E27FC236}">
              <a16:creationId xmlns:a16="http://schemas.microsoft.com/office/drawing/2014/main" id="{D441F765-015E-4581-B8EB-2FF0F23974AD}"/>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3786832</xdr:colOff>
      <xdr:row>1</xdr:row>
      <xdr:rowOff>19879</xdr:rowOff>
    </xdr:from>
    <xdr:to>
      <xdr:col>3</xdr:col>
      <xdr:colOff>618395</xdr:colOff>
      <xdr:row>3</xdr:row>
      <xdr:rowOff>10354</xdr:rowOff>
    </xdr:to>
    <xdr:sp macro="" textlink="">
      <xdr:nvSpPr>
        <xdr:cNvPr id="40" name="TextBox 39">
          <a:hlinkClick xmlns:r="http://schemas.openxmlformats.org/officeDocument/2006/relationships" r:id="rId3"/>
          <a:extLst>
            <a:ext uri="{FF2B5EF4-FFF2-40B4-BE49-F238E27FC236}">
              <a16:creationId xmlns:a16="http://schemas.microsoft.com/office/drawing/2014/main" id="{8748FDB3-670A-46FA-90AF-730E5E7298AA}"/>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521121</xdr:colOff>
      <xdr:row>1</xdr:row>
      <xdr:rowOff>19879</xdr:rowOff>
    </xdr:from>
    <xdr:to>
      <xdr:col>5</xdr:col>
      <xdr:colOff>9972</xdr:colOff>
      <xdr:row>3</xdr:row>
      <xdr:rowOff>10354</xdr:rowOff>
    </xdr:to>
    <xdr:sp macro="" textlink="">
      <xdr:nvSpPr>
        <xdr:cNvPr id="41" name="TextBox 40">
          <a:hlinkClick xmlns:r="http://schemas.openxmlformats.org/officeDocument/2006/relationships" r:id="rId4"/>
          <a:extLst>
            <a:ext uri="{FF2B5EF4-FFF2-40B4-BE49-F238E27FC236}">
              <a16:creationId xmlns:a16="http://schemas.microsoft.com/office/drawing/2014/main" id="{34961042-2226-4205-B443-E3DAAB93589D}"/>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647484</xdr:colOff>
      <xdr:row>1</xdr:row>
      <xdr:rowOff>19879</xdr:rowOff>
    </xdr:from>
    <xdr:to>
      <xdr:col>6</xdr:col>
      <xdr:colOff>130277</xdr:colOff>
      <xdr:row>3</xdr:row>
      <xdr:rowOff>10354</xdr:rowOff>
    </xdr:to>
    <xdr:sp macro="" textlink="">
      <xdr:nvSpPr>
        <xdr:cNvPr id="42" name="TextBox 41">
          <a:hlinkClick xmlns:r="http://schemas.openxmlformats.org/officeDocument/2006/relationships" r:id="rId5"/>
          <a:extLst>
            <a:ext uri="{FF2B5EF4-FFF2-40B4-BE49-F238E27FC236}">
              <a16:creationId xmlns:a16="http://schemas.microsoft.com/office/drawing/2014/main" id="{5814298F-CC85-40C1-B421-18F468243104}"/>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6</xdr:col>
      <xdr:colOff>33003</xdr:colOff>
      <xdr:row>1</xdr:row>
      <xdr:rowOff>19879</xdr:rowOff>
    </xdr:from>
    <xdr:to>
      <xdr:col>7</xdr:col>
      <xdr:colOff>256612</xdr:colOff>
      <xdr:row>3</xdr:row>
      <xdr:rowOff>10354</xdr:rowOff>
    </xdr:to>
    <xdr:sp macro="" textlink="">
      <xdr:nvSpPr>
        <xdr:cNvPr id="43" name="TextBox 42">
          <a:hlinkClick xmlns:r="http://schemas.openxmlformats.org/officeDocument/2006/relationships" r:id="rId6"/>
          <a:extLst>
            <a:ext uri="{FF2B5EF4-FFF2-40B4-BE49-F238E27FC236}">
              <a16:creationId xmlns:a16="http://schemas.microsoft.com/office/drawing/2014/main" id="{E903F656-3553-4D22-86C4-8631F3E23091}"/>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7</xdr:col>
      <xdr:colOff>159338</xdr:colOff>
      <xdr:row>1</xdr:row>
      <xdr:rowOff>19879</xdr:rowOff>
    </xdr:from>
    <xdr:to>
      <xdr:col>9</xdr:col>
      <xdr:colOff>114885</xdr:colOff>
      <xdr:row>3</xdr:row>
      <xdr:rowOff>10354</xdr:rowOff>
    </xdr:to>
    <xdr:sp macro="" textlink="">
      <xdr:nvSpPr>
        <xdr:cNvPr id="44" name="TextBox 43">
          <a:hlinkClick xmlns:r="http://schemas.openxmlformats.org/officeDocument/2006/relationships" r:id="rId7"/>
          <a:extLst>
            <a:ext uri="{FF2B5EF4-FFF2-40B4-BE49-F238E27FC236}">
              <a16:creationId xmlns:a16="http://schemas.microsoft.com/office/drawing/2014/main" id="{C9F92C18-FDC6-42E9-B18E-17C2F1212D1A}"/>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9</xdr:col>
      <xdr:colOff>17611</xdr:colOff>
      <xdr:row>1</xdr:row>
      <xdr:rowOff>19879</xdr:rowOff>
    </xdr:from>
    <xdr:to>
      <xdr:col>10</xdr:col>
      <xdr:colOff>238231</xdr:colOff>
      <xdr:row>3</xdr:row>
      <xdr:rowOff>10354</xdr:rowOff>
    </xdr:to>
    <xdr:sp macro="" textlink="">
      <xdr:nvSpPr>
        <xdr:cNvPr id="45" name="TextBox 44">
          <a:hlinkClick xmlns:r="http://schemas.openxmlformats.org/officeDocument/2006/relationships" r:id="rId8"/>
          <a:extLst>
            <a:ext uri="{FF2B5EF4-FFF2-40B4-BE49-F238E27FC236}">
              <a16:creationId xmlns:a16="http://schemas.microsoft.com/office/drawing/2014/main" id="{201AE1B9-D528-4521-8483-574B5F2DB6F9}"/>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10</xdr:col>
      <xdr:colOff>142638</xdr:colOff>
      <xdr:row>1</xdr:row>
      <xdr:rowOff>19879</xdr:rowOff>
    </xdr:from>
    <xdr:to>
      <xdr:col>11</xdr:col>
      <xdr:colOff>361577</xdr:colOff>
      <xdr:row>3</xdr:row>
      <xdr:rowOff>10354</xdr:rowOff>
    </xdr:to>
    <xdr:sp macro="" textlink="">
      <xdr:nvSpPr>
        <xdr:cNvPr id="46" name="TextBox 45">
          <a:hlinkClick xmlns:r="http://schemas.openxmlformats.org/officeDocument/2006/relationships" r:id="rId9"/>
          <a:extLst>
            <a:ext uri="{FF2B5EF4-FFF2-40B4-BE49-F238E27FC236}">
              <a16:creationId xmlns:a16="http://schemas.microsoft.com/office/drawing/2014/main" id="{8EED5DFC-76D0-4741-AE6E-F473ABD5B69D}"/>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11</xdr:col>
      <xdr:colOff>265984</xdr:colOff>
      <xdr:row>1</xdr:row>
      <xdr:rowOff>19879</xdr:rowOff>
    </xdr:from>
    <xdr:to>
      <xdr:col>12</xdr:col>
      <xdr:colOff>487381</xdr:colOff>
      <xdr:row>3</xdr:row>
      <xdr:rowOff>10354</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9D90285C-EB04-44F9-ADD0-BE5988EAC347}"/>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12</xdr:col>
      <xdr:colOff>390107</xdr:colOff>
      <xdr:row>1</xdr:row>
      <xdr:rowOff>19879</xdr:rowOff>
    </xdr:from>
    <xdr:to>
      <xdr:col>13</xdr:col>
      <xdr:colOff>611858</xdr:colOff>
      <xdr:row>3</xdr:row>
      <xdr:rowOff>10354</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5B86942F-12E7-4247-ACE7-78FB84B0DD57}"/>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13</xdr:col>
      <xdr:colOff>514584</xdr:colOff>
      <xdr:row>1</xdr:row>
      <xdr:rowOff>19879</xdr:rowOff>
    </xdr:from>
    <xdr:to>
      <xdr:col>15</xdr:col>
      <xdr:colOff>458621</xdr:colOff>
      <xdr:row>3</xdr:row>
      <xdr:rowOff>10354</xdr:rowOff>
    </xdr:to>
    <xdr:sp macro="" textlink="">
      <xdr:nvSpPr>
        <xdr:cNvPr id="49" name="TextBox 48">
          <a:hlinkClick xmlns:r="http://schemas.openxmlformats.org/officeDocument/2006/relationships" r:id="rId12"/>
          <a:extLst>
            <a:ext uri="{FF2B5EF4-FFF2-40B4-BE49-F238E27FC236}">
              <a16:creationId xmlns:a16="http://schemas.microsoft.com/office/drawing/2014/main" id="{5D2E482F-82FF-4118-AB32-65CD6059A711}"/>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16</xdr:col>
      <xdr:colOff>480255</xdr:colOff>
      <xdr:row>1</xdr:row>
      <xdr:rowOff>19879</xdr:rowOff>
    </xdr:from>
    <xdr:to>
      <xdr:col>17</xdr:col>
      <xdr:colOff>699611</xdr:colOff>
      <xdr:row>3</xdr:row>
      <xdr:rowOff>10354</xdr:rowOff>
    </xdr:to>
    <xdr:sp macro="" textlink="">
      <xdr:nvSpPr>
        <xdr:cNvPr id="50" name="TextBox 49">
          <a:hlinkClick xmlns:r="http://schemas.openxmlformats.org/officeDocument/2006/relationships" r:id="rId13"/>
          <a:extLst>
            <a:ext uri="{FF2B5EF4-FFF2-40B4-BE49-F238E27FC236}">
              <a16:creationId xmlns:a16="http://schemas.microsoft.com/office/drawing/2014/main" id="{6A9F3FBF-9B64-4880-98BA-BF771C0F1D3C}"/>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17</xdr:col>
      <xdr:colOff>602337</xdr:colOff>
      <xdr:row>1</xdr:row>
      <xdr:rowOff>19879</xdr:rowOff>
    </xdr:from>
    <xdr:to>
      <xdr:col>19</xdr:col>
      <xdr:colOff>89918</xdr:colOff>
      <xdr:row>3</xdr:row>
      <xdr:rowOff>10354</xdr:rowOff>
    </xdr:to>
    <xdr:sp macro="" textlink="">
      <xdr:nvSpPr>
        <xdr:cNvPr id="51" name="TextBox 50">
          <a:hlinkClick xmlns:r="http://schemas.openxmlformats.org/officeDocument/2006/relationships" r:id="rId14"/>
          <a:extLst>
            <a:ext uri="{FF2B5EF4-FFF2-40B4-BE49-F238E27FC236}">
              <a16:creationId xmlns:a16="http://schemas.microsoft.com/office/drawing/2014/main" id="{7E3A4EDF-8C3C-4EDA-ACC1-8B6A5ABC1C2C}"/>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18</xdr:col>
      <xdr:colOff>727430</xdr:colOff>
      <xdr:row>1</xdr:row>
      <xdr:rowOff>19879</xdr:rowOff>
    </xdr:from>
    <xdr:to>
      <xdr:col>20</xdr:col>
      <xdr:colOff>63675</xdr:colOff>
      <xdr:row>3</xdr:row>
      <xdr:rowOff>10354</xdr:rowOff>
    </xdr:to>
    <xdr:sp macro="" textlink="">
      <xdr:nvSpPr>
        <xdr:cNvPr id="52" name="TextBox 51">
          <a:hlinkClick xmlns:r="http://schemas.openxmlformats.org/officeDocument/2006/relationships" r:id="rId15"/>
          <a:extLst>
            <a:ext uri="{FF2B5EF4-FFF2-40B4-BE49-F238E27FC236}">
              <a16:creationId xmlns:a16="http://schemas.microsoft.com/office/drawing/2014/main" id="{CB3A954F-781C-46DE-A05E-0FAF59BCFF6D}"/>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CF</a:t>
          </a:r>
        </a:p>
      </xdr:txBody>
    </xdr:sp>
    <xdr:clientData/>
  </xdr:twoCellAnchor>
  <xdr:twoCellAnchor>
    <xdr:from>
      <xdr:col>19</xdr:col>
      <xdr:colOff>850865</xdr:colOff>
      <xdr:row>1</xdr:row>
      <xdr:rowOff>19879</xdr:rowOff>
    </xdr:from>
    <xdr:to>
      <xdr:col>22</xdr:col>
      <xdr:colOff>68343</xdr:colOff>
      <xdr:row>3</xdr:row>
      <xdr:rowOff>10354</xdr:rowOff>
    </xdr:to>
    <xdr:sp macro="" textlink="">
      <xdr:nvSpPr>
        <xdr:cNvPr id="53" name="TextBox 52">
          <a:hlinkClick xmlns:r="http://schemas.openxmlformats.org/officeDocument/2006/relationships" r:id="rId16"/>
          <a:extLst>
            <a:ext uri="{FF2B5EF4-FFF2-40B4-BE49-F238E27FC236}">
              <a16:creationId xmlns:a16="http://schemas.microsoft.com/office/drawing/2014/main" id="{73C2DC9A-0314-4D64-A362-8A97626EFEE3}"/>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21</xdr:col>
      <xdr:colOff>705866</xdr:colOff>
      <xdr:row>1</xdr:row>
      <xdr:rowOff>19879</xdr:rowOff>
    </xdr:from>
    <xdr:to>
      <xdr:col>23</xdr:col>
      <xdr:colOff>193059</xdr:colOff>
      <xdr:row>3</xdr:row>
      <xdr:rowOff>10354</xdr:rowOff>
    </xdr:to>
    <xdr:sp macro="" textlink="">
      <xdr:nvSpPr>
        <xdr:cNvPr id="54" name="TextBox 53">
          <a:hlinkClick xmlns:r="http://schemas.openxmlformats.org/officeDocument/2006/relationships" r:id="rId17"/>
          <a:extLst>
            <a:ext uri="{FF2B5EF4-FFF2-40B4-BE49-F238E27FC236}">
              <a16:creationId xmlns:a16="http://schemas.microsoft.com/office/drawing/2014/main" id="{489E87B7-F477-4B23-916E-2EDB87BAECE5}"/>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6</xdr:col>
      <xdr:colOff>81640</xdr:colOff>
      <xdr:row>1</xdr:row>
      <xdr:rowOff>103586</xdr:rowOff>
    </xdr:from>
    <xdr:to>
      <xdr:col>6</xdr:col>
      <xdr:colOff>81640</xdr:colOff>
      <xdr:row>2</xdr:row>
      <xdr:rowOff>117146</xdr:rowOff>
    </xdr:to>
    <xdr:cxnSp macro="">
      <xdr:nvCxnSpPr>
        <xdr:cNvPr id="55" name="Straight Connector 54">
          <a:extLst>
            <a:ext uri="{FF2B5EF4-FFF2-40B4-BE49-F238E27FC236}">
              <a16:creationId xmlns:a16="http://schemas.microsoft.com/office/drawing/2014/main" id="{0B595BC7-6D7E-487F-B48E-DD228A7540AC}"/>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696121</xdr:colOff>
      <xdr:row>1</xdr:row>
      <xdr:rowOff>103586</xdr:rowOff>
    </xdr:from>
    <xdr:to>
      <xdr:col>4</xdr:col>
      <xdr:colOff>696121</xdr:colOff>
      <xdr:row>2</xdr:row>
      <xdr:rowOff>117146</xdr:rowOff>
    </xdr:to>
    <xdr:cxnSp macro="">
      <xdr:nvCxnSpPr>
        <xdr:cNvPr id="56" name="Straight Connector 55">
          <a:extLst>
            <a:ext uri="{FF2B5EF4-FFF2-40B4-BE49-F238E27FC236}">
              <a16:creationId xmlns:a16="http://schemas.microsoft.com/office/drawing/2014/main" id="{F4231307-8765-40DA-B8BC-06ADAAA73966}"/>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569758</xdr:colOff>
      <xdr:row>1</xdr:row>
      <xdr:rowOff>103586</xdr:rowOff>
    </xdr:from>
    <xdr:to>
      <xdr:col>3</xdr:col>
      <xdr:colOff>569758</xdr:colOff>
      <xdr:row>2</xdr:row>
      <xdr:rowOff>117146</xdr:rowOff>
    </xdr:to>
    <xdr:cxnSp macro="">
      <xdr:nvCxnSpPr>
        <xdr:cNvPr id="57" name="Straight Connector 56">
          <a:extLst>
            <a:ext uri="{FF2B5EF4-FFF2-40B4-BE49-F238E27FC236}">
              <a16:creationId xmlns:a16="http://schemas.microsoft.com/office/drawing/2014/main" id="{80BD65C5-7418-4551-9DDD-15CD9F9C90CB}"/>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207975</xdr:colOff>
      <xdr:row>1</xdr:row>
      <xdr:rowOff>103586</xdr:rowOff>
    </xdr:from>
    <xdr:to>
      <xdr:col>7</xdr:col>
      <xdr:colOff>207975</xdr:colOff>
      <xdr:row>2</xdr:row>
      <xdr:rowOff>117146</xdr:rowOff>
    </xdr:to>
    <xdr:cxnSp macro="">
      <xdr:nvCxnSpPr>
        <xdr:cNvPr id="58" name="Straight Connector 57">
          <a:extLst>
            <a:ext uri="{FF2B5EF4-FFF2-40B4-BE49-F238E27FC236}">
              <a16:creationId xmlns:a16="http://schemas.microsoft.com/office/drawing/2014/main" id="{40DC60D3-5B9D-43FF-A8C9-D33D52BB59D0}"/>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66248</xdr:colOff>
      <xdr:row>1</xdr:row>
      <xdr:rowOff>103586</xdr:rowOff>
    </xdr:from>
    <xdr:to>
      <xdr:col>9</xdr:col>
      <xdr:colOff>66248</xdr:colOff>
      <xdr:row>2</xdr:row>
      <xdr:rowOff>117146</xdr:rowOff>
    </xdr:to>
    <xdr:cxnSp macro="">
      <xdr:nvCxnSpPr>
        <xdr:cNvPr id="59" name="Straight Connector 58">
          <a:extLst>
            <a:ext uri="{FF2B5EF4-FFF2-40B4-BE49-F238E27FC236}">
              <a16:creationId xmlns:a16="http://schemas.microsoft.com/office/drawing/2014/main" id="{D8C6375C-F869-4486-BBE8-5FB51E264736}"/>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189594</xdr:colOff>
      <xdr:row>1</xdr:row>
      <xdr:rowOff>103586</xdr:rowOff>
    </xdr:from>
    <xdr:to>
      <xdr:col>10</xdr:col>
      <xdr:colOff>189594</xdr:colOff>
      <xdr:row>2</xdr:row>
      <xdr:rowOff>117146</xdr:rowOff>
    </xdr:to>
    <xdr:cxnSp macro="">
      <xdr:nvCxnSpPr>
        <xdr:cNvPr id="60" name="Straight Connector 59">
          <a:extLst>
            <a:ext uri="{FF2B5EF4-FFF2-40B4-BE49-F238E27FC236}">
              <a16:creationId xmlns:a16="http://schemas.microsoft.com/office/drawing/2014/main" id="{E79765E9-6069-4F02-9124-ADC2CBD56771}"/>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314621</xdr:colOff>
      <xdr:row>1</xdr:row>
      <xdr:rowOff>103586</xdr:rowOff>
    </xdr:from>
    <xdr:to>
      <xdr:col>11</xdr:col>
      <xdr:colOff>314621</xdr:colOff>
      <xdr:row>2</xdr:row>
      <xdr:rowOff>117146</xdr:rowOff>
    </xdr:to>
    <xdr:cxnSp macro="">
      <xdr:nvCxnSpPr>
        <xdr:cNvPr id="61" name="Straight Connector 60">
          <a:extLst>
            <a:ext uri="{FF2B5EF4-FFF2-40B4-BE49-F238E27FC236}">
              <a16:creationId xmlns:a16="http://schemas.microsoft.com/office/drawing/2014/main" id="{BAA2D6D1-1F08-466A-8150-E50D91BED24D}"/>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438744</xdr:colOff>
      <xdr:row>1</xdr:row>
      <xdr:rowOff>103586</xdr:rowOff>
    </xdr:from>
    <xdr:to>
      <xdr:col>12</xdr:col>
      <xdr:colOff>438744</xdr:colOff>
      <xdr:row>2</xdr:row>
      <xdr:rowOff>117146</xdr:rowOff>
    </xdr:to>
    <xdr:cxnSp macro="">
      <xdr:nvCxnSpPr>
        <xdr:cNvPr id="62" name="Straight Connector 61">
          <a:extLst>
            <a:ext uri="{FF2B5EF4-FFF2-40B4-BE49-F238E27FC236}">
              <a16:creationId xmlns:a16="http://schemas.microsoft.com/office/drawing/2014/main" id="{76E5C163-2418-437F-8FF9-5E8E08664A58}"/>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563221</xdr:colOff>
      <xdr:row>1</xdr:row>
      <xdr:rowOff>103586</xdr:rowOff>
    </xdr:from>
    <xdr:to>
      <xdr:col>13</xdr:col>
      <xdr:colOff>563221</xdr:colOff>
      <xdr:row>2</xdr:row>
      <xdr:rowOff>117146</xdr:rowOff>
    </xdr:to>
    <xdr:cxnSp macro="">
      <xdr:nvCxnSpPr>
        <xdr:cNvPr id="63" name="Straight Connector 62">
          <a:extLst>
            <a:ext uri="{FF2B5EF4-FFF2-40B4-BE49-F238E27FC236}">
              <a16:creationId xmlns:a16="http://schemas.microsoft.com/office/drawing/2014/main" id="{495EC85A-8A41-4823-82E6-312E23978A1F}"/>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528892</xdr:colOff>
      <xdr:row>1</xdr:row>
      <xdr:rowOff>103586</xdr:rowOff>
    </xdr:from>
    <xdr:to>
      <xdr:col>16</xdr:col>
      <xdr:colOff>528892</xdr:colOff>
      <xdr:row>2</xdr:row>
      <xdr:rowOff>117146</xdr:rowOff>
    </xdr:to>
    <xdr:cxnSp macro="">
      <xdr:nvCxnSpPr>
        <xdr:cNvPr id="64" name="Straight Connector 63">
          <a:extLst>
            <a:ext uri="{FF2B5EF4-FFF2-40B4-BE49-F238E27FC236}">
              <a16:creationId xmlns:a16="http://schemas.microsoft.com/office/drawing/2014/main" id="{0E892B0E-2B9B-4DDD-A589-5B4762F65B5D}"/>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650974</xdr:colOff>
      <xdr:row>1</xdr:row>
      <xdr:rowOff>103586</xdr:rowOff>
    </xdr:from>
    <xdr:to>
      <xdr:col>17</xdr:col>
      <xdr:colOff>650974</xdr:colOff>
      <xdr:row>2</xdr:row>
      <xdr:rowOff>117146</xdr:rowOff>
    </xdr:to>
    <xdr:cxnSp macro="">
      <xdr:nvCxnSpPr>
        <xdr:cNvPr id="65" name="Straight Connector 64">
          <a:extLst>
            <a:ext uri="{FF2B5EF4-FFF2-40B4-BE49-F238E27FC236}">
              <a16:creationId xmlns:a16="http://schemas.microsoft.com/office/drawing/2014/main" id="{14C39EA0-CC20-4C99-BAF0-7C7E5B63B9C3}"/>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41281</xdr:colOff>
      <xdr:row>1</xdr:row>
      <xdr:rowOff>103586</xdr:rowOff>
    </xdr:from>
    <xdr:to>
      <xdr:col>19</xdr:col>
      <xdr:colOff>41281</xdr:colOff>
      <xdr:row>2</xdr:row>
      <xdr:rowOff>117146</xdr:rowOff>
    </xdr:to>
    <xdr:cxnSp macro="">
      <xdr:nvCxnSpPr>
        <xdr:cNvPr id="66" name="Straight Connector 65">
          <a:extLst>
            <a:ext uri="{FF2B5EF4-FFF2-40B4-BE49-F238E27FC236}">
              <a16:creationId xmlns:a16="http://schemas.microsoft.com/office/drawing/2014/main" id="{42EBCD54-7E84-465C-B5E7-F5AAC5FDDDBE}"/>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15038</xdr:colOff>
      <xdr:row>1</xdr:row>
      <xdr:rowOff>103586</xdr:rowOff>
    </xdr:from>
    <xdr:to>
      <xdr:col>20</xdr:col>
      <xdr:colOff>15038</xdr:colOff>
      <xdr:row>2</xdr:row>
      <xdr:rowOff>117146</xdr:rowOff>
    </xdr:to>
    <xdr:cxnSp macro="">
      <xdr:nvCxnSpPr>
        <xdr:cNvPr id="67" name="Straight Connector 66">
          <a:extLst>
            <a:ext uri="{FF2B5EF4-FFF2-40B4-BE49-F238E27FC236}">
              <a16:creationId xmlns:a16="http://schemas.microsoft.com/office/drawing/2014/main" id="{335B30A3-697A-4A1E-B76C-ECD8101A1431}"/>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19706</xdr:colOff>
      <xdr:row>1</xdr:row>
      <xdr:rowOff>103586</xdr:rowOff>
    </xdr:from>
    <xdr:to>
      <xdr:col>22</xdr:col>
      <xdr:colOff>19706</xdr:colOff>
      <xdr:row>2</xdr:row>
      <xdr:rowOff>117146</xdr:rowOff>
    </xdr:to>
    <xdr:cxnSp macro="">
      <xdr:nvCxnSpPr>
        <xdr:cNvPr id="68" name="Straight Connector 67">
          <a:extLst>
            <a:ext uri="{FF2B5EF4-FFF2-40B4-BE49-F238E27FC236}">
              <a16:creationId xmlns:a16="http://schemas.microsoft.com/office/drawing/2014/main" id="{83013B23-C7B7-4B25-AB09-1436E01F1BFD}"/>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409984</xdr:colOff>
      <xdr:row>1</xdr:row>
      <xdr:rowOff>103586</xdr:rowOff>
    </xdr:from>
    <xdr:to>
      <xdr:col>15</xdr:col>
      <xdr:colOff>409984</xdr:colOff>
      <xdr:row>2</xdr:row>
      <xdr:rowOff>117146</xdr:rowOff>
    </xdr:to>
    <xdr:cxnSp macro="">
      <xdr:nvCxnSpPr>
        <xdr:cNvPr id="69" name="Straight Connector 68">
          <a:extLst>
            <a:ext uri="{FF2B5EF4-FFF2-40B4-BE49-F238E27FC236}">
              <a16:creationId xmlns:a16="http://schemas.microsoft.com/office/drawing/2014/main" id="{DA612801-D5D5-4866-827C-9B4F706573E2}"/>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62</xdr:col>
      <xdr:colOff>646711</xdr:colOff>
      <xdr:row>4</xdr:row>
      <xdr:rowOff>0</xdr:rowOff>
    </xdr:to>
    <xdr:sp macro="" textlink="">
      <xdr:nvSpPr>
        <xdr:cNvPr id="2" name="Rectangle 1">
          <a:extLst>
            <a:ext uri="{FF2B5EF4-FFF2-40B4-BE49-F238E27FC236}">
              <a16:creationId xmlns:a16="http://schemas.microsoft.com/office/drawing/2014/main" id="{E1C9947F-F394-4AF7-921D-36742362EF6E}"/>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380397</xdr:colOff>
      <xdr:row>1</xdr:row>
      <xdr:rowOff>19879</xdr:rowOff>
    </xdr:from>
    <xdr:to>
      <xdr:col>16</xdr:col>
      <xdr:colOff>597940</xdr:colOff>
      <xdr:row>3</xdr:row>
      <xdr:rowOff>10354</xdr:rowOff>
    </xdr:to>
    <xdr:sp macro="" textlink="">
      <xdr:nvSpPr>
        <xdr:cNvPr id="3" name="TextBox 2">
          <a:hlinkClick xmlns:r="http://schemas.openxmlformats.org/officeDocument/2006/relationships" r:id="rId1"/>
          <a:extLst>
            <a:ext uri="{FF2B5EF4-FFF2-40B4-BE49-F238E27FC236}">
              <a16:creationId xmlns:a16="http://schemas.microsoft.com/office/drawing/2014/main" id="{8318BBB9-2ABA-42A0-97F4-2DA4655210AD}"/>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4" name="Picture 3">
          <a:extLst>
            <a:ext uri="{FF2B5EF4-FFF2-40B4-BE49-F238E27FC236}">
              <a16:creationId xmlns:a16="http://schemas.microsoft.com/office/drawing/2014/main" id="{38CAF285-4CE8-430A-92A4-407037A4027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1</xdr:col>
      <xdr:colOff>1288277</xdr:colOff>
      <xdr:row>1</xdr:row>
      <xdr:rowOff>28201</xdr:rowOff>
    </xdr:from>
    <xdr:to>
      <xdr:col>1</xdr:col>
      <xdr:colOff>1288277</xdr:colOff>
      <xdr:row>2</xdr:row>
      <xdr:rowOff>138545</xdr:rowOff>
    </xdr:to>
    <xdr:cxnSp macro="">
      <xdr:nvCxnSpPr>
        <xdr:cNvPr id="39" name="Straight Connector 38">
          <a:extLst>
            <a:ext uri="{FF2B5EF4-FFF2-40B4-BE49-F238E27FC236}">
              <a16:creationId xmlns:a16="http://schemas.microsoft.com/office/drawing/2014/main" id="{30A0E70F-5A05-42AE-9D7F-5B17CEE8C542}"/>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3792275</xdr:colOff>
      <xdr:row>1</xdr:row>
      <xdr:rowOff>19879</xdr:rowOff>
    </xdr:from>
    <xdr:to>
      <xdr:col>3</xdr:col>
      <xdr:colOff>632002</xdr:colOff>
      <xdr:row>3</xdr:row>
      <xdr:rowOff>10354</xdr:rowOff>
    </xdr:to>
    <xdr:sp macro="" textlink="">
      <xdr:nvSpPr>
        <xdr:cNvPr id="40" name="TextBox 39">
          <a:hlinkClick xmlns:r="http://schemas.openxmlformats.org/officeDocument/2006/relationships" r:id="rId3"/>
          <a:extLst>
            <a:ext uri="{FF2B5EF4-FFF2-40B4-BE49-F238E27FC236}">
              <a16:creationId xmlns:a16="http://schemas.microsoft.com/office/drawing/2014/main" id="{3E60C308-B1CB-4F3A-B247-FC7F7CCB4B4E}"/>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3</xdr:col>
      <xdr:colOff>534728</xdr:colOff>
      <xdr:row>1</xdr:row>
      <xdr:rowOff>19879</xdr:rowOff>
    </xdr:from>
    <xdr:to>
      <xdr:col>5</xdr:col>
      <xdr:colOff>26301</xdr:colOff>
      <xdr:row>3</xdr:row>
      <xdr:rowOff>10354</xdr:rowOff>
    </xdr:to>
    <xdr:sp macro="" textlink="">
      <xdr:nvSpPr>
        <xdr:cNvPr id="41" name="TextBox 40">
          <a:hlinkClick xmlns:r="http://schemas.openxmlformats.org/officeDocument/2006/relationships" r:id="rId4"/>
          <a:extLst>
            <a:ext uri="{FF2B5EF4-FFF2-40B4-BE49-F238E27FC236}">
              <a16:creationId xmlns:a16="http://schemas.microsoft.com/office/drawing/2014/main" id="{7DDBCB69-7E11-4DB8-8AE6-A199C826606A}"/>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4</xdr:col>
      <xdr:colOff>662452</xdr:colOff>
      <xdr:row>1</xdr:row>
      <xdr:rowOff>19879</xdr:rowOff>
    </xdr:from>
    <xdr:to>
      <xdr:col>6</xdr:col>
      <xdr:colOff>147966</xdr:colOff>
      <xdr:row>3</xdr:row>
      <xdr:rowOff>10354</xdr:rowOff>
    </xdr:to>
    <xdr:sp macro="" textlink="">
      <xdr:nvSpPr>
        <xdr:cNvPr id="42" name="TextBox 41">
          <a:hlinkClick xmlns:r="http://schemas.openxmlformats.org/officeDocument/2006/relationships" r:id="rId5"/>
          <a:extLst>
            <a:ext uri="{FF2B5EF4-FFF2-40B4-BE49-F238E27FC236}">
              <a16:creationId xmlns:a16="http://schemas.microsoft.com/office/drawing/2014/main" id="{1D42B26A-7FF3-4669-A319-0F7544F9DB4C}"/>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6</xdr:col>
      <xdr:colOff>50692</xdr:colOff>
      <xdr:row>1</xdr:row>
      <xdr:rowOff>19879</xdr:rowOff>
    </xdr:from>
    <xdr:to>
      <xdr:col>7</xdr:col>
      <xdr:colOff>275662</xdr:colOff>
      <xdr:row>3</xdr:row>
      <xdr:rowOff>10354</xdr:rowOff>
    </xdr:to>
    <xdr:sp macro="" textlink="">
      <xdr:nvSpPr>
        <xdr:cNvPr id="43" name="TextBox 42">
          <a:hlinkClick xmlns:r="http://schemas.openxmlformats.org/officeDocument/2006/relationships" r:id="rId6"/>
          <a:extLst>
            <a:ext uri="{FF2B5EF4-FFF2-40B4-BE49-F238E27FC236}">
              <a16:creationId xmlns:a16="http://schemas.microsoft.com/office/drawing/2014/main" id="{1F869B43-1693-44E8-8A19-3D5A9D14B62A}"/>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7</xdr:col>
      <xdr:colOff>178388</xdr:colOff>
      <xdr:row>1</xdr:row>
      <xdr:rowOff>19879</xdr:rowOff>
    </xdr:from>
    <xdr:to>
      <xdr:col>9</xdr:col>
      <xdr:colOff>131214</xdr:colOff>
      <xdr:row>3</xdr:row>
      <xdr:rowOff>10354</xdr:rowOff>
    </xdr:to>
    <xdr:sp macro="" textlink="">
      <xdr:nvSpPr>
        <xdr:cNvPr id="44" name="TextBox 43">
          <a:hlinkClick xmlns:r="http://schemas.openxmlformats.org/officeDocument/2006/relationships" r:id="rId7"/>
          <a:extLst>
            <a:ext uri="{FF2B5EF4-FFF2-40B4-BE49-F238E27FC236}">
              <a16:creationId xmlns:a16="http://schemas.microsoft.com/office/drawing/2014/main" id="{93194E40-6FC6-475C-A2E2-25BF58699338}"/>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9</xdr:col>
      <xdr:colOff>33940</xdr:colOff>
      <xdr:row>1</xdr:row>
      <xdr:rowOff>19879</xdr:rowOff>
    </xdr:from>
    <xdr:to>
      <xdr:col>10</xdr:col>
      <xdr:colOff>255920</xdr:colOff>
      <xdr:row>3</xdr:row>
      <xdr:rowOff>10354</xdr:rowOff>
    </xdr:to>
    <xdr:sp macro="" textlink="">
      <xdr:nvSpPr>
        <xdr:cNvPr id="45" name="TextBox 44">
          <a:hlinkClick xmlns:r="http://schemas.openxmlformats.org/officeDocument/2006/relationships" r:id="rId8"/>
          <a:extLst>
            <a:ext uri="{FF2B5EF4-FFF2-40B4-BE49-F238E27FC236}">
              <a16:creationId xmlns:a16="http://schemas.microsoft.com/office/drawing/2014/main" id="{62B0565C-CAD8-411D-976E-BC0F1ABDF760}"/>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10</xdr:col>
      <xdr:colOff>160327</xdr:colOff>
      <xdr:row>1</xdr:row>
      <xdr:rowOff>19879</xdr:rowOff>
    </xdr:from>
    <xdr:to>
      <xdr:col>11</xdr:col>
      <xdr:colOff>380627</xdr:colOff>
      <xdr:row>3</xdr:row>
      <xdr:rowOff>10354</xdr:rowOff>
    </xdr:to>
    <xdr:sp macro="" textlink="">
      <xdr:nvSpPr>
        <xdr:cNvPr id="46" name="TextBox 45">
          <a:hlinkClick xmlns:r="http://schemas.openxmlformats.org/officeDocument/2006/relationships" r:id="rId9"/>
          <a:extLst>
            <a:ext uri="{FF2B5EF4-FFF2-40B4-BE49-F238E27FC236}">
              <a16:creationId xmlns:a16="http://schemas.microsoft.com/office/drawing/2014/main" id="{78B235BA-74AD-4E08-B5D9-E804F021FA20}"/>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11</xdr:col>
      <xdr:colOff>285034</xdr:colOff>
      <xdr:row>1</xdr:row>
      <xdr:rowOff>19879</xdr:rowOff>
    </xdr:from>
    <xdr:to>
      <xdr:col>12</xdr:col>
      <xdr:colOff>507792</xdr:colOff>
      <xdr:row>3</xdr:row>
      <xdr:rowOff>10354</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3D652B5F-A72B-4094-A3A3-738A003EB0FF}"/>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12</xdr:col>
      <xdr:colOff>410518</xdr:colOff>
      <xdr:row>1</xdr:row>
      <xdr:rowOff>19879</xdr:rowOff>
    </xdr:from>
    <xdr:to>
      <xdr:col>13</xdr:col>
      <xdr:colOff>633629</xdr:colOff>
      <xdr:row>3</xdr:row>
      <xdr:rowOff>10354</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B34FEDB6-4CA5-441E-A5B9-B0A049D6F518}"/>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13</xdr:col>
      <xdr:colOff>536355</xdr:colOff>
      <xdr:row>1</xdr:row>
      <xdr:rowOff>19879</xdr:rowOff>
    </xdr:from>
    <xdr:to>
      <xdr:col>15</xdr:col>
      <xdr:colOff>477671</xdr:colOff>
      <xdr:row>3</xdr:row>
      <xdr:rowOff>10354</xdr:rowOff>
    </xdr:to>
    <xdr:sp macro="" textlink="">
      <xdr:nvSpPr>
        <xdr:cNvPr id="49" name="TextBox 48">
          <a:hlinkClick xmlns:r="http://schemas.openxmlformats.org/officeDocument/2006/relationships" r:id="rId12"/>
          <a:extLst>
            <a:ext uri="{FF2B5EF4-FFF2-40B4-BE49-F238E27FC236}">
              <a16:creationId xmlns:a16="http://schemas.microsoft.com/office/drawing/2014/main" id="{AB80B540-DB95-4AAF-ACB0-ABA272E398BB}"/>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16</xdr:col>
      <xdr:colOff>500666</xdr:colOff>
      <xdr:row>1</xdr:row>
      <xdr:rowOff>19879</xdr:rowOff>
    </xdr:from>
    <xdr:to>
      <xdr:col>17</xdr:col>
      <xdr:colOff>721382</xdr:colOff>
      <xdr:row>3</xdr:row>
      <xdr:rowOff>10354</xdr:rowOff>
    </xdr:to>
    <xdr:sp macro="" textlink="">
      <xdr:nvSpPr>
        <xdr:cNvPr id="50" name="TextBox 49">
          <a:hlinkClick xmlns:r="http://schemas.openxmlformats.org/officeDocument/2006/relationships" r:id="rId13"/>
          <a:extLst>
            <a:ext uri="{FF2B5EF4-FFF2-40B4-BE49-F238E27FC236}">
              <a16:creationId xmlns:a16="http://schemas.microsoft.com/office/drawing/2014/main" id="{F19AAFDF-C056-44A7-8A04-A34B0C133950}"/>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17</xdr:col>
      <xdr:colOff>624108</xdr:colOff>
      <xdr:row>1</xdr:row>
      <xdr:rowOff>19879</xdr:rowOff>
    </xdr:from>
    <xdr:to>
      <xdr:col>19</xdr:col>
      <xdr:colOff>114411</xdr:colOff>
      <xdr:row>3</xdr:row>
      <xdr:rowOff>10354</xdr:rowOff>
    </xdr:to>
    <xdr:sp macro="" textlink="">
      <xdr:nvSpPr>
        <xdr:cNvPr id="51" name="TextBox 50">
          <a:hlinkClick xmlns:r="http://schemas.openxmlformats.org/officeDocument/2006/relationships" r:id="rId14"/>
          <a:extLst>
            <a:ext uri="{FF2B5EF4-FFF2-40B4-BE49-F238E27FC236}">
              <a16:creationId xmlns:a16="http://schemas.microsoft.com/office/drawing/2014/main" id="{DF35B489-5A58-4FDE-A7D3-7703A4ECE435}"/>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19</xdr:col>
      <xdr:colOff>17137</xdr:colOff>
      <xdr:row>1</xdr:row>
      <xdr:rowOff>19879</xdr:rowOff>
    </xdr:from>
    <xdr:to>
      <xdr:col>20</xdr:col>
      <xdr:colOff>86807</xdr:colOff>
      <xdr:row>3</xdr:row>
      <xdr:rowOff>10354</xdr:rowOff>
    </xdr:to>
    <xdr:sp macro="" textlink="">
      <xdr:nvSpPr>
        <xdr:cNvPr id="52" name="TextBox 51">
          <a:hlinkClick xmlns:r="http://schemas.openxmlformats.org/officeDocument/2006/relationships" r:id="rId15"/>
          <a:extLst>
            <a:ext uri="{FF2B5EF4-FFF2-40B4-BE49-F238E27FC236}">
              <a16:creationId xmlns:a16="http://schemas.microsoft.com/office/drawing/2014/main" id="{36E2A83A-BDFE-4800-9BA5-1B2B7A15868E}"/>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19</xdr:col>
      <xdr:colOff>875358</xdr:colOff>
      <xdr:row>1</xdr:row>
      <xdr:rowOff>19879</xdr:rowOff>
    </xdr:from>
    <xdr:to>
      <xdr:col>22</xdr:col>
      <xdr:colOff>91475</xdr:colOff>
      <xdr:row>3</xdr:row>
      <xdr:rowOff>10354</xdr:rowOff>
    </xdr:to>
    <xdr:sp macro="" textlink="">
      <xdr:nvSpPr>
        <xdr:cNvPr id="53" name="TextBox 52">
          <a:hlinkClick xmlns:r="http://schemas.openxmlformats.org/officeDocument/2006/relationships" r:id="rId16"/>
          <a:extLst>
            <a:ext uri="{FF2B5EF4-FFF2-40B4-BE49-F238E27FC236}">
              <a16:creationId xmlns:a16="http://schemas.microsoft.com/office/drawing/2014/main" id="{34408FD4-D917-4B66-9AE0-519E07F3BB58}"/>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Error</a:t>
          </a:r>
        </a:p>
      </xdr:txBody>
    </xdr:sp>
    <xdr:clientData/>
  </xdr:twoCellAnchor>
  <xdr:twoCellAnchor>
    <xdr:from>
      <xdr:col>21</xdr:col>
      <xdr:colOff>727637</xdr:colOff>
      <xdr:row>1</xdr:row>
      <xdr:rowOff>19879</xdr:rowOff>
    </xdr:from>
    <xdr:to>
      <xdr:col>23</xdr:col>
      <xdr:colOff>217552</xdr:colOff>
      <xdr:row>3</xdr:row>
      <xdr:rowOff>10354</xdr:rowOff>
    </xdr:to>
    <xdr:sp macro="" textlink="">
      <xdr:nvSpPr>
        <xdr:cNvPr id="54" name="TextBox 53">
          <a:hlinkClick xmlns:r="http://schemas.openxmlformats.org/officeDocument/2006/relationships" r:id="rId17"/>
          <a:extLst>
            <a:ext uri="{FF2B5EF4-FFF2-40B4-BE49-F238E27FC236}">
              <a16:creationId xmlns:a16="http://schemas.microsoft.com/office/drawing/2014/main" id="{7081A1CB-B9BD-4F04-A38D-F435B1BBF654}"/>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Inputs</a:t>
          </a:r>
        </a:p>
      </xdr:txBody>
    </xdr:sp>
    <xdr:clientData/>
  </xdr:twoCellAnchor>
  <xdr:twoCellAnchor>
    <xdr:from>
      <xdr:col>6</xdr:col>
      <xdr:colOff>99329</xdr:colOff>
      <xdr:row>1</xdr:row>
      <xdr:rowOff>103586</xdr:rowOff>
    </xdr:from>
    <xdr:to>
      <xdr:col>6</xdr:col>
      <xdr:colOff>99329</xdr:colOff>
      <xdr:row>2</xdr:row>
      <xdr:rowOff>117146</xdr:rowOff>
    </xdr:to>
    <xdr:cxnSp macro="">
      <xdr:nvCxnSpPr>
        <xdr:cNvPr id="55" name="Straight Connector 54">
          <a:extLst>
            <a:ext uri="{FF2B5EF4-FFF2-40B4-BE49-F238E27FC236}">
              <a16:creationId xmlns:a16="http://schemas.microsoft.com/office/drawing/2014/main" id="{B2C964CE-13FD-446A-8B57-18F17B645CC2}"/>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711089</xdr:colOff>
      <xdr:row>1</xdr:row>
      <xdr:rowOff>103586</xdr:rowOff>
    </xdr:from>
    <xdr:to>
      <xdr:col>4</xdr:col>
      <xdr:colOff>711089</xdr:colOff>
      <xdr:row>2</xdr:row>
      <xdr:rowOff>117146</xdr:rowOff>
    </xdr:to>
    <xdr:cxnSp macro="">
      <xdr:nvCxnSpPr>
        <xdr:cNvPr id="56" name="Straight Connector 55">
          <a:extLst>
            <a:ext uri="{FF2B5EF4-FFF2-40B4-BE49-F238E27FC236}">
              <a16:creationId xmlns:a16="http://schemas.microsoft.com/office/drawing/2014/main" id="{162DA624-A803-4147-A619-763D91683904}"/>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583365</xdr:colOff>
      <xdr:row>1</xdr:row>
      <xdr:rowOff>103586</xdr:rowOff>
    </xdr:from>
    <xdr:to>
      <xdr:col>3</xdr:col>
      <xdr:colOff>583365</xdr:colOff>
      <xdr:row>2</xdr:row>
      <xdr:rowOff>117146</xdr:rowOff>
    </xdr:to>
    <xdr:cxnSp macro="">
      <xdr:nvCxnSpPr>
        <xdr:cNvPr id="57" name="Straight Connector 56">
          <a:extLst>
            <a:ext uri="{FF2B5EF4-FFF2-40B4-BE49-F238E27FC236}">
              <a16:creationId xmlns:a16="http://schemas.microsoft.com/office/drawing/2014/main" id="{3DEC9F3F-DA3C-4A2A-9642-7B384794B6C5}"/>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227025</xdr:colOff>
      <xdr:row>1</xdr:row>
      <xdr:rowOff>103586</xdr:rowOff>
    </xdr:from>
    <xdr:to>
      <xdr:col>7</xdr:col>
      <xdr:colOff>227025</xdr:colOff>
      <xdr:row>2</xdr:row>
      <xdr:rowOff>117146</xdr:rowOff>
    </xdr:to>
    <xdr:cxnSp macro="">
      <xdr:nvCxnSpPr>
        <xdr:cNvPr id="58" name="Straight Connector 57">
          <a:extLst>
            <a:ext uri="{FF2B5EF4-FFF2-40B4-BE49-F238E27FC236}">
              <a16:creationId xmlns:a16="http://schemas.microsoft.com/office/drawing/2014/main" id="{A49099B9-B95E-421D-905E-3436F6C3CC83}"/>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82577</xdr:colOff>
      <xdr:row>1</xdr:row>
      <xdr:rowOff>103586</xdr:rowOff>
    </xdr:from>
    <xdr:to>
      <xdr:col>9</xdr:col>
      <xdr:colOff>82577</xdr:colOff>
      <xdr:row>2</xdr:row>
      <xdr:rowOff>117146</xdr:rowOff>
    </xdr:to>
    <xdr:cxnSp macro="">
      <xdr:nvCxnSpPr>
        <xdr:cNvPr id="59" name="Straight Connector 58">
          <a:extLst>
            <a:ext uri="{FF2B5EF4-FFF2-40B4-BE49-F238E27FC236}">
              <a16:creationId xmlns:a16="http://schemas.microsoft.com/office/drawing/2014/main" id="{CD201D65-CCF0-4C78-BE4A-3589A9FB39D3}"/>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207283</xdr:colOff>
      <xdr:row>1</xdr:row>
      <xdr:rowOff>103586</xdr:rowOff>
    </xdr:from>
    <xdr:to>
      <xdr:col>10</xdr:col>
      <xdr:colOff>207283</xdr:colOff>
      <xdr:row>2</xdr:row>
      <xdr:rowOff>117146</xdr:rowOff>
    </xdr:to>
    <xdr:cxnSp macro="">
      <xdr:nvCxnSpPr>
        <xdr:cNvPr id="60" name="Straight Connector 59">
          <a:extLst>
            <a:ext uri="{FF2B5EF4-FFF2-40B4-BE49-F238E27FC236}">
              <a16:creationId xmlns:a16="http://schemas.microsoft.com/office/drawing/2014/main" id="{DC020F3D-69B9-48BC-A5B6-41CECEAD17E4}"/>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333671</xdr:colOff>
      <xdr:row>1</xdr:row>
      <xdr:rowOff>103586</xdr:rowOff>
    </xdr:from>
    <xdr:to>
      <xdr:col>11</xdr:col>
      <xdr:colOff>333671</xdr:colOff>
      <xdr:row>2</xdr:row>
      <xdr:rowOff>117146</xdr:rowOff>
    </xdr:to>
    <xdr:cxnSp macro="">
      <xdr:nvCxnSpPr>
        <xdr:cNvPr id="61" name="Straight Connector 60">
          <a:extLst>
            <a:ext uri="{FF2B5EF4-FFF2-40B4-BE49-F238E27FC236}">
              <a16:creationId xmlns:a16="http://schemas.microsoft.com/office/drawing/2014/main" id="{B189BAB2-746F-4586-AD83-D9DDE8FA5EE8}"/>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459155</xdr:colOff>
      <xdr:row>1</xdr:row>
      <xdr:rowOff>103586</xdr:rowOff>
    </xdr:from>
    <xdr:to>
      <xdr:col>12</xdr:col>
      <xdr:colOff>459155</xdr:colOff>
      <xdr:row>2</xdr:row>
      <xdr:rowOff>117146</xdr:rowOff>
    </xdr:to>
    <xdr:cxnSp macro="">
      <xdr:nvCxnSpPr>
        <xdr:cNvPr id="62" name="Straight Connector 61">
          <a:extLst>
            <a:ext uri="{FF2B5EF4-FFF2-40B4-BE49-F238E27FC236}">
              <a16:creationId xmlns:a16="http://schemas.microsoft.com/office/drawing/2014/main" id="{8DCB3351-D591-4D5E-9CD1-59AFBF3BC64A}"/>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584992</xdr:colOff>
      <xdr:row>1</xdr:row>
      <xdr:rowOff>103586</xdr:rowOff>
    </xdr:from>
    <xdr:to>
      <xdr:col>13</xdr:col>
      <xdr:colOff>584992</xdr:colOff>
      <xdr:row>2</xdr:row>
      <xdr:rowOff>117146</xdr:rowOff>
    </xdr:to>
    <xdr:cxnSp macro="">
      <xdr:nvCxnSpPr>
        <xdr:cNvPr id="63" name="Straight Connector 62">
          <a:extLst>
            <a:ext uri="{FF2B5EF4-FFF2-40B4-BE49-F238E27FC236}">
              <a16:creationId xmlns:a16="http://schemas.microsoft.com/office/drawing/2014/main" id="{EF9BE06C-BB4C-4A6B-8823-F48D170FF35D}"/>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549303</xdr:colOff>
      <xdr:row>1</xdr:row>
      <xdr:rowOff>103586</xdr:rowOff>
    </xdr:from>
    <xdr:to>
      <xdr:col>16</xdr:col>
      <xdr:colOff>549303</xdr:colOff>
      <xdr:row>2</xdr:row>
      <xdr:rowOff>117146</xdr:rowOff>
    </xdr:to>
    <xdr:cxnSp macro="">
      <xdr:nvCxnSpPr>
        <xdr:cNvPr id="64" name="Straight Connector 63">
          <a:extLst>
            <a:ext uri="{FF2B5EF4-FFF2-40B4-BE49-F238E27FC236}">
              <a16:creationId xmlns:a16="http://schemas.microsoft.com/office/drawing/2014/main" id="{ECDB7F55-0680-4DE6-A6B1-8C08FF352297}"/>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672745</xdr:colOff>
      <xdr:row>1</xdr:row>
      <xdr:rowOff>103586</xdr:rowOff>
    </xdr:from>
    <xdr:to>
      <xdr:col>17</xdr:col>
      <xdr:colOff>672745</xdr:colOff>
      <xdr:row>2</xdr:row>
      <xdr:rowOff>117146</xdr:rowOff>
    </xdr:to>
    <xdr:cxnSp macro="">
      <xdr:nvCxnSpPr>
        <xdr:cNvPr id="65" name="Straight Connector 64">
          <a:extLst>
            <a:ext uri="{FF2B5EF4-FFF2-40B4-BE49-F238E27FC236}">
              <a16:creationId xmlns:a16="http://schemas.microsoft.com/office/drawing/2014/main" id="{3BEA882C-E3ED-4675-AC5F-6BE5F0B1B8B1}"/>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65774</xdr:colOff>
      <xdr:row>1</xdr:row>
      <xdr:rowOff>103586</xdr:rowOff>
    </xdr:from>
    <xdr:to>
      <xdr:col>19</xdr:col>
      <xdr:colOff>65774</xdr:colOff>
      <xdr:row>2</xdr:row>
      <xdr:rowOff>117146</xdr:rowOff>
    </xdr:to>
    <xdr:cxnSp macro="">
      <xdr:nvCxnSpPr>
        <xdr:cNvPr id="66" name="Straight Connector 65">
          <a:extLst>
            <a:ext uri="{FF2B5EF4-FFF2-40B4-BE49-F238E27FC236}">
              <a16:creationId xmlns:a16="http://schemas.microsoft.com/office/drawing/2014/main" id="{BDB68D7E-6B22-404A-858C-B4231AF22732}"/>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38170</xdr:colOff>
      <xdr:row>1</xdr:row>
      <xdr:rowOff>103586</xdr:rowOff>
    </xdr:from>
    <xdr:to>
      <xdr:col>20</xdr:col>
      <xdr:colOff>38170</xdr:colOff>
      <xdr:row>2</xdr:row>
      <xdr:rowOff>117146</xdr:rowOff>
    </xdr:to>
    <xdr:cxnSp macro="">
      <xdr:nvCxnSpPr>
        <xdr:cNvPr id="67" name="Straight Connector 66">
          <a:extLst>
            <a:ext uri="{FF2B5EF4-FFF2-40B4-BE49-F238E27FC236}">
              <a16:creationId xmlns:a16="http://schemas.microsoft.com/office/drawing/2014/main" id="{210FBF48-1254-4D37-B168-B739382B949F}"/>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42838</xdr:colOff>
      <xdr:row>1</xdr:row>
      <xdr:rowOff>103586</xdr:rowOff>
    </xdr:from>
    <xdr:to>
      <xdr:col>22</xdr:col>
      <xdr:colOff>42838</xdr:colOff>
      <xdr:row>2</xdr:row>
      <xdr:rowOff>117146</xdr:rowOff>
    </xdr:to>
    <xdr:cxnSp macro="">
      <xdr:nvCxnSpPr>
        <xdr:cNvPr id="68" name="Straight Connector 67">
          <a:extLst>
            <a:ext uri="{FF2B5EF4-FFF2-40B4-BE49-F238E27FC236}">
              <a16:creationId xmlns:a16="http://schemas.microsoft.com/office/drawing/2014/main" id="{43960165-9582-4219-B1BA-D0D12B1E9972}"/>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429034</xdr:colOff>
      <xdr:row>1</xdr:row>
      <xdr:rowOff>103586</xdr:rowOff>
    </xdr:from>
    <xdr:to>
      <xdr:col>15</xdr:col>
      <xdr:colOff>429034</xdr:colOff>
      <xdr:row>2</xdr:row>
      <xdr:rowOff>117146</xdr:rowOff>
    </xdr:to>
    <xdr:cxnSp macro="">
      <xdr:nvCxnSpPr>
        <xdr:cNvPr id="69" name="Straight Connector 68">
          <a:extLst>
            <a:ext uri="{FF2B5EF4-FFF2-40B4-BE49-F238E27FC236}">
              <a16:creationId xmlns:a16="http://schemas.microsoft.com/office/drawing/2014/main" id="{A71C8ECE-4E92-4B3F-9CEC-C15D1074BCDB}"/>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19052</xdr:colOff>
      <xdr:row>31</xdr:row>
      <xdr:rowOff>95251</xdr:rowOff>
    </xdr:from>
    <xdr:to>
      <xdr:col>9</xdr:col>
      <xdr:colOff>571501</xdr:colOff>
      <xdr:row>54</xdr:row>
      <xdr:rowOff>17318</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573727</xdr:colOff>
      <xdr:row>31</xdr:row>
      <xdr:rowOff>55914</xdr:rowOff>
    </xdr:from>
    <xdr:to>
      <xdr:col>20</xdr:col>
      <xdr:colOff>612321</xdr:colOff>
      <xdr:row>55</xdr:row>
      <xdr:rowOff>0</xdr:rowOff>
    </xdr:to>
    <xdr:graphicFrame macro="">
      <xdr:nvGraphicFramePr>
        <xdr:cNvPr id="6" name="Chart 5">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60</xdr:col>
      <xdr:colOff>246661</xdr:colOff>
      <xdr:row>4</xdr:row>
      <xdr:rowOff>0</xdr:rowOff>
    </xdr:to>
    <xdr:sp macro="" textlink="">
      <xdr:nvSpPr>
        <xdr:cNvPr id="10" name="Rectangle 9">
          <a:extLst>
            <a:ext uri="{FF2B5EF4-FFF2-40B4-BE49-F238E27FC236}">
              <a16:creationId xmlns:a16="http://schemas.microsoft.com/office/drawing/2014/main" id="{7C9913F1-010A-47AE-A547-3D154E0FE750}"/>
            </a:ext>
          </a:extLst>
        </xdr:cNvPr>
        <xdr:cNvSpPr/>
      </xdr:nvSpPr>
      <xdr:spPr>
        <a:xfrm>
          <a:off x="0" y="0"/>
          <a:ext cx="43109161" cy="762000"/>
        </a:xfrm>
        <a:prstGeom prst="rect">
          <a:avLst/>
        </a:prstGeom>
        <a:gradFill flip="none" rotWithShape="1">
          <a:gsLst>
            <a:gs pos="0">
              <a:srgbClr val="7B1314">
                <a:shade val="30000"/>
                <a:satMod val="115000"/>
              </a:srgbClr>
            </a:gs>
            <a:gs pos="50000">
              <a:srgbClr val="7B1314">
                <a:shade val="67500"/>
                <a:satMod val="115000"/>
              </a:srgbClr>
            </a:gs>
            <a:gs pos="100000">
              <a:srgbClr val="7B131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294112</xdr:colOff>
      <xdr:row>1</xdr:row>
      <xdr:rowOff>19879</xdr:rowOff>
    </xdr:from>
    <xdr:to>
      <xdr:col>17</xdr:col>
      <xdr:colOff>561521</xdr:colOff>
      <xdr:row>3</xdr:row>
      <xdr:rowOff>10354</xdr:rowOff>
    </xdr:to>
    <xdr:sp macro="" textlink="">
      <xdr:nvSpPr>
        <xdr:cNvPr id="41" name="TextBox 40">
          <a:hlinkClick xmlns:r="http://schemas.openxmlformats.org/officeDocument/2006/relationships" r:id="rId3"/>
          <a:extLst>
            <a:ext uri="{FF2B5EF4-FFF2-40B4-BE49-F238E27FC236}">
              <a16:creationId xmlns:a16="http://schemas.microsoft.com/office/drawing/2014/main" id="{3ABE8BCA-9390-45FA-AE69-5DC04FA493BB}"/>
            </a:ext>
          </a:extLst>
        </xdr:cNvPr>
        <xdr:cNvSpPr txBox="1"/>
      </xdr:nvSpPr>
      <xdr:spPr>
        <a:xfrm>
          <a:off x="12553347" y="210379"/>
          <a:ext cx="95096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Sensitivity</a:t>
          </a:r>
        </a:p>
      </xdr:txBody>
    </xdr:sp>
    <xdr:clientData/>
  </xdr:twoCellAnchor>
  <xdr:oneCellAnchor>
    <xdr:from>
      <xdr:col>0</xdr:col>
      <xdr:colOff>104775</xdr:colOff>
      <xdr:row>0</xdr:row>
      <xdr:rowOff>57150</xdr:rowOff>
    </xdr:from>
    <xdr:ext cx="1274246" cy="671785"/>
    <xdr:pic>
      <xdr:nvPicPr>
        <xdr:cNvPr id="42" name="Picture 41">
          <a:extLst>
            <a:ext uri="{FF2B5EF4-FFF2-40B4-BE49-F238E27FC236}">
              <a16:creationId xmlns:a16="http://schemas.microsoft.com/office/drawing/2014/main" id="{12BE76A5-CCA6-438D-8F9A-F6B49B40E4C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9802" b="16831"/>
        <a:stretch>
          <a:fillRect/>
        </a:stretch>
      </xdr:blipFill>
      <xdr:spPr>
        <a:xfrm>
          <a:off x="104775" y="57150"/>
          <a:ext cx="1274246" cy="671785"/>
        </a:xfrm>
        <a:prstGeom prst="rect">
          <a:avLst/>
        </a:prstGeom>
      </xdr:spPr>
    </xdr:pic>
    <xdr:clientData/>
  </xdr:oneCellAnchor>
  <xdr:twoCellAnchor>
    <xdr:from>
      <xdr:col>2</xdr:col>
      <xdr:colOff>327933</xdr:colOff>
      <xdr:row>1</xdr:row>
      <xdr:rowOff>28201</xdr:rowOff>
    </xdr:from>
    <xdr:to>
      <xdr:col>2</xdr:col>
      <xdr:colOff>327933</xdr:colOff>
      <xdr:row>2</xdr:row>
      <xdr:rowOff>138545</xdr:rowOff>
    </xdr:to>
    <xdr:cxnSp macro="">
      <xdr:nvCxnSpPr>
        <xdr:cNvPr id="44" name="Straight Connector 43">
          <a:extLst>
            <a:ext uri="{FF2B5EF4-FFF2-40B4-BE49-F238E27FC236}">
              <a16:creationId xmlns:a16="http://schemas.microsoft.com/office/drawing/2014/main" id="{741B9616-ED1E-475E-88F6-07100110BE19}"/>
            </a:ext>
          </a:extLst>
        </xdr:cNvPr>
        <xdr:cNvCxnSpPr/>
      </xdr:nvCxnSpPr>
      <xdr:spPr>
        <a:xfrm>
          <a:off x="1459727" y="218701"/>
          <a:ext cx="0" cy="30084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41666</xdr:colOff>
      <xdr:row>1</xdr:row>
      <xdr:rowOff>19879</xdr:rowOff>
    </xdr:from>
    <xdr:to>
      <xdr:col>6</xdr:col>
      <xdr:colOff>88517</xdr:colOff>
      <xdr:row>3</xdr:row>
      <xdr:rowOff>10354</xdr:rowOff>
    </xdr:to>
    <xdr:sp macro="" textlink="">
      <xdr:nvSpPr>
        <xdr:cNvPr id="45" name="TextBox 44">
          <a:hlinkClick xmlns:r="http://schemas.openxmlformats.org/officeDocument/2006/relationships" r:id="rId5"/>
          <a:extLst>
            <a:ext uri="{FF2B5EF4-FFF2-40B4-BE49-F238E27FC236}">
              <a16:creationId xmlns:a16="http://schemas.microsoft.com/office/drawing/2014/main" id="{78235B36-5E3F-42F1-A0CD-0713AAAB6DD7}"/>
            </a:ext>
          </a:extLst>
        </xdr:cNvPr>
        <xdr:cNvSpPr txBox="1"/>
      </xdr:nvSpPr>
      <xdr:spPr>
        <a:xfrm>
          <a:off x="3963725" y="210379"/>
          <a:ext cx="95452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Dashboard</a:t>
          </a:r>
        </a:p>
      </xdr:txBody>
    </xdr:sp>
    <xdr:clientData/>
  </xdr:twoCellAnchor>
  <xdr:twoCellAnchor>
    <xdr:from>
      <xdr:col>5</xdr:col>
      <xdr:colOff>898919</xdr:colOff>
      <xdr:row>1</xdr:row>
      <xdr:rowOff>19879</xdr:rowOff>
    </xdr:from>
    <xdr:to>
      <xdr:col>7</xdr:col>
      <xdr:colOff>266107</xdr:colOff>
      <xdr:row>3</xdr:row>
      <xdr:rowOff>10354</xdr:rowOff>
    </xdr:to>
    <xdr:sp macro="" textlink="">
      <xdr:nvSpPr>
        <xdr:cNvPr id="46" name="TextBox 45">
          <a:hlinkClick xmlns:r="http://schemas.openxmlformats.org/officeDocument/2006/relationships" r:id="rId6"/>
          <a:extLst>
            <a:ext uri="{FF2B5EF4-FFF2-40B4-BE49-F238E27FC236}">
              <a16:creationId xmlns:a16="http://schemas.microsoft.com/office/drawing/2014/main" id="{2342C6E0-CB2F-4779-8342-8451590C7813}"/>
            </a:ext>
          </a:extLst>
        </xdr:cNvPr>
        <xdr:cNvSpPr txBox="1"/>
      </xdr:nvSpPr>
      <xdr:spPr>
        <a:xfrm>
          <a:off x="4820978" y="210379"/>
          <a:ext cx="95842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Key Info</a:t>
          </a:r>
        </a:p>
      </xdr:txBody>
    </xdr:sp>
    <xdr:clientData/>
  </xdr:twoCellAnchor>
  <xdr:twoCellAnchor>
    <xdr:from>
      <xdr:col>7</xdr:col>
      <xdr:colOff>168833</xdr:colOff>
      <xdr:row>1</xdr:row>
      <xdr:rowOff>19879</xdr:rowOff>
    </xdr:from>
    <xdr:to>
      <xdr:col>8</xdr:col>
      <xdr:colOff>437638</xdr:colOff>
      <xdr:row>3</xdr:row>
      <xdr:rowOff>10354</xdr:rowOff>
    </xdr:to>
    <xdr:sp macro="" textlink="">
      <xdr:nvSpPr>
        <xdr:cNvPr id="47" name="TextBox 46">
          <a:hlinkClick xmlns:r="http://schemas.openxmlformats.org/officeDocument/2006/relationships" r:id="rId7"/>
          <a:extLst>
            <a:ext uri="{FF2B5EF4-FFF2-40B4-BE49-F238E27FC236}">
              <a16:creationId xmlns:a16="http://schemas.microsoft.com/office/drawing/2014/main" id="{EF70F8E7-67BE-4D39-8D60-B98742817C94}"/>
            </a:ext>
          </a:extLst>
        </xdr:cNvPr>
        <xdr:cNvSpPr txBox="1"/>
      </xdr:nvSpPr>
      <xdr:spPr>
        <a:xfrm>
          <a:off x="5682127" y="210379"/>
          <a:ext cx="95236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Industry</a:t>
          </a:r>
        </a:p>
      </xdr:txBody>
    </xdr:sp>
    <xdr:clientData/>
  </xdr:twoCellAnchor>
  <xdr:twoCellAnchor>
    <xdr:from>
      <xdr:col>8</xdr:col>
      <xdr:colOff>340364</xdr:colOff>
      <xdr:row>1</xdr:row>
      <xdr:rowOff>19879</xdr:rowOff>
    </xdr:from>
    <xdr:to>
      <xdr:col>9</xdr:col>
      <xdr:colOff>615200</xdr:colOff>
      <xdr:row>3</xdr:row>
      <xdr:rowOff>10354</xdr:rowOff>
    </xdr:to>
    <xdr:sp macro="" textlink="">
      <xdr:nvSpPr>
        <xdr:cNvPr id="48" name="TextBox 47">
          <a:hlinkClick xmlns:r="http://schemas.openxmlformats.org/officeDocument/2006/relationships" r:id="rId8"/>
          <a:extLst>
            <a:ext uri="{FF2B5EF4-FFF2-40B4-BE49-F238E27FC236}">
              <a16:creationId xmlns:a16="http://schemas.microsoft.com/office/drawing/2014/main" id="{F148E187-7362-4A41-9BE2-625254BB32D9}"/>
            </a:ext>
          </a:extLst>
        </xdr:cNvPr>
        <xdr:cNvSpPr txBox="1"/>
      </xdr:nvSpPr>
      <xdr:spPr>
        <a:xfrm>
          <a:off x="6537217" y="210379"/>
          <a:ext cx="9583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ESG</a:t>
          </a:r>
        </a:p>
      </xdr:txBody>
    </xdr:sp>
    <xdr:clientData/>
  </xdr:twoCellAnchor>
  <xdr:twoCellAnchor>
    <xdr:from>
      <xdr:col>9</xdr:col>
      <xdr:colOff>517926</xdr:colOff>
      <xdr:row>1</xdr:row>
      <xdr:rowOff>19879</xdr:rowOff>
    </xdr:from>
    <xdr:to>
      <xdr:col>11</xdr:col>
      <xdr:colOff>1226</xdr:colOff>
      <xdr:row>3</xdr:row>
      <xdr:rowOff>10354</xdr:rowOff>
    </xdr:to>
    <xdr:sp macro="" textlink="">
      <xdr:nvSpPr>
        <xdr:cNvPr id="49" name="TextBox 48">
          <a:hlinkClick xmlns:r="http://schemas.openxmlformats.org/officeDocument/2006/relationships" r:id="rId9"/>
          <a:extLst>
            <a:ext uri="{FF2B5EF4-FFF2-40B4-BE49-F238E27FC236}">
              <a16:creationId xmlns:a16="http://schemas.microsoft.com/office/drawing/2014/main" id="{A9D68951-01A8-4743-92F6-C83DDBB349A0}"/>
            </a:ext>
          </a:extLst>
        </xdr:cNvPr>
        <xdr:cNvSpPr txBox="1"/>
      </xdr:nvSpPr>
      <xdr:spPr>
        <a:xfrm>
          <a:off x="7398338" y="210379"/>
          <a:ext cx="96247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Segments</a:t>
          </a:r>
        </a:p>
      </xdr:txBody>
    </xdr:sp>
    <xdr:clientData/>
  </xdr:twoCellAnchor>
  <xdr:twoCellAnchor>
    <xdr:from>
      <xdr:col>10</xdr:col>
      <xdr:colOff>587511</xdr:colOff>
      <xdr:row>1</xdr:row>
      <xdr:rowOff>19879</xdr:rowOff>
    </xdr:from>
    <xdr:to>
      <xdr:col>11</xdr:col>
      <xdr:colOff>859357</xdr:colOff>
      <xdr:row>3</xdr:row>
      <xdr:rowOff>10354</xdr:rowOff>
    </xdr:to>
    <xdr:sp macro="" textlink="">
      <xdr:nvSpPr>
        <xdr:cNvPr id="50" name="TextBox 49">
          <a:hlinkClick xmlns:r="http://schemas.openxmlformats.org/officeDocument/2006/relationships" r:id="rId10"/>
          <a:extLst>
            <a:ext uri="{FF2B5EF4-FFF2-40B4-BE49-F238E27FC236}">
              <a16:creationId xmlns:a16="http://schemas.microsoft.com/office/drawing/2014/main" id="{80750200-4D4E-49EA-97D5-CACB5BE99596}"/>
            </a:ext>
          </a:extLst>
        </xdr:cNvPr>
        <xdr:cNvSpPr txBox="1"/>
      </xdr:nvSpPr>
      <xdr:spPr>
        <a:xfrm>
          <a:off x="8263540" y="210379"/>
          <a:ext cx="95540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Peers</a:t>
          </a:r>
        </a:p>
      </xdr:txBody>
    </xdr:sp>
    <xdr:clientData/>
  </xdr:twoCellAnchor>
  <xdr:twoCellAnchor>
    <xdr:from>
      <xdr:col>11</xdr:col>
      <xdr:colOff>763764</xdr:colOff>
      <xdr:row>1</xdr:row>
      <xdr:rowOff>19879</xdr:rowOff>
    </xdr:from>
    <xdr:to>
      <xdr:col>12</xdr:col>
      <xdr:colOff>652930</xdr:colOff>
      <xdr:row>3</xdr:row>
      <xdr:rowOff>10354</xdr:rowOff>
    </xdr:to>
    <xdr:sp macro="" textlink="">
      <xdr:nvSpPr>
        <xdr:cNvPr id="51" name="TextBox 50">
          <a:hlinkClick xmlns:r="http://schemas.openxmlformats.org/officeDocument/2006/relationships" r:id="rId11"/>
          <a:extLst>
            <a:ext uri="{FF2B5EF4-FFF2-40B4-BE49-F238E27FC236}">
              <a16:creationId xmlns:a16="http://schemas.microsoft.com/office/drawing/2014/main" id="{279E679E-FDF9-49A3-A973-53D9C26DB34E}"/>
            </a:ext>
          </a:extLst>
        </xdr:cNvPr>
        <xdr:cNvSpPr txBox="1"/>
      </xdr:nvSpPr>
      <xdr:spPr>
        <a:xfrm>
          <a:off x="9123352" y="210379"/>
          <a:ext cx="953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Comps</a:t>
          </a:r>
        </a:p>
      </xdr:txBody>
    </xdr:sp>
    <xdr:clientData/>
  </xdr:twoCellAnchor>
  <xdr:twoCellAnchor>
    <xdr:from>
      <xdr:col>12</xdr:col>
      <xdr:colOff>557337</xdr:colOff>
      <xdr:row>1</xdr:row>
      <xdr:rowOff>19879</xdr:rowOff>
    </xdr:from>
    <xdr:to>
      <xdr:col>14</xdr:col>
      <xdr:colOff>146402</xdr:colOff>
      <xdr:row>3</xdr:row>
      <xdr:rowOff>10354</xdr:rowOff>
    </xdr:to>
    <xdr:sp macro="" textlink="">
      <xdr:nvSpPr>
        <xdr:cNvPr id="52" name="TextBox 51">
          <a:hlinkClick xmlns:r="http://schemas.openxmlformats.org/officeDocument/2006/relationships" r:id="rId12"/>
          <a:extLst>
            <a:ext uri="{FF2B5EF4-FFF2-40B4-BE49-F238E27FC236}">
              <a16:creationId xmlns:a16="http://schemas.microsoft.com/office/drawing/2014/main" id="{F6C634CE-3BC7-4362-A45D-62F40DCA44F3}"/>
            </a:ext>
          </a:extLst>
        </xdr:cNvPr>
        <xdr:cNvSpPr txBox="1"/>
      </xdr:nvSpPr>
      <xdr:spPr>
        <a:xfrm>
          <a:off x="9981484" y="210379"/>
          <a:ext cx="95618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WACC</a:t>
          </a:r>
        </a:p>
      </xdr:txBody>
    </xdr:sp>
    <xdr:clientData/>
  </xdr:twoCellAnchor>
  <xdr:twoCellAnchor>
    <xdr:from>
      <xdr:col>14</xdr:col>
      <xdr:colOff>49128</xdr:colOff>
      <xdr:row>1</xdr:row>
      <xdr:rowOff>19879</xdr:rowOff>
    </xdr:from>
    <xdr:to>
      <xdr:col>15</xdr:col>
      <xdr:colOff>322105</xdr:colOff>
      <xdr:row>3</xdr:row>
      <xdr:rowOff>10354</xdr:rowOff>
    </xdr:to>
    <xdr:sp macro="" textlink="">
      <xdr:nvSpPr>
        <xdr:cNvPr id="53" name="TextBox 52">
          <a:hlinkClick xmlns:r="http://schemas.openxmlformats.org/officeDocument/2006/relationships" r:id="rId13"/>
          <a:extLst>
            <a:ext uri="{FF2B5EF4-FFF2-40B4-BE49-F238E27FC236}">
              <a16:creationId xmlns:a16="http://schemas.microsoft.com/office/drawing/2014/main" id="{0E55AFA2-42E5-4CBD-945B-C3F29D30F656}"/>
            </a:ext>
          </a:extLst>
        </xdr:cNvPr>
        <xdr:cNvSpPr txBox="1"/>
      </xdr:nvSpPr>
      <xdr:spPr>
        <a:xfrm>
          <a:off x="10840393" y="210379"/>
          <a:ext cx="95653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FCFF</a:t>
          </a:r>
        </a:p>
      </xdr:txBody>
    </xdr:sp>
    <xdr:clientData/>
  </xdr:twoCellAnchor>
  <xdr:twoCellAnchor>
    <xdr:from>
      <xdr:col>15</xdr:col>
      <xdr:colOff>224831</xdr:colOff>
      <xdr:row>1</xdr:row>
      <xdr:rowOff>19879</xdr:rowOff>
    </xdr:from>
    <xdr:to>
      <xdr:col>16</xdr:col>
      <xdr:colOff>391386</xdr:colOff>
      <xdr:row>3</xdr:row>
      <xdr:rowOff>10354</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2AE7C89B-A18E-4FB1-872B-91D333FCF78C}"/>
            </a:ext>
          </a:extLst>
        </xdr:cNvPr>
        <xdr:cNvSpPr txBox="1"/>
      </xdr:nvSpPr>
      <xdr:spPr>
        <a:xfrm>
          <a:off x="11699655" y="210379"/>
          <a:ext cx="950966"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LBO</a:t>
          </a:r>
        </a:p>
      </xdr:txBody>
    </xdr:sp>
    <xdr:clientData/>
  </xdr:twoCellAnchor>
  <xdr:twoCellAnchor>
    <xdr:from>
      <xdr:col>17</xdr:col>
      <xdr:colOff>464247</xdr:colOff>
      <xdr:row>1</xdr:row>
      <xdr:rowOff>19879</xdr:rowOff>
    </xdr:from>
    <xdr:to>
      <xdr:col>18</xdr:col>
      <xdr:colOff>465888</xdr:colOff>
      <xdr:row>3</xdr:row>
      <xdr:rowOff>10354</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4AAA3A89-5E9B-4F0B-BF2D-1876354A3186}"/>
            </a:ext>
          </a:extLst>
        </xdr:cNvPr>
        <xdr:cNvSpPr txBox="1"/>
      </xdr:nvSpPr>
      <xdr:spPr>
        <a:xfrm>
          <a:off x="13407041" y="210379"/>
          <a:ext cx="95414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IS</a:t>
          </a:r>
        </a:p>
      </xdr:txBody>
    </xdr:sp>
    <xdr:clientData/>
  </xdr:twoCellAnchor>
  <xdr:twoCellAnchor>
    <xdr:from>
      <xdr:col>18</xdr:col>
      <xdr:colOff>368614</xdr:colOff>
      <xdr:row>1</xdr:row>
      <xdr:rowOff>19879</xdr:rowOff>
    </xdr:from>
    <xdr:to>
      <xdr:col>19</xdr:col>
      <xdr:colOff>642208</xdr:colOff>
      <xdr:row>3</xdr:row>
      <xdr:rowOff>10354</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4A24A7BC-59FE-4C84-9C1E-7C00DA098F1B}"/>
            </a:ext>
          </a:extLst>
        </xdr:cNvPr>
        <xdr:cNvSpPr txBox="1"/>
      </xdr:nvSpPr>
      <xdr:spPr>
        <a:xfrm>
          <a:off x="14263908" y="210379"/>
          <a:ext cx="95715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BS</a:t>
          </a:r>
        </a:p>
      </xdr:txBody>
    </xdr:sp>
    <xdr:clientData/>
  </xdr:twoCellAnchor>
  <xdr:twoCellAnchor>
    <xdr:from>
      <xdr:col>19</xdr:col>
      <xdr:colOff>544934</xdr:colOff>
      <xdr:row>1</xdr:row>
      <xdr:rowOff>19879</xdr:rowOff>
    </xdr:from>
    <xdr:to>
      <xdr:col>20</xdr:col>
      <xdr:colOff>816870</xdr:colOff>
      <xdr:row>3</xdr:row>
      <xdr:rowOff>10354</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E93E99D1-224F-4FC2-8CBD-EFBDFFD1F839}"/>
            </a:ext>
          </a:extLst>
        </xdr:cNvPr>
        <xdr:cNvSpPr txBox="1"/>
      </xdr:nvSpPr>
      <xdr:spPr>
        <a:xfrm>
          <a:off x="15123787" y="210379"/>
          <a:ext cx="95549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u="none">
              <a:solidFill>
                <a:schemeClr val="bg1"/>
              </a:solidFill>
              <a:latin typeface="Arial Nova" panose="020B0504020202020204" pitchFamily="34" charset="0"/>
            </a:rPr>
            <a:t>CF</a:t>
          </a:r>
        </a:p>
      </xdr:txBody>
    </xdr:sp>
    <xdr:clientData/>
  </xdr:twoCellAnchor>
  <xdr:twoCellAnchor>
    <xdr:from>
      <xdr:col>20</xdr:col>
      <xdr:colOff>719596</xdr:colOff>
      <xdr:row>1</xdr:row>
      <xdr:rowOff>19879</xdr:rowOff>
    </xdr:from>
    <xdr:to>
      <xdr:col>22</xdr:col>
      <xdr:colOff>53935</xdr:colOff>
      <xdr:row>3</xdr:row>
      <xdr:rowOff>10354</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9298A526-51FA-4990-930E-8E5C471CDEB1}"/>
            </a:ext>
          </a:extLst>
        </xdr:cNvPr>
        <xdr:cNvSpPr txBox="1"/>
      </xdr:nvSpPr>
      <xdr:spPr>
        <a:xfrm>
          <a:off x="15982008" y="210379"/>
          <a:ext cx="95919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Nova" panose="020B0504020202020204" pitchFamily="34" charset="0"/>
            </a:rPr>
            <a:t>Error</a:t>
          </a:r>
        </a:p>
      </xdr:txBody>
    </xdr:sp>
    <xdr:clientData/>
  </xdr:twoCellAnchor>
  <xdr:twoCellAnchor>
    <xdr:from>
      <xdr:col>21</xdr:col>
      <xdr:colOff>640231</xdr:colOff>
      <xdr:row>1</xdr:row>
      <xdr:rowOff>19879</xdr:rowOff>
    </xdr:from>
    <xdr:to>
      <xdr:col>23</xdr:col>
      <xdr:colOff>229878</xdr:colOff>
      <xdr:row>3</xdr:row>
      <xdr:rowOff>10354</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CAD256AA-1D63-48C5-97BB-2FFDE6EAD89E}"/>
            </a:ext>
          </a:extLst>
        </xdr:cNvPr>
        <xdr:cNvSpPr txBox="1"/>
      </xdr:nvSpPr>
      <xdr:spPr>
        <a:xfrm>
          <a:off x="16843937" y="210379"/>
          <a:ext cx="95676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latin typeface="Arial Nova" panose="020B0504020202020204" pitchFamily="34" charset="0"/>
            </a:rPr>
            <a:t>Inputs</a:t>
          </a:r>
        </a:p>
      </xdr:txBody>
    </xdr:sp>
    <xdr:clientData/>
  </xdr:twoCellAnchor>
  <xdr:twoCellAnchor>
    <xdr:from>
      <xdr:col>8</xdr:col>
      <xdr:colOff>389001</xdr:colOff>
      <xdr:row>1</xdr:row>
      <xdr:rowOff>103586</xdr:rowOff>
    </xdr:from>
    <xdr:to>
      <xdr:col>8</xdr:col>
      <xdr:colOff>389001</xdr:colOff>
      <xdr:row>2</xdr:row>
      <xdr:rowOff>117146</xdr:rowOff>
    </xdr:to>
    <xdr:cxnSp macro="">
      <xdr:nvCxnSpPr>
        <xdr:cNvPr id="60" name="Straight Connector 59">
          <a:extLst>
            <a:ext uri="{FF2B5EF4-FFF2-40B4-BE49-F238E27FC236}">
              <a16:creationId xmlns:a16="http://schemas.microsoft.com/office/drawing/2014/main" id="{A2C93B85-1579-4F52-B82F-2755E566F33F}"/>
            </a:ext>
          </a:extLst>
        </xdr:cNvPr>
        <xdr:cNvCxnSpPr/>
      </xdr:nvCxnSpPr>
      <xdr:spPr>
        <a:xfrm>
          <a:off x="658585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217470</xdr:colOff>
      <xdr:row>1</xdr:row>
      <xdr:rowOff>103586</xdr:rowOff>
    </xdr:from>
    <xdr:to>
      <xdr:col>7</xdr:col>
      <xdr:colOff>217470</xdr:colOff>
      <xdr:row>2</xdr:row>
      <xdr:rowOff>117146</xdr:rowOff>
    </xdr:to>
    <xdr:cxnSp macro="">
      <xdr:nvCxnSpPr>
        <xdr:cNvPr id="61" name="Straight Connector 60">
          <a:extLst>
            <a:ext uri="{FF2B5EF4-FFF2-40B4-BE49-F238E27FC236}">
              <a16:creationId xmlns:a16="http://schemas.microsoft.com/office/drawing/2014/main" id="{C11CFDCC-2679-4DC6-946E-CF05C647D301}"/>
            </a:ext>
          </a:extLst>
        </xdr:cNvPr>
        <xdr:cNvCxnSpPr/>
      </xdr:nvCxnSpPr>
      <xdr:spPr>
        <a:xfrm>
          <a:off x="573076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39880</xdr:colOff>
      <xdr:row>1</xdr:row>
      <xdr:rowOff>103586</xdr:rowOff>
    </xdr:from>
    <xdr:to>
      <xdr:col>6</xdr:col>
      <xdr:colOff>39880</xdr:colOff>
      <xdr:row>2</xdr:row>
      <xdr:rowOff>117146</xdr:rowOff>
    </xdr:to>
    <xdr:cxnSp macro="">
      <xdr:nvCxnSpPr>
        <xdr:cNvPr id="62" name="Straight Connector 61">
          <a:extLst>
            <a:ext uri="{FF2B5EF4-FFF2-40B4-BE49-F238E27FC236}">
              <a16:creationId xmlns:a16="http://schemas.microsoft.com/office/drawing/2014/main" id="{1EAC440B-0BD3-456F-A7A0-B58A2025463F}"/>
            </a:ext>
          </a:extLst>
        </xdr:cNvPr>
        <xdr:cNvCxnSpPr/>
      </xdr:nvCxnSpPr>
      <xdr:spPr>
        <a:xfrm>
          <a:off x="486961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566563</xdr:colOff>
      <xdr:row>1</xdr:row>
      <xdr:rowOff>103586</xdr:rowOff>
    </xdr:from>
    <xdr:to>
      <xdr:col>9</xdr:col>
      <xdr:colOff>566563</xdr:colOff>
      <xdr:row>2</xdr:row>
      <xdr:rowOff>117146</xdr:rowOff>
    </xdr:to>
    <xdr:cxnSp macro="">
      <xdr:nvCxnSpPr>
        <xdr:cNvPr id="63" name="Straight Connector 62">
          <a:extLst>
            <a:ext uri="{FF2B5EF4-FFF2-40B4-BE49-F238E27FC236}">
              <a16:creationId xmlns:a16="http://schemas.microsoft.com/office/drawing/2014/main" id="{DC1D936E-FA54-4E3E-A312-51AB27E60317}"/>
            </a:ext>
          </a:extLst>
        </xdr:cNvPr>
        <xdr:cNvCxnSpPr/>
      </xdr:nvCxnSpPr>
      <xdr:spPr>
        <a:xfrm>
          <a:off x="744697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636148</xdr:colOff>
      <xdr:row>1</xdr:row>
      <xdr:rowOff>103586</xdr:rowOff>
    </xdr:from>
    <xdr:to>
      <xdr:col>10</xdr:col>
      <xdr:colOff>636148</xdr:colOff>
      <xdr:row>2</xdr:row>
      <xdr:rowOff>117146</xdr:rowOff>
    </xdr:to>
    <xdr:cxnSp macro="">
      <xdr:nvCxnSpPr>
        <xdr:cNvPr id="64" name="Straight Connector 63">
          <a:extLst>
            <a:ext uri="{FF2B5EF4-FFF2-40B4-BE49-F238E27FC236}">
              <a16:creationId xmlns:a16="http://schemas.microsoft.com/office/drawing/2014/main" id="{4E653A32-AFD4-404D-AB52-09C0D132AE20}"/>
            </a:ext>
          </a:extLst>
        </xdr:cNvPr>
        <xdr:cNvCxnSpPr/>
      </xdr:nvCxnSpPr>
      <xdr:spPr>
        <a:xfrm>
          <a:off x="8312177"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810720</xdr:colOff>
      <xdr:row>1</xdr:row>
      <xdr:rowOff>103586</xdr:rowOff>
    </xdr:from>
    <xdr:to>
      <xdr:col>11</xdr:col>
      <xdr:colOff>810720</xdr:colOff>
      <xdr:row>2</xdr:row>
      <xdr:rowOff>117146</xdr:rowOff>
    </xdr:to>
    <xdr:cxnSp macro="">
      <xdr:nvCxnSpPr>
        <xdr:cNvPr id="65" name="Straight Connector 64">
          <a:extLst>
            <a:ext uri="{FF2B5EF4-FFF2-40B4-BE49-F238E27FC236}">
              <a16:creationId xmlns:a16="http://schemas.microsoft.com/office/drawing/2014/main" id="{5F6602E7-DD26-41E2-A2E7-0B0D51877219}"/>
            </a:ext>
          </a:extLst>
        </xdr:cNvPr>
        <xdr:cNvCxnSpPr/>
      </xdr:nvCxnSpPr>
      <xdr:spPr>
        <a:xfrm>
          <a:off x="917030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605974</xdr:colOff>
      <xdr:row>1</xdr:row>
      <xdr:rowOff>103586</xdr:rowOff>
    </xdr:from>
    <xdr:to>
      <xdr:col>12</xdr:col>
      <xdr:colOff>605974</xdr:colOff>
      <xdr:row>2</xdr:row>
      <xdr:rowOff>117146</xdr:rowOff>
    </xdr:to>
    <xdr:cxnSp macro="">
      <xdr:nvCxnSpPr>
        <xdr:cNvPr id="66" name="Straight Connector 65">
          <a:extLst>
            <a:ext uri="{FF2B5EF4-FFF2-40B4-BE49-F238E27FC236}">
              <a16:creationId xmlns:a16="http://schemas.microsoft.com/office/drawing/2014/main" id="{3A6FA2A3-6F0E-40BA-9D2B-80FDCC50AF55}"/>
            </a:ext>
          </a:extLst>
        </xdr:cNvPr>
        <xdr:cNvCxnSpPr/>
      </xdr:nvCxnSpPr>
      <xdr:spPr>
        <a:xfrm>
          <a:off x="10030121"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97765</xdr:colOff>
      <xdr:row>1</xdr:row>
      <xdr:rowOff>103586</xdr:rowOff>
    </xdr:from>
    <xdr:to>
      <xdr:col>14</xdr:col>
      <xdr:colOff>97765</xdr:colOff>
      <xdr:row>2</xdr:row>
      <xdr:rowOff>117146</xdr:rowOff>
    </xdr:to>
    <xdr:cxnSp macro="">
      <xdr:nvCxnSpPr>
        <xdr:cNvPr id="67" name="Straight Connector 66">
          <a:extLst>
            <a:ext uri="{FF2B5EF4-FFF2-40B4-BE49-F238E27FC236}">
              <a16:creationId xmlns:a16="http://schemas.microsoft.com/office/drawing/2014/main" id="{87D8FC45-0A7F-4833-A444-1769E4FE342B}"/>
            </a:ext>
          </a:extLst>
        </xdr:cNvPr>
        <xdr:cNvCxnSpPr/>
      </xdr:nvCxnSpPr>
      <xdr:spPr>
        <a:xfrm>
          <a:off x="10889030"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273468</xdr:colOff>
      <xdr:row>1</xdr:row>
      <xdr:rowOff>103586</xdr:rowOff>
    </xdr:from>
    <xdr:to>
      <xdr:col>15</xdr:col>
      <xdr:colOff>273468</xdr:colOff>
      <xdr:row>2</xdr:row>
      <xdr:rowOff>117146</xdr:rowOff>
    </xdr:to>
    <xdr:cxnSp macro="">
      <xdr:nvCxnSpPr>
        <xdr:cNvPr id="68" name="Straight Connector 67">
          <a:extLst>
            <a:ext uri="{FF2B5EF4-FFF2-40B4-BE49-F238E27FC236}">
              <a16:creationId xmlns:a16="http://schemas.microsoft.com/office/drawing/2014/main" id="{C6B12D8A-8A33-4BF1-9560-BBE500D435EE}"/>
            </a:ext>
          </a:extLst>
        </xdr:cNvPr>
        <xdr:cNvCxnSpPr/>
      </xdr:nvCxnSpPr>
      <xdr:spPr>
        <a:xfrm>
          <a:off x="11748292"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512884</xdr:colOff>
      <xdr:row>1</xdr:row>
      <xdr:rowOff>103586</xdr:rowOff>
    </xdr:from>
    <xdr:to>
      <xdr:col>17</xdr:col>
      <xdr:colOff>512884</xdr:colOff>
      <xdr:row>2</xdr:row>
      <xdr:rowOff>117146</xdr:rowOff>
    </xdr:to>
    <xdr:cxnSp macro="">
      <xdr:nvCxnSpPr>
        <xdr:cNvPr id="69" name="Straight Connector 68">
          <a:extLst>
            <a:ext uri="{FF2B5EF4-FFF2-40B4-BE49-F238E27FC236}">
              <a16:creationId xmlns:a16="http://schemas.microsoft.com/office/drawing/2014/main" id="{D16331D2-EB67-4D96-BBB5-8D9648AF54E7}"/>
            </a:ext>
          </a:extLst>
        </xdr:cNvPr>
        <xdr:cNvCxnSpPr/>
      </xdr:nvCxnSpPr>
      <xdr:spPr>
        <a:xfrm>
          <a:off x="13455678"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417251</xdr:colOff>
      <xdr:row>1</xdr:row>
      <xdr:rowOff>103586</xdr:rowOff>
    </xdr:from>
    <xdr:to>
      <xdr:col>18</xdr:col>
      <xdr:colOff>417251</xdr:colOff>
      <xdr:row>2</xdr:row>
      <xdr:rowOff>117146</xdr:rowOff>
    </xdr:to>
    <xdr:cxnSp macro="">
      <xdr:nvCxnSpPr>
        <xdr:cNvPr id="70" name="Straight Connector 69">
          <a:extLst>
            <a:ext uri="{FF2B5EF4-FFF2-40B4-BE49-F238E27FC236}">
              <a16:creationId xmlns:a16="http://schemas.microsoft.com/office/drawing/2014/main" id="{C0215819-9145-42F4-B079-3BAA926EF7BD}"/>
            </a:ext>
          </a:extLst>
        </xdr:cNvPr>
        <xdr:cNvCxnSpPr/>
      </xdr:nvCxnSpPr>
      <xdr:spPr>
        <a:xfrm>
          <a:off x="143125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593571</xdr:colOff>
      <xdr:row>1</xdr:row>
      <xdr:rowOff>103586</xdr:rowOff>
    </xdr:from>
    <xdr:to>
      <xdr:col>19</xdr:col>
      <xdr:colOff>593571</xdr:colOff>
      <xdr:row>2</xdr:row>
      <xdr:rowOff>117146</xdr:rowOff>
    </xdr:to>
    <xdr:cxnSp macro="">
      <xdr:nvCxnSpPr>
        <xdr:cNvPr id="71" name="Straight Connector 70">
          <a:extLst>
            <a:ext uri="{FF2B5EF4-FFF2-40B4-BE49-F238E27FC236}">
              <a16:creationId xmlns:a16="http://schemas.microsoft.com/office/drawing/2014/main" id="{4E8FF9D5-7A5F-4BC3-A672-502C891C9279}"/>
            </a:ext>
          </a:extLst>
        </xdr:cNvPr>
        <xdr:cNvCxnSpPr/>
      </xdr:nvCxnSpPr>
      <xdr:spPr>
        <a:xfrm>
          <a:off x="1517242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768233</xdr:colOff>
      <xdr:row>1</xdr:row>
      <xdr:rowOff>103586</xdr:rowOff>
    </xdr:from>
    <xdr:to>
      <xdr:col>20</xdr:col>
      <xdr:colOff>768233</xdr:colOff>
      <xdr:row>2</xdr:row>
      <xdr:rowOff>117146</xdr:rowOff>
    </xdr:to>
    <xdr:cxnSp macro="">
      <xdr:nvCxnSpPr>
        <xdr:cNvPr id="72" name="Straight Connector 71">
          <a:extLst>
            <a:ext uri="{FF2B5EF4-FFF2-40B4-BE49-F238E27FC236}">
              <a16:creationId xmlns:a16="http://schemas.microsoft.com/office/drawing/2014/main" id="{98E7D1A0-3BFA-468F-ADCB-0DEA461BE8CF}"/>
            </a:ext>
          </a:extLst>
        </xdr:cNvPr>
        <xdr:cNvCxnSpPr/>
      </xdr:nvCxnSpPr>
      <xdr:spPr>
        <a:xfrm>
          <a:off x="16030645"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5298</xdr:colOff>
      <xdr:row>1</xdr:row>
      <xdr:rowOff>103586</xdr:rowOff>
    </xdr:from>
    <xdr:to>
      <xdr:col>22</xdr:col>
      <xdr:colOff>5298</xdr:colOff>
      <xdr:row>2</xdr:row>
      <xdr:rowOff>117146</xdr:rowOff>
    </xdr:to>
    <xdr:cxnSp macro="">
      <xdr:nvCxnSpPr>
        <xdr:cNvPr id="73" name="Straight Connector 72">
          <a:extLst>
            <a:ext uri="{FF2B5EF4-FFF2-40B4-BE49-F238E27FC236}">
              <a16:creationId xmlns:a16="http://schemas.microsoft.com/office/drawing/2014/main" id="{4D188447-2006-4CF3-AD6B-7B614C913581}"/>
            </a:ext>
          </a:extLst>
        </xdr:cNvPr>
        <xdr:cNvCxnSpPr/>
      </xdr:nvCxnSpPr>
      <xdr:spPr>
        <a:xfrm>
          <a:off x="16892563"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342749</xdr:colOff>
      <xdr:row>1</xdr:row>
      <xdr:rowOff>103586</xdr:rowOff>
    </xdr:from>
    <xdr:to>
      <xdr:col>16</xdr:col>
      <xdr:colOff>342749</xdr:colOff>
      <xdr:row>2</xdr:row>
      <xdr:rowOff>117146</xdr:rowOff>
    </xdr:to>
    <xdr:cxnSp macro="">
      <xdr:nvCxnSpPr>
        <xdr:cNvPr id="74" name="Straight Connector 73">
          <a:extLst>
            <a:ext uri="{FF2B5EF4-FFF2-40B4-BE49-F238E27FC236}">
              <a16:creationId xmlns:a16="http://schemas.microsoft.com/office/drawing/2014/main" id="{8E6F14A5-079D-4A9F-826F-1F7AD44A203A}"/>
            </a:ext>
          </a:extLst>
        </xdr:cNvPr>
        <xdr:cNvCxnSpPr/>
      </xdr:nvCxnSpPr>
      <xdr:spPr>
        <a:xfrm>
          <a:off x="12601984" y="294086"/>
          <a:ext cx="0" cy="2040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80141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mailto:l64691@aln.iseg.uslisboa.pt" TargetMode="External"/><Relationship Id="rId3" Type="http://schemas.openxmlformats.org/officeDocument/2006/relationships/hyperlink" Target="mailto:raul.vasconcelos@aln.iseg.ulisboa.pt" TargetMode="External"/><Relationship Id="rId7" Type="http://schemas.openxmlformats.org/officeDocument/2006/relationships/hyperlink" Target="mailto:luisa.ditomaso@aln.iseg.ulisboa.pt" TargetMode="External"/><Relationship Id="rId12" Type="http://schemas.openxmlformats.org/officeDocument/2006/relationships/drawing" Target="../drawings/drawing2.xml"/><Relationship Id="rId2" Type="http://schemas.openxmlformats.org/officeDocument/2006/relationships/hyperlink" Target="mailto:raul.vasconcelos@aln.iseg.ulisboa.pt" TargetMode="External"/><Relationship Id="rId1" Type="http://schemas.openxmlformats.org/officeDocument/2006/relationships/hyperlink" Target="mailto:lis@iseg.ulisboa.pt" TargetMode="External"/><Relationship Id="rId6" Type="http://schemas.openxmlformats.org/officeDocument/2006/relationships/hyperlink" Target="mailto:raul.vasconcelos@aln.iseg.ulisboa.pt" TargetMode="External"/><Relationship Id="rId11" Type="http://schemas.openxmlformats.org/officeDocument/2006/relationships/printerSettings" Target="../printerSettings/printerSettings1.bin"/><Relationship Id="rId5" Type="http://schemas.openxmlformats.org/officeDocument/2006/relationships/hyperlink" Target="mailto:raul.vasconcelos@aln.iseg.ulisboa.pt" TargetMode="External"/><Relationship Id="rId10" Type="http://schemas.openxmlformats.org/officeDocument/2006/relationships/hyperlink" Target="mailto:l63113@aln.iseg.ulisboa.pt" TargetMode="External"/><Relationship Id="rId4" Type="http://schemas.openxmlformats.org/officeDocument/2006/relationships/hyperlink" Target="mailto:raul.vasconcelos@aln.iseg.ulisboa.pt" TargetMode="External"/><Relationship Id="rId9" Type="http://schemas.openxmlformats.org/officeDocument/2006/relationships/hyperlink" Target="mailto:kirat62765@aln.iseg.ulisboa.pt"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6.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tint="0.79998168889431442"/>
  </sheetPr>
  <dimension ref="B1:L558"/>
  <sheetViews>
    <sheetView showGridLines="0" zoomScale="54" zoomScaleNormal="145" workbookViewId="0">
      <selection activeCell="D1" sqref="D1"/>
    </sheetView>
  </sheetViews>
  <sheetFormatPr defaultColWidth="9" defaultRowHeight="15" customHeight="1"/>
  <cols>
    <col min="1" max="2" width="9" style="572"/>
    <col min="3" max="5" width="10.125" style="572" bestFit="1" customWidth="1"/>
    <col min="6" max="16384" width="9" style="572"/>
  </cols>
  <sheetData>
    <row r="1" spans="4:4" s="567" customFormat="1" ht="15" customHeight="1">
      <c r="D1" s="567">
        <f ca="1">FCFF!R164</f>
        <v>-0.34304909200566158</v>
      </c>
    </row>
    <row r="2" spans="4:4" s="567" customFormat="1" ht="15" customHeight="1"/>
    <row r="3" spans="4:4" s="567" customFormat="1" ht="15" customHeight="1"/>
    <row r="4" spans="4:4" s="567" customFormat="1" ht="15" customHeight="1"/>
    <row r="5" spans="4:4" ht="3.95" customHeight="1"/>
    <row r="101" spans="3:3" ht="15" customHeight="1">
      <c r="C101" s="599"/>
    </row>
    <row r="102" spans="3:3" ht="15" customHeight="1">
      <c r="C102" s="599"/>
    </row>
    <row r="103" spans="3:3" ht="15" customHeight="1">
      <c r="C103" s="599"/>
    </row>
    <row r="104" spans="3:3" ht="15" customHeight="1">
      <c r="C104" s="599"/>
    </row>
    <row r="105" spans="3:3" ht="15" customHeight="1">
      <c r="C105" s="599"/>
    </row>
    <row r="106" spans="3:3" ht="15" customHeight="1">
      <c r="C106" s="599"/>
    </row>
    <row r="107" spans="3:3" ht="15" customHeight="1">
      <c r="C107" s="599"/>
    </row>
    <row r="108" spans="3:3" ht="15" customHeight="1">
      <c r="C108" s="599"/>
    </row>
    <row r="109" spans="3:3" ht="15" customHeight="1">
      <c r="C109" s="599"/>
    </row>
    <row r="110" spans="3:3" ht="15" customHeight="1">
      <c r="C110" s="599"/>
    </row>
    <row r="111" spans="3:3" ht="15" customHeight="1">
      <c r="C111" s="599"/>
    </row>
    <row r="112" spans="3:3" ht="15" customHeight="1">
      <c r="C112" s="599"/>
    </row>
    <row r="113" spans="3:3" ht="15" customHeight="1">
      <c r="C113" s="599"/>
    </row>
    <row r="114" spans="3:3" ht="15" customHeight="1">
      <c r="C114" s="599"/>
    </row>
    <row r="115" spans="3:3" ht="15" customHeight="1">
      <c r="C115" s="599"/>
    </row>
    <row r="116" spans="3:3" ht="15" customHeight="1">
      <c r="C116" s="599"/>
    </row>
    <row r="117" spans="3:3" ht="15" customHeight="1">
      <c r="C117" s="599"/>
    </row>
    <row r="118" spans="3:3" ht="15" customHeight="1">
      <c r="C118" s="599"/>
    </row>
    <row r="119" spans="3:3" ht="15" customHeight="1">
      <c r="C119" s="599"/>
    </row>
    <row r="120" spans="3:3" ht="15" customHeight="1">
      <c r="C120" s="599"/>
    </row>
    <row r="121" spans="3:3" ht="15" customHeight="1">
      <c r="C121" s="599"/>
    </row>
    <row r="122" spans="3:3" ht="15" customHeight="1">
      <c r="C122" s="599"/>
    </row>
    <row r="123" spans="3:3" ht="15" customHeight="1">
      <c r="C123" s="599"/>
    </row>
    <row r="124" spans="3:3" ht="15" customHeight="1">
      <c r="C124" s="599"/>
    </row>
    <row r="125" spans="3:3" ht="15" customHeight="1">
      <c r="C125" s="599"/>
    </row>
    <row r="126" spans="3:3" ht="15" customHeight="1">
      <c r="C126" s="599"/>
    </row>
    <row r="127" spans="3:3" ht="15" customHeight="1">
      <c r="C127" s="599"/>
    </row>
    <row r="128" spans="3:3" ht="15" customHeight="1">
      <c r="C128" s="599"/>
    </row>
    <row r="129" spans="3:3" ht="15" customHeight="1">
      <c r="C129" s="599"/>
    </row>
    <row r="130" spans="3:3" ht="15" customHeight="1">
      <c r="C130" s="599"/>
    </row>
    <row r="131" spans="3:3" ht="15" customHeight="1">
      <c r="C131" s="599"/>
    </row>
    <row r="132" spans="3:3" ht="15" customHeight="1">
      <c r="C132" s="599"/>
    </row>
    <row r="133" spans="3:3" ht="15" customHeight="1">
      <c r="C133" s="599"/>
    </row>
    <row r="134" spans="3:3" ht="15" customHeight="1">
      <c r="C134" s="599"/>
    </row>
    <row r="135" spans="3:3" ht="15" customHeight="1">
      <c r="C135" s="599"/>
    </row>
    <row r="136" spans="3:3" ht="15" customHeight="1">
      <c r="C136" s="599"/>
    </row>
    <row r="137" spans="3:3" ht="15" customHeight="1">
      <c r="C137" s="599"/>
    </row>
    <row r="138" spans="3:3" ht="15" customHeight="1">
      <c r="C138" s="599"/>
    </row>
    <row r="139" spans="3:3" ht="15" customHeight="1">
      <c r="C139" s="599"/>
    </row>
    <row r="140" spans="3:3" ht="15" customHeight="1">
      <c r="C140" s="599"/>
    </row>
    <row r="141" spans="3:3" ht="15" customHeight="1">
      <c r="C141" s="599"/>
    </row>
    <row r="142" spans="3:3" ht="15" customHeight="1">
      <c r="C142" s="599"/>
    </row>
    <row r="143" spans="3:3" ht="15" customHeight="1">
      <c r="C143" s="599"/>
    </row>
    <row r="144" spans="3:3" ht="15" customHeight="1">
      <c r="C144" s="599"/>
    </row>
    <row r="145" spans="3:12" ht="15" customHeight="1">
      <c r="C145" s="599"/>
    </row>
    <row r="146" spans="3:12" ht="15" customHeight="1">
      <c r="C146" s="599"/>
    </row>
    <row r="147" spans="3:12" ht="15" customHeight="1">
      <c r="C147" s="599"/>
    </row>
    <row r="148" spans="3:12" ht="15" customHeight="1">
      <c r="C148" s="599"/>
    </row>
    <row r="149" spans="3:12" ht="15" customHeight="1">
      <c r="C149" s="599"/>
    </row>
    <row r="150" spans="3:12" ht="15" customHeight="1">
      <c r="C150" s="599"/>
    </row>
    <row r="151" spans="3:12" ht="15" customHeight="1">
      <c r="C151" s="599"/>
    </row>
    <row r="152" spans="3:12" ht="15" customHeight="1">
      <c r="C152" s="599"/>
    </row>
    <row r="153" spans="3:12" ht="15" customHeight="1">
      <c r="C153" s="599"/>
    </row>
    <row r="154" spans="3:12" ht="15" customHeight="1">
      <c r="C154" s="599">
        <f t="shared" ref="C154:C164" si="0">+C155+1</f>
        <v>45958</v>
      </c>
    </row>
    <row r="155" spans="3:12" ht="15" customHeight="1">
      <c r="C155" s="599">
        <f t="shared" si="0"/>
        <v>45957</v>
      </c>
    </row>
    <row r="156" spans="3:12" ht="15" customHeight="1">
      <c r="C156" s="599">
        <f t="shared" si="0"/>
        <v>45956</v>
      </c>
    </row>
    <row r="157" spans="3:12" ht="15" customHeight="1">
      <c r="C157" s="599">
        <f t="shared" si="0"/>
        <v>45955</v>
      </c>
    </row>
    <row r="158" spans="3:12" ht="15" customHeight="1">
      <c r="C158" s="599">
        <f t="shared" si="0"/>
        <v>45954</v>
      </c>
    </row>
    <row r="159" spans="3:12" ht="15" customHeight="1">
      <c r="C159" s="599">
        <f t="shared" si="0"/>
        <v>45953</v>
      </c>
    </row>
    <row r="160" spans="3:12" ht="15" customHeight="1">
      <c r="C160" s="599">
        <f t="shared" si="0"/>
        <v>45952</v>
      </c>
      <c r="L160" s="572">
        <f ca="1">IF(FCFF!$R$159="Revenue Exit",FCFF!$AF$171,IF(FCFF!$R$159="EBITDA Exit",FCFF!Z171,FCFF!AL171))</f>
        <v>301.61273136928071</v>
      </c>
    </row>
    <row r="161" spans="3:5" ht="15" customHeight="1">
      <c r="C161" s="599">
        <f t="shared" si="0"/>
        <v>45951</v>
      </c>
    </row>
    <row r="162" spans="3:5" ht="15" customHeight="1">
      <c r="C162" s="599">
        <f t="shared" si="0"/>
        <v>45950</v>
      </c>
      <c r="E162" s="572">
        <f ca="1">IF(FCFF!$R$159="Revenue Exit",FCFF!$AF$171,IF(FCFF!$R$159="EBITDA Exit",FCFF!Z171,FCFF!AL171))</f>
        <v>301.61273136928071</v>
      </c>
    </row>
    <row r="163" spans="3:5" ht="15" customHeight="1">
      <c r="C163" s="599">
        <f t="shared" si="0"/>
        <v>45949</v>
      </c>
      <c r="E163" s="572">
        <f t="shared" ref="E163:E192" ca="1" si="1">E164+($E$162-$E$193)/COUNTA($C$162:$C$192)</f>
        <v>306.69328842188406</v>
      </c>
    </row>
    <row r="164" spans="3:5" ht="15" customHeight="1">
      <c r="C164" s="599">
        <f t="shared" si="0"/>
        <v>45948</v>
      </c>
      <c r="E164" s="572">
        <f t="shared" ca="1" si="1"/>
        <v>311.77384547448793</v>
      </c>
    </row>
    <row r="165" spans="3:5" ht="15" customHeight="1">
      <c r="C165" s="599">
        <f t="shared" ref="C165:C191" si="2">+C166+1</f>
        <v>45947</v>
      </c>
      <c r="E165" s="572">
        <f t="shared" ca="1" si="1"/>
        <v>316.85440252709179</v>
      </c>
    </row>
    <row r="166" spans="3:5" ht="15" customHeight="1">
      <c r="C166" s="599">
        <f t="shared" si="2"/>
        <v>45946</v>
      </c>
      <c r="E166" s="572">
        <f t="shared" ca="1" si="1"/>
        <v>321.93495957969566</v>
      </c>
    </row>
    <row r="167" spans="3:5" ht="15" customHeight="1">
      <c r="C167" s="599">
        <f t="shared" si="2"/>
        <v>45945</v>
      </c>
      <c r="E167" s="572">
        <f t="shared" ca="1" si="1"/>
        <v>327.01551663229952</v>
      </c>
    </row>
    <row r="168" spans="3:5" ht="15" customHeight="1">
      <c r="C168" s="599">
        <f t="shared" si="2"/>
        <v>45944</v>
      </c>
      <c r="E168" s="572">
        <f t="shared" ca="1" si="1"/>
        <v>332.09607368490339</v>
      </c>
    </row>
    <row r="169" spans="3:5" ht="15" customHeight="1">
      <c r="C169" s="599">
        <f t="shared" si="2"/>
        <v>45943</v>
      </c>
      <c r="E169" s="572">
        <f t="shared" ca="1" si="1"/>
        <v>337.17663073750725</v>
      </c>
    </row>
    <row r="170" spans="3:5" ht="15" customHeight="1">
      <c r="C170" s="599">
        <f t="shared" si="2"/>
        <v>45942</v>
      </c>
      <c r="E170" s="572">
        <f t="shared" ca="1" si="1"/>
        <v>342.25718779011112</v>
      </c>
    </row>
    <row r="171" spans="3:5" ht="15" customHeight="1">
      <c r="C171" s="599">
        <f t="shared" si="2"/>
        <v>45941</v>
      </c>
      <c r="E171" s="572">
        <f t="shared" ca="1" si="1"/>
        <v>347.33774484271498</v>
      </c>
    </row>
    <row r="172" spans="3:5" ht="15" customHeight="1">
      <c r="C172" s="599">
        <f t="shared" si="2"/>
        <v>45940</v>
      </c>
      <c r="E172" s="572">
        <f t="shared" ca="1" si="1"/>
        <v>352.41830189531885</v>
      </c>
    </row>
    <row r="173" spans="3:5" ht="15" customHeight="1">
      <c r="C173" s="599">
        <f t="shared" si="2"/>
        <v>45939</v>
      </c>
      <c r="E173" s="572">
        <f t="shared" ca="1" si="1"/>
        <v>357.49885894792271</v>
      </c>
    </row>
    <row r="174" spans="3:5" ht="15" customHeight="1">
      <c r="C174" s="599">
        <f t="shared" si="2"/>
        <v>45938</v>
      </c>
      <c r="E174" s="572">
        <f t="shared" ca="1" si="1"/>
        <v>362.57941600052658</v>
      </c>
    </row>
    <row r="175" spans="3:5" ht="15" customHeight="1">
      <c r="C175" s="599">
        <f t="shared" si="2"/>
        <v>45937</v>
      </c>
      <c r="E175" s="572">
        <f t="shared" ca="1" si="1"/>
        <v>367.65997305313044</v>
      </c>
    </row>
    <row r="176" spans="3:5" ht="15" customHeight="1">
      <c r="C176" s="599">
        <f t="shared" si="2"/>
        <v>45936</v>
      </c>
      <c r="E176" s="572">
        <f t="shared" ca="1" si="1"/>
        <v>372.74053010573431</v>
      </c>
    </row>
    <row r="177" spans="3:5" ht="15" customHeight="1">
      <c r="C177" s="599">
        <f t="shared" si="2"/>
        <v>45935</v>
      </c>
      <c r="E177" s="572">
        <f t="shared" ca="1" si="1"/>
        <v>377.82108715833817</v>
      </c>
    </row>
    <row r="178" spans="3:5" ht="15" customHeight="1">
      <c r="C178" s="599">
        <f t="shared" si="2"/>
        <v>45934</v>
      </c>
      <c r="E178" s="572">
        <f t="shared" ca="1" si="1"/>
        <v>382.90164421094204</v>
      </c>
    </row>
    <row r="179" spans="3:5" ht="15" customHeight="1">
      <c r="C179" s="599">
        <f t="shared" si="2"/>
        <v>45933</v>
      </c>
      <c r="E179" s="572">
        <f t="shared" ca="1" si="1"/>
        <v>387.9822012635459</v>
      </c>
    </row>
    <row r="180" spans="3:5" ht="15" customHeight="1">
      <c r="C180" s="599">
        <f t="shared" si="2"/>
        <v>45932</v>
      </c>
      <c r="E180" s="572">
        <f t="shared" ca="1" si="1"/>
        <v>393.06275831614977</v>
      </c>
    </row>
    <row r="181" spans="3:5" ht="15" customHeight="1">
      <c r="C181" s="599">
        <f t="shared" si="2"/>
        <v>45931</v>
      </c>
      <c r="E181" s="572">
        <f t="shared" ca="1" si="1"/>
        <v>398.14331536875363</v>
      </c>
    </row>
    <row r="182" spans="3:5" ht="15" customHeight="1">
      <c r="C182" s="599">
        <f t="shared" si="2"/>
        <v>45930</v>
      </c>
      <c r="E182" s="572">
        <f t="shared" ca="1" si="1"/>
        <v>403.2238724213575</v>
      </c>
    </row>
    <row r="183" spans="3:5" ht="15" customHeight="1">
      <c r="C183" s="599">
        <f t="shared" si="2"/>
        <v>45929</v>
      </c>
      <c r="E183" s="572">
        <f t="shared" ca="1" si="1"/>
        <v>408.30442947396136</v>
      </c>
    </row>
    <row r="184" spans="3:5" ht="15" customHeight="1">
      <c r="C184" s="599">
        <f t="shared" si="2"/>
        <v>45928</v>
      </c>
      <c r="E184" s="572">
        <f t="shared" ca="1" si="1"/>
        <v>413.38498652656523</v>
      </c>
    </row>
    <row r="185" spans="3:5" ht="15" customHeight="1">
      <c r="C185" s="599">
        <f t="shared" si="2"/>
        <v>45927</v>
      </c>
      <c r="E185" s="572">
        <f t="shared" ca="1" si="1"/>
        <v>418.46554357916909</v>
      </c>
    </row>
    <row r="186" spans="3:5" ht="15" customHeight="1">
      <c r="C186" s="599">
        <f t="shared" si="2"/>
        <v>45926</v>
      </c>
      <c r="E186" s="572">
        <f t="shared" ca="1" si="1"/>
        <v>423.54610063177296</v>
      </c>
    </row>
    <row r="187" spans="3:5" ht="15" customHeight="1">
      <c r="C187" s="599">
        <f t="shared" si="2"/>
        <v>45925</v>
      </c>
      <c r="E187" s="572">
        <f t="shared" ca="1" si="1"/>
        <v>428.62665768437682</v>
      </c>
    </row>
    <row r="188" spans="3:5" ht="15" customHeight="1">
      <c r="C188" s="599">
        <f t="shared" si="2"/>
        <v>45924</v>
      </c>
      <c r="E188" s="572">
        <f t="shared" ca="1" si="1"/>
        <v>433.70721473698069</v>
      </c>
    </row>
    <row r="189" spans="3:5" ht="15" customHeight="1">
      <c r="C189" s="599">
        <f t="shared" si="2"/>
        <v>45923</v>
      </c>
      <c r="E189" s="572">
        <f t="shared" ca="1" si="1"/>
        <v>438.78777178958455</v>
      </c>
    </row>
    <row r="190" spans="3:5" ht="15" customHeight="1">
      <c r="C190" s="599">
        <f t="shared" si="2"/>
        <v>45922</v>
      </c>
      <c r="E190" s="572">
        <f t="shared" ca="1" si="1"/>
        <v>443.86832884218842</v>
      </c>
    </row>
    <row r="191" spans="3:5" ht="15" customHeight="1">
      <c r="C191" s="599">
        <f t="shared" si="2"/>
        <v>45921</v>
      </c>
      <c r="E191" s="572">
        <f t="shared" ca="1" si="1"/>
        <v>448.94888589479228</v>
      </c>
    </row>
    <row r="192" spans="3:5" ht="15" customHeight="1">
      <c r="C192" s="599">
        <f>+C193+1</f>
        <v>45920</v>
      </c>
      <c r="E192" s="572">
        <f t="shared" ca="1" si="1"/>
        <v>454.02944294739615</v>
      </c>
    </row>
    <row r="193" spans="2:5" ht="15" customHeight="1">
      <c r="B193" s="572" t="s">
        <v>0</v>
      </c>
      <c r="C193" s="598">
        <f>+'Stock Data'!AM4</f>
        <v>45919</v>
      </c>
      <c r="D193" s="572">
        <f>_xlfn.XLOOKUP(C193,'Stock Data'!$AM$4:$AM$1051,'Stock Data'!$AN$4:$AN$1051)</f>
        <v>459.11</v>
      </c>
      <c r="E193" s="572">
        <f>D193</f>
        <v>459.11</v>
      </c>
    </row>
    <row r="194" spans="2:5" ht="15" customHeight="1">
      <c r="C194" s="598">
        <f>+'Stock Data'!AM5</f>
        <v>45918</v>
      </c>
      <c r="D194" s="572">
        <f>_xlfn.XLOOKUP(C194,'Stock Data'!$AM$4:$AM$1051,'Stock Data'!$AN$4:$AN$1051)</f>
        <v>459.11</v>
      </c>
    </row>
    <row r="195" spans="2:5" ht="15" customHeight="1">
      <c r="C195" s="598">
        <f>+'Stock Data'!AM6</f>
        <v>45917</v>
      </c>
      <c r="D195" s="572">
        <f>_xlfn.XLOOKUP(C195,'Stock Data'!$AM$4:$AM$1051,'Stock Data'!$AN$4:$AN$1051)</f>
        <v>463.9</v>
      </c>
    </row>
    <row r="196" spans="2:5" ht="15" customHeight="1">
      <c r="C196" s="598">
        <f>+'Stock Data'!AM7</f>
        <v>45916</v>
      </c>
      <c r="D196" s="572">
        <f>_xlfn.XLOOKUP(C196,'Stock Data'!$AM$4:$AM$1051,'Stock Data'!$AN$4:$AN$1051)</f>
        <v>463.9</v>
      </c>
    </row>
    <row r="197" spans="2:5" ht="15" customHeight="1">
      <c r="C197" s="598">
        <f>+'Stock Data'!AM8</f>
        <v>45915</v>
      </c>
      <c r="D197" s="572">
        <f>_xlfn.XLOOKUP(C197,'Stock Data'!$AM$4:$AM$1051,'Stock Data'!$AN$4:$AN$1051)</f>
        <v>463.9</v>
      </c>
    </row>
    <row r="198" spans="2:5" ht="15" customHeight="1">
      <c r="C198" s="598">
        <f>+'Stock Data'!AM9</f>
        <v>45914</v>
      </c>
      <c r="D198" s="572">
        <f>_xlfn.XLOOKUP(C198,'Stock Data'!$AM$4:$AM$1051,'Stock Data'!$AN$4:$AN$1051)</f>
        <v>456.85</v>
      </c>
    </row>
    <row r="199" spans="2:5" ht="15" customHeight="1">
      <c r="C199" s="598">
        <f>+'Stock Data'!AM10</f>
        <v>45913</v>
      </c>
      <c r="D199" s="572">
        <f>_xlfn.XLOOKUP(C199,'Stock Data'!$AM$4:$AM$1051,'Stock Data'!$AN$4:$AN$1051)</f>
        <v>449.06</v>
      </c>
    </row>
    <row r="200" spans="2:5" ht="15" customHeight="1">
      <c r="C200" s="598">
        <f>+'Stock Data'!AM11</f>
        <v>45912</v>
      </c>
      <c r="D200" s="572">
        <f>_xlfn.XLOOKUP(C200,'Stock Data'!$AM$4:$AM$1051,'Stock Data'!$AN$4:$AN$1051)</f>
        <v>452.5</v>
      </c>
    </row>
    <row r="201" spans="2:5" ht="15" customHeight="1">
      <c r="C201" s="598">
        <f>+'Stock Data'!AM12</f>
        <v>45911</v>
      </c>
      <c r="D201" s="572">
        <f>_xlfn.XLOOKUP(C201,'Stock Data'!$AM$4:$AM$1051,'Stock Data'!$AN$4:$AN$1051)</f>
        <v>455.63</v>
      </c>
    </row>
    <row r="202" spans="2:5" ht="15" customHeight="1">
      <c r="C202" s="598">
        <f>+'Stock Data'!AM13</f>
        <v>45910</v>
      </c>
      <c r="D202" s="572">
        <f>_xlfn.XLOOKUP(C202,'Stock Data'!$AM$4:$AM$1051,'Stock Data'!$AN$4:$AN$1051)</f>
        <v>455.63</v>
      </c>
    </row>
    <row r="203" spans="2:5" ht="15" customHeight="1">
      <c r="C203" s="598">
        <f>+'Stock Data'!AM14</f>
        <v>45909</v>
      </c>
      <c r="D203" s="572">
        <f>_xlfn.XLOOKUP(C203,'Stock Data'!$AM$4:$AM$1051,'Stock Data'!$AN$4:$AN$1051)</f>
        <v>455.63</v>
      </c>
    </row>
    <row r="204" spans="2:5" ht="15" customHeight="1">
      <c r="C204" s="598">
        <f>+'Stock Data'!AM15</f>
        <v>45908</v>
      </c>
      <c r="D204" s="572">
        <f>_xlfn.XLOOKUP(C204,'Stock Data'!$AM$4:$AM$1051,'Stock Data'!$AN$4:$AN$1051)</f>
        <v>455.63</v>
      </c>
    </row>
    <row r="205" spans="2:5" ht="15" customHeight="1">
      <c r="C205" s="598">
        <f>+'Stock Data'!AM16</f>
        <v>45907</v>
      </c>
      <c r="D205" s="572">
        <f>_xlfn.XLOOKUP(C205,'Stock Data'!$AM$4:$AM$1051,'Stock Data'!$AN$4:$AN$1051)</f>
        <v>456.18</v>
      </c>
    </row>
    <row r="206" spans="2:5" ht="15" customHeight="1">
      <c r="C206" s="598">
        <f>+'Stock Data'!AM17</f>
        <v>45906</v>
      </c>
      <c r="D206" s="572">
        <f>_xlfn.XLOOKUP(C206,'Stock Data'!$AM$4:$AM$1051,'Stock Data'!$AN$4:$AN$1051)</f>
        <v>454.47</v>
      </c>
    </row>
    <row r="207" spans="2:5" ht="15" customHeight="1">
      <c r="C207" s="598">
        <f>+'Stock Data'!AM18</f>
        <v>45905</v>
      </c>
      <c r="D207" s="572">
        <f>_xlfn.XLOOKUP(C207,'Stock Data'!$AM$4:$AM$1051,'Stock Data'!$AN$4:$AN$1051)</f>
        <v>455.46</v>
      </c>
    </row>
    <row r="208" spans="2:5" ht="15" customHeight="1">
      <c r="C208" s="598">
        <f>+'Stock Data'!AM19</f>
        <v>45904</v>
      </c>
      <c r="D208" s="572">
        <f>_xlfn.XLOOKUP(C208,'Stock Data'!$AM$4:$AM$1051,'Stock Data'!$AN$4:$AN$1051)</f>
        <v>447.72</v>
      </c>
    </row>
    <row r="209" spans="3:4" ht="15" customHeight="1">
      <c r="C209" s="598">
        <f>+'Stock Data'!AM20</f>
        <v>45903</v>
      </c>
      <c r="D209" s="572">
        <f>_xlfn.XLOOKUP(C209,'Stock Data'!$AM$4:$AM$1051,'Stock Data'!$AN$4:$AN$1051)</f>
        <v>446.2</v>
      </c>
    </row>
    <row r="210" spans="3:4" ht="15" customHeight="1">
      <c r="C210" s="598">
        <f>+'Stock Data'!AM21</f>
        <v>45902</v>
      </c>
      <c r="D210" s="572">
        <f>_xlfn.XLOOKUP(C210,'Stock Data'!$AM$4:$AM$1051,'Stock Data'!$AN$4:$AN$1051)</f>
        <v>446.2</v>
      </c>
    </row>
    <row r="211" spans="3:4" ht="15" customHeight="1">
      <c r="C211" s="598">
        <f>+'Stock Data'!AM22</f>
        <v>45901</v>
      </c>
      <c r="D211" s="572">
        <f>_xlfn.XLOOKUP(C211,'Stock Data'!$AM$4:$AM$1051,'Stock Data'!$AN$4:$AN$1051)</f>
        <v>446.2</v>
      </c>
    </row>
    <row r="212" spans="3:4" ht="15" customHeight="1">
      <c r="C212" s="598">
        <f>+'Stock Data'!AM23</f>
        <v>45900</v>
      </c>
      <c r="D212" s="572">
        <f>_xlfn.XLOOKUP(C212,'Stock Data'!$AM$4:$AM$1051,'Stock Data'!$AN$4:$AN$1051)</f>
        <v>447.2</v>
      </c>
    </row>
    <row r="213" spans="3:4" ht="15" customHeight="1">
      <c r="C213" s="598">
        <f>+'Stock Data'!AM24</f>
        <v>45899</v>
      </c>
      <c r="D213" s="572">
        <f>_xlfn.XLOOKUP(C213,'Stock Data'!$AM$4:$AM$1051,'Stock Data'!$AN$4:$AN$1051)</f>
        <v>446</v>
      </c>
    </row>
    <row r="214" spans="3:4" ht="15" customHeight="1">
      <c r="C214" s="598">
        <f>+'Stock Data'!AM25</f>
        <v>45898</v>
      </c>
      <c r="D214" s="572">
        <f>_xlfn.XLOOKUP(C214,'Stock Data'!$AM$4:$AM$1051,'Stock Data'!$AN$4:$AN$1051)</f>
        <v>441.1</v>
      </c>
    </row>
    <row r="215" spans="3:4" ht="15" customHeight="1">
      <c r="C215" s="598">
        <f>+'Stock Data'!AM26</f>
        <v>45897</v>
      </c>
      <c r="D215" s="572">
        <f>_xlfn.XLOOKUP(C215,'Stock Data'!$AM$4:$AM$1051,'Stock Data'!$AN$4:$AN$1051)</f>
        <v>440.64</v>
      </c>
    </row>
    <row r="216" spans="3:4" ht="15" customHeight="1">
      <c r="C216" s="598">
        <f>+'Stock Data'!AM27</f>
        <v>45896</v>
      </c>
      <c r="D216" s="572">
        <f>_xlfn.XLOOKUP(C216,'Stock Data'!$AM$4:$AM$1051,'Stock Data'!$AN$4:$AN$1051)</f>
        <v>437.56</v>
      </c>
    </row>
    <row r="217" spans="3:4" ht="15" customHeight="1">
      <c r="C217" s="598">
        <f>+'Stock Data'!AM28</f>
        <v>45895</v>
      </c>
      <c r="D217" s="572">
        <f>_xlfn.XLOOKUP(C217,'Stock Data'!$AM$4:$AM$1051,'Stock Data'!$AN$4:$AN$1051)</f>
        <v>437.56</v>
      </c>
    </row>
    <row r="218" spans="3:4" ht="15" customHeight="1">
      <c r="C218" s="598">
        <f>+'Stock Data'!AM29</f>
        <v>45894</v>
      </c>
      <c r="D218" s="572">
        <f>_xlfn.XLOOKUP(C218,'Stock Data'!$AM$4:$AM$1051,'Stock Data'!$AN$4:$AN$1051)</f>
        <v>437.56</v>
      </c>
    </row>
    <row r="219" spans="3:4" ht="15" customHeight="1">
      <c r="C219" s="598">
        <f>+'Stock Data'!AM30</f>
        <v>45893</v>
      </c>
      <c r="D219" s="572">
        <f>_xlfn.XLOOKUP(C219,'Stock Data'!$AM$4:$AM$1051,'Stock Data'!$AN$4:$AN$1051)</f>
        <v>437.32</v>
      </c>
    </row>
    <row r="220" spans="3:4" ht="15" customHeight="1">
      <c r="C220" s="598">
        <f>+'Stock Data'!AM31</f>
        <v>45892</v>
      </c>
      <c r="D220" s="572">
        <f>_xlfn.XLOOKUP(C220,'Stock Data'!$AM$4:$AM$1051,'Stock Data'!$AN$4:$AN$1051)</f>
        <v>442.57</v>
      </c>
    </row>
    <row r="221" spans="3:4" ht="15" customHeight="1">
      <c r="C221" s="598">
        <f>+'Stock Data'!AM32</f>
        <v>45891</v>
      </c>
      <c r="D221" s="572">
        <f>_xlfn.XLOOKUP(C221,'Stock Data'!$AM$4:$AM$1051,'Stock Data'!$AN$4:$AN$1051)</f>
        <v>431.56</v>
      </c>
    </row>
    <row r="222" spans="3:4" ht="15" customHeight="1">
      <c r="C222" s="598">
        <f>+'Stock Data'!AM33</f>
        <v>45890</v>
      </c>
      <c r="D222" s="572">
        <f>_xlfn.XLOOKUP(C222,'Stock Data'!$AM$4:$AM$1051,'Stock Data'!$AN$4:$AN$1051)</f>
        <v>426.26</v>
      </c>
    </row>
    <row r="223" spans="3:4" ht="15" customHeight="1">
      <c r="C223" s="598">
        <f>+'Stock Data'!AM34</f>
        <v>45889</v>
      </c>
      <c r="D223" s="572">
        <f>_xlfn.XLOOKUP(C223,'Stock Data'!$AM$4:$AM$1051,'Stock Data'!$AN$4:$AN$1051)</f>
        <v>425.63</v>
      </c>
    </row>
    <row r="224" spans="3:4" ht="15" customHeight="1">
      <c r="C224" s="598">
        <f>+'Stock Data'!AM35</f>
        <v>45888</v>
      </c>
      <c r="D224" s="572">
        <f>_xlfn.XLOOKUP(C224,'Stock Data'!$AM$4:$AM$1051,'Stock Data'!$AN$4:$AN$1051)</f>
        <v>425.63</v>
      </c>
    </row>
    <row r="225" spans="3:4" ht="15" customHeight="1">
      <c r="C225" s="598">
        <f>+'Stock Data'!AM36</f>
        <v>45887</v>
      </c>
      <c r="D225" s="572">
        <f>_xlfn.XLOOKUP(C225,'Stock Data'!$AM$4:$AM$1051,'Stock Data'!$AN$4:$AN$1051)</f>
        <v>425.63</v>
      </c>
    </row>
    <row r="226" spans="3:4" ht="15" customHeight="1">
      <c r="C226" s="598">
        <f>+'Stock Data'!AM37</f>
        <v>45886</v>
      </c>
      <c r="D226" s="572">
        <f>_xlfn.XLOOKUP(C226,'Stock Data'!$AM$4:$AM$1051,'Stock Data'!$AN$4:$AN$1051)</f>
        <v>430.75</v>
      </c>
    </row>
    <row r="227" spans="3:4" ht="15" customHeight="1">
      <c r="C227" s="598">
        <f>+'Stock Data'!AM38</f>
        <v>45885</v>
      </c>
      <c r="D227" s="572">
        <f>_xlfn.XLOOKUP(C227,'Stock Data'!$AM$4:$AM$1051,'Stock Data'!$AN$4:$AN$1051)</f>
        <v>434.85</v>
      </c>
    </row>
    <row r="228" spans="3:4" ht="15" customHeight="1">
      <c r="C228" s="598">
        <f>+'Stock Data'!AM39</f>
        <v>45884</v>
      </c>
      <c r="D228" s="572">
        <f>_xlfn.XLOOKUP(C228,'Stock Data'!$AM$4:$AM$1051,'Stock Data'!$AN$4:$AN$1051)</f>
        <v>428.24</v>
      </c>
    </row>
    <row r="229" spans="3:4" ht="15" customHeight="1">
      <c r="C229" s="598">
        <f>+'Stock Data'!AM40</f>
        <v>45883</v>
      </c>
      <c r="D229" s="572">
        <f>_xlfn.XLOOKUP(C229,'Stock Data'!$AM$4:$AM$1051,'Stock Data'!$AN$4:$AN$1051)</f>
        <v>423.7</v>
      </c>
    </row>
    <row r="230" spans="3:4" ht="15" customHeight="1">
      <c r="C230" s="598">
        <f>+'Stock Data'!AM41</f>
        <v>45882</v>
      </c>
      <c r="D230" s="572">
        <f>_xlfn.XLOOKUP(C230,'Stock Data'!$AM$4:$AM$1051,'Stock Data'!$AN$4:$AN$1051)</f>
        <v>421.01</v>
      </c>
    </row>
    <row r="231" spans="3:4" ht="15" customHeight="1">
      <c r="C231" s="598">
        <f>+'Stock Data'!AM42</f>
        <v>45881</v>
      </c>
      <c r="D231" s="572">
        <f>_xlfn.XLOOKUP(C231,'Stock Data'!$AM$4:$AM$1051,'Stock Data'!$AN$4:$AN$1051)</f>
        <v>421.01</v>
      </c>
    </row>
    <row r="232" spans="3:4" ht="15" customHeight="1">
      <c r="C232" s="598">
        <f>+'Stock Data'!AM43</f>
        <v>45880</v>
      </c>
      <c r="D232" s="572">
        <f>_xlfn.XLOOKUP(C232,'Stock Data'!$AM$4:$AM$1051,'Stock Data'!$AN$4:$AN$1051)</f>
        <v>421.01</v>
      </c>
    </row>
    <row r="233" spans="3:4" ht="15" customHeight="1">
      <c r="C233" s="598">
        <f>+'Stock Data'!AM44</f>
        <v>45879</v>
      </c>
      <c r="D233" s="572">
        <f>_xlfn.XLOOKUP(C233,'Stock Data'!$AM$4:$AM$1051,'Stock Data'!$AN$4:$AN$1051)</f>
        <v>420.98</v>
      </c>
    </row>
    <row r="234" spans="3:4" ht="15" customHeight="1">
      <c r="C234" s="598">
        <f>+'Stock Data'!AM45</f>
        <v>45878</v>
      </c>
      <c r="D234" s="572">
        <f>_xlfn.XLOOKUP(C234,'Stock Data'!$AM$4:$AM$1051,'Stock Data'!$AN$4:$AN$1051)</f>
        <v>418.68</v>
      </c>
    </row>
    <row r="235" spans="3:4" ht="15" customHeight="1">
      <c r="C235" s="598">
        <f>+'Stock Data'!AM46</f>
        <v>45877</v>
      </c>
      <c r="D235" s="572">
        <f>_xlfn.XLOOKUP(C235,'Stock Data'!$AM$4:$AM$1051,'Stock Data'!$AN$4:$AN$1051)</f>
        <v>420.13</v>
      </c>
    </row>
    <row r="236" spans="3:4" ht="15" customHeight="1">
      <c r="C236" s="598">
        <f>+'Stock Data'!AM47</f>
        <v>45876</v>
      </c>
      <c r="D236" s="572">
        <f>_xlfn.XLOOKUP(C236,'Stock Data'!$AM$4:$AM$1051,'Stock Data'!$AN$4:$AN$1051)</f>
        <v>421.34</v>
      </c>
    </row>
    <row r="237" spans="3:4" ht="15" customHeight="1">
      <c r="C237" s="598">
        <f>+'Stock Data'!AM48</f>
        <v>45875</v>
      </c>
      <c r="D237" s="572">
        <f>_xlfn.XLOOKUP(C237,'Stock Data'!$AM$4:$AM$1051,'Stock Data'!$AN$4:$AN$1051)</f>
        <v>421.17</v>
      </c>
    </row>
    <row r="238" spans="3:4" ht="15" customHeight="1">
      <c r="C238" s="598">
        <f>+'Stock Data'!AM49</f>
        <v>45874</v>
      </c>
      <c r="D238" s="572">
        <f>_xlfn.XLOOKUP(C238,'Stock Data'!$AM$4:$AM$1051,'Stock Data'!$AN$4:$AN$1051)</f>
        <v>421.17</v>
      </c>
    </row>
    <row r="239" spans="3:4" ht="15" customHeight="1">
      <c r="C239" s="598">
        <f>+'Stock Data'!AM50</f>
        <v>45873</v>
      </c>
      <c r="D239" s="572">
        <f>_xlfn.XLOOKUP(C239,'Stock Data'!$AM$4:$AM$1051,'Stock Data'!$AN$4:$AN$1051)</f>
        <v>421.17</v>
      </c>
    </row>
    <row r="240" spans="3:4" ht="15" customHeight="1">
      <c r="C240" s="598">
        <f>+'Stock Data'!AM51</f>
        <v>45872</v>
      </c>
      <c r="D240" s="572">
        <f>_xlfn.XLOOKUP(C240,'Stock Data'!$AM$4:$AM$1051,'Stock Data'!$AN$4:$AN$1051)</f>
        <v>420.55</v>
      </c>
    </row>
    <row r="241" spans="3:4" ht="15" customHeight="1">
      <c r="C241" s="598">
        <f>+'Stock Data'!AM52</f>
        <v>45871</v>
      </c>
      <c r="D241" s="572">
        <f>_xlfn.XLOOKUP(C241,'Stock Data'!$AM$4:$AM$1051,'Stock Data'!$AN$4:$AN$1051)</f>
        <v>419.39</v>
      </c>
    </row>
    <row r="242" spans="3:4" ht="15" customHeight="1">
      <c r="C242" s="598">
        <f>+'Stock Data'!AM53</f>
        <v>45870</v>
      </c>
      <c r="D242" s="572">
        <f>_xlfn.XLOOKUP(C242,'Stock Data'!$AM$4:$AM$1051,'Stock Data'!$AN$4:$AN$1051)</f>
        <v>410.74</v>
      </c>
    </row>
    <row r="243" spans="3:4" ht="15" customHeight="1">
      <c r="C243" s="598">
        <f>+'Stock Data'!AM54</f>
        <v>45869</v>
      </c>
      <c r="D243" s="572">
        <f>_xlfn.XLOOKUP(C243,'Stock Data'!$AM$4:$AM$1051,'Stock Data'!$AN$4:$AN$1051)</f>
        <v>460.53</v>
      </c>
    </row>
    <row r="244" spans="3:4" ht="15" customHeight="1">
      <c r="C244" s="598">
        <f>+'Stock Data'!AM55</f>
        <v>45868</v>
      </c>
      <c r="D244" s="572">
        <f>_xlfn.XLOOKUP(C244,'Stock Data'!$AM$4:$AM$1051,'Stock Data'!$AN$4:$AN$1051)</f>
        <v>463.96</v>
      </c>
    </row>
    <row r="245" spans="3:4" ht="15" customHeight="1">
      <c r="C245" s="598">
        <f>+'Stock Data'!AM56</f>
        <v>45867</v>
      </c>
      <c r="D245" s="572">
        <f>_xlfn.XLOOKUP(C245,'Stock Data'!$AM$4:$AM$1051,'Stock Data'!$AN$4:$AN$1051)</f>
        <v>463.96</v>
      </c>
    </row>
    <row r="246" spans="3:4" ht="15" customHeight="1">
      <c r="C246" s="598">
        <f>+'Stock Data'!AM57</f>
        <v>45866</v>
      </c>
      <c r="D246" s="572">
        <f>_xlfn.XLOOKUP(C246,'Stock Data'!$AM$4:$AM$1051,'Stock Data'!$AN$4:$AN$1051)</f>
        <v>463.96</v>
      </c>
    </row>
    <row r="247" spans="3:4" ht="15" customHeight="1">
      <c r="C247" s="598">
        <f>+'Stock Data'!AM58</f>
        <v>45865</v>
      </c>
      <c r="D247" s="572">
        <f>_xlfn.XLOOKUP(C247,'Stock Data'!$AM$4:$AM$1051,'Stock Data'!$AN$4:$AN$1051)</f>
        <v>469.2</v>
      </c>
    </row>
    <row r="248" spans="3:4" ht="15" customHeight="1">
      <c r="C248" s="598">
        <f>+'Stock Data'!AM59</f>
        <v>45864</v>
      </c>
      <c r="D248" s="572">
        <f>_xlfn.XLOOKUP(C248,'Stock Data'!$AM$4:$AM$1051,'Stock Data'!$AN$4:$AN$1051)</f>
        <v>471.47</v>
      </c>
    </row>
    <row r="249" spans="3:4" ht="15" customHeight="1">
      <c r="C249" s="598">
        <f>+'Stock Data'!AM60</f>
        <v>45863</v>
      </c>
      <c r="D249" s="572">
        <f>_xlfn.XLOOKUP(C249,'Stock Data'!$AM$4:$AM$1051,'Stock Data'!$AN$4:$AN$1051)</f>
        <v>470.12</v>
      </c>
    </row>
    <row r="250" spans="3:4" ht="15" customHeight="1">
      <c r="C250" s="598">
        <f>+'Stock Data'!AM61</f>
        <v>45862</v>
      </c>
      <c r="D250" s="572">
        <f>_xlfn.XLOOKUP(C250,'Stock Data'!$AM$4:$AM$1051,'Stock Data'!$AN$4:$AN$1051)</f>
        <v>473.57</v>
      </c>
    </row>
    <row r="251" spans="3:4" ht="15" customHeight="1">
      <c r="C251" s="598">
        <f>+'Stock Data'!AM62</f>
        <v>45861</v>
      </c>
      <c r="D251" s="572">
        <f>_xlfn.XLOOKUP(C251,'Stock Data'!$AM$4:$AM$1051,'Stock Data'!$AN$4:$AN$1051)</f>
        <v>467.51</v>
      </c>
    </row>
    <row r="252" spans="3:4" ht="15" customHeight="1">
      <c r="C252" s="598">
        <f>+'Stock Data'!AM63</f>
        <v>45860</v>
      </c>
      <c r="D252" s="572">
        <f>_xlfn.XLOOKUP(C252,'Stock Data'!$AM$4:$AM$1051,'Stock Data'!$AN$4:$AN$1051)</f>
        <v>467.51</v>
      </c>
    </row>
    <row r="253" spans="3:4" ht="15" customHeight="1">
      <c r="C253" s="598">
        <f>+'Stock Data'!AM64</f>
        <v>45859</v>
      </c>
      <c r="D253" s="572">
        <f>_xlfn.XLOOKUP(C253,'Stock Data'!$AM$4:$AM$1051,'Stock Data'!$AN$4:$AN$1051)</f>
        <v>467.51</v>
      </c>
    </row>
    <row r="254" spans="3:4" ht="15" customHeight="1">
      <c r="C254" s="598">
        <f>+'Stock Data'!AM65</f>
        <v>45858</v>
      </c>
      <c r="D254" s="572">
        <f>_xlfn.XLOOKUP(C254,'Stock Data'!$AM$4:$AM$1051,'Stock Data'!$AN$4:$AN$1051)</f>
        <v>464.31</v>
      </c>
    </row>
    <row r="255" spans="3:4" ht="15" customHeight="1">
      <c r="C255" s="598">
        <f>+'Stock Data'!AM66</f>
        <v>45857</v>
      </c>
      <c r="D255" s="572">
        <f>_xlfn.XLOOKUP(C255,'Stock Data'!$AM$4:$AM$1051,'Stock Data'!$AN$4:$AN$1051)</f>
        <v>463.06</v>
      </c>
    </row>
    <row r="256" spans="3:4" ht="15" customHeight="1">
      <c r="C256" s="598">
        <f>+'Stock Data'!AM67</f>
        <v>45856</v>
      </c>
      <c r="D256" s="572">
        <f>_xlfn.XLOOKUP(C256,'Stock Data'!$AM$4:$AM$1051,'Stock Data'!$AN$4:$AN$1051)</f>
        <v>463.01</v>
      </c>
    </row>
    <row r="257" spans="3:4" ht="15" customHeight="1">
      <c r="C257" s="598">
        <f>+'Stock Data'!AM68</f>
        <v>45855</v>
      </c>
      <c r="D257" s="572">
        <f>_xlfn.XLOOKUP(C257,'Stock Data'!$AM$4:$AM$1051,'Stock Data'!$AN$4:$AN$1051)</f>
        <v>469.06</v>
      </c>
    </row>
    <row r="258" spans="3:4" ht="15" customHeight="1">
      <c r="C258" s="598">
        <f>+'Stock Data'!AM69</f>
        <v>45854</v>
      </c>
      <c r="D258" s="572">
        <f>_xlfn.XLOOKUP(C258,'Stock Data'!$AM$4:$AM$1051,'Stock Data'!$AN$4:$AN$1051)</f>
        <v>462.52</v>
      </c>
    </row>
    <row r="259" spans="3:4" ht="15" customHeight="1">
      <c r="C259" s="598">
        <f>+'Stock Data'!AM70</f>
        <v>45853</v>
      </c>
      <c r="D259" s="572">
        <f>_xlfn.XLOOKUP(C259,'Stock Data'!$AM$4:$AM$1051,'Stock Data'!$AN$4:$AN$1051)</f>
        <v>462.52</v>
      </c>
    </row>
    <row r="260" spans="3:4" ht="15" customHeight="1">
      <c r="C260" s="598">
        <f>+'Stock Data'!AM71</f>
        <v>45852</v>
      </c>
      <c r="D260" s="572">
        <f>_xlfn.XLOOKUP(C260,'Stock Data'!$AM$4:$AM$1051,'Stock Data'!$AN$4:$AN$1051)</f>
        <v>462.52</v>
      </c>
    </row>
    <row r="261" spans="3:4" ht="15" customHeight="1">
      <c r="C261" s="598">
        <f>+'Stock Data'!AM72</f>
        <v>45851</v>
      </c>
      <c r="D261" s="572">
        <f>_xlfn.XLOOKUP(C261,'Stock Data'!$AM$4:$AM$1051,'Stock Data'!$AN$4:$AN$1051)</f>
        <v>462.52</v>
      </c>
    </row>
    <row r="262" spans="3:4" ht="15" customHeight="1">
      <c r="C262" s="598">
        <f>+'Stock Data'!AM73</f>
        <v>45850</v>
      </c>
      <c r="D262" s="572">
        <f>_xlfn.XLOOKUP(C262,'Stock Data'!$AM$4:$AM$1051,'Stock Data'!$AN$4:$AN$1051)</f>
        <v>462.55</v>
      </c>
    </row>
    <row r="263" spans="3:4" ht="15" customHeight="1">
      <c r="C263" s="598">
        <f>+'Stock Data'!AM74</f>
        <v>45849</v>
      </c>
      <c r="D263" s="572">
        <f>_xlfn.XLOOKUP(C263,'Stock Data'!$AM$4:$AM$1051,'Stock Data'!$AN$4:$AN$1051)</f>
        <v>465.94</v>
      </c>
    </row>
    <row r="264" spans="3:4" ht="15" customHeight="1">
      <c r="C264" s="598">
        <f>+'Stock Data'!AM75</f>
        <v>45848</v>
      </c>
      <c r="D264" s="572">
        <f>_xlfn.XLOOKUP(C264,'Stock Data'!$AM$4:$AM$1051,'Stock Data'!$AN$4:$AN$1051)</f>
        <v>463.14</v>
      </c>
    </row>
    <row r="265" spans="3:4" ht="15" customHeight="1">
      <c r="C265" s="598">
        <f>+'Stock Data'!AM76</f>
        <v>45847</v>
      </c>
      <c r="D265" s="572">
        <f>_xlfn.XLOOKUP(C265,'Stock Data'!$AM$4:$AM$1051,'Stock Data'!$AN$4:$AN$1051)</f>
        <v>458.59</v>
      </c>
    </row>
    <row r="266" spans="3:4" ht="15" customHeight="1">
      <c r="C266" s="598">
        <f>+'Stock Data'!AM77</f>
        <v>45846</v>
      </c>
      <c r="D266" s="572">
        <f>_xlfn.XLOOKUP(C266,'Stock Data'!$AM$4:$AM$1051,'Stock Data'!$AN$4:$AN$1051)</f>
        <v>458.59</v>
      </c>
    </row>
    <row r="267" spans="3:4" ht="15" customHeight="1">
      <c r="C267" s="598">
        <f>+'Stock Data'!AM78</f>
        <v>45845</v>
      </c>
      <c r="D267" s="572">
        <f>_xlfn.XLOOKUP(C267,'Stock Data'!$AM$4:$AM$1051,'Stock Data'!$AN$4:$AN$1051)</f>
        <v>458.59</v>
      </c>
    </row>
    <row r="268" spans="3:4" ht="15" customHeight="1">
      <c r="C268" s="598">
        <f>+'Stock Data'!AM79</f>
        <v>45844</v>
      </c>
      <c r="D268" s="572">
        <f>_xlfn.XLOOKUP(C268,'Stock Data'!$AM$4:$AM$1051,'Stock Data'!$AN$4:$AN$1051)</f>
        <v>457.9</v>
      </c>
    </row>
    <row r="269" spans="3:4" ht="15" customHeight="1">
      <c r="C269" s="598">
        <f>+'Stock Data'!AM80</f>
        <v>45843</v>
      </c>
      <c r="D269" s="572">
        <f>_xlfn.XLOOKUP(C269,'Stock Data'!$AM$4:$AM$1051,'Stock Data'!$AN$4:$AN$1051)</f>
        <v>458.39</v>
      </c>
    </row>
    <row r="270" spans="3:4" ht="15" customHeight="1">
      <c r="C270" s="598">
        <f>+'Stock Data'!AM81</f>
        <v>45842</v>
      </c>
      <c r="D270" s="572">
        <f>_xlfn.XLOOKUP(C270,'Stock Data'!$AM$4:$AM$1051,'Stock Data'!$AN$4:$AN$1051)</f>
        <v>460.2</v>
      </c>
    </row>
    <row r="271" spans="3:4" ht="15" customHeight="1">
      <c r="C271" s="598">
        <f>+'Stock Data'!AM82</f>
        <v>45841</v>
      </c>
      <c r="D271" s="572">
        <f>_xlfn.XLOOKUP(C271,'Stock Data'!$AM$4:$AM$1051,'Stock Data'!$AN$4:$AN$1051)</f>
        <v>472.46</v>
      </c>
    </row>
    <row r="272" spans="3:4" ht="15" customHeight="1">
      <c r="C272" s="598">
        <f>+'Stock Data'!AM83</f>
        <v>45840</v>
      </c>
      <c r="D272" s="572">
        <f>_xlfn.XLOOKUP(C272,'Stock Data'!$AM$4:$AM$1051,'Stock Data'!$AN$4:$AN$1051)</f>
        <v>470.56</v>
      </c>
    </row>
    <row r="273" spans="3:4" ht="15" customHeight="1">
      <c r="C273" s="598">
        <f>+'Stock Data'!AM84</f>
        <v>45839</v>
      </c>
      <c r="D273" s="572">
        <f>_xlfn.XLOOKUP(C273,'Stock Data'!$AM$4:$AM$1051,'Stock Data'!$AN$4:$AN$1051)</f>
        <v>470.56</v>
      </c>
    </row>
    <row r="274" spans="3:4" ht="15" customHeight="1">
      <c r="C274" s="598">
        <f>+'Stock Data'!AM85</f>
        <v>45838</v>
      </c>
      <c r="D274" s="572">
        <f>_xlfn.XLOOKUP(C274,'Stock Data'!$AM$4:$AM$1051,'Stock Data'!$AN$4:$AN$1051)</f>
        <v>470.56</v>
      </c>
    </row>
    <row r="275" spans="3:4" ht="15" customHeight="1">
      <c r="C275" s="598">
        <f>+'Stock Data'!AM86</f>
        <v>45837</v>
      </c>
      <c r="D275" s="572">
        <f>_xlfn.XLOOKUP(C275,'Stock Data'!$AM$4:$AM$1051,'Stock Data'!$AN$4:$AN$1051)</f>
        <v>468.6</v>
      </c>
    </row>
    <row r="276" spans="3:4" ht="15" customHeight="1">
      <c r="C276" s="598">
        <f>+'Stock Data'!AM87</f>
        <v>45836</v>
      </c>
      <c r="D276" s="572">
        <f>_xlfn.XLOOKUP(C276,'Stock Data'!$AM$4:$AM$1051,'Stock Data'!$AN$4:$AN$1051)</f>
        <v>468.6</v>
      </c>
    </row>
    <row r="277" spans="3:4" ht="15" customHeight="1">
      <c r="C277" s="598">
        <f>+'Stock Data'!AM88</f>
        <v>45835</v>
      </c>
      <c r="D277" s="572">
        <f>_xlfn.XLOOKUP(C277,'Stock Data'!$AM$4:$AM$1051,'Stock Data'!$AN$4:$AN$1051)</f>
        <v>479.34</v>
      </c>
    </row>
    <row r="278" spans="3:4" ht="15" customHeight="1">
      <c r="C278" s="598">
        <f>+'Stock Data'!AM89</f>
        <v>45834</v>
      </c>
      <c r="D278" s="572">
        <f>_xlfn.XLOOKUP(C278,'Stock Data'!$AM$4:$AM$1051,'Stock Data'!$AN$4:$AN$1051)</f>
        <v>467.06</v>
      </c>
    </row>
    <row r="279" spans="3:4" ht="15" customHeight="1">
      <c r="C279" s="598">
        <f>+'Stock Data'!AM90</f>
        <v>45833</v>
      </c>
      <c r="D279" s="572">
        <f>_xlfn.XLOOKUP(C279,'Stock Data'!$AM$4:$AM$1051,'Stock Data'!$AN$4:$AN$1051)</f>
        <v>486.45</v>
      </c>
    </row>
    <row r="280" spans="3:4" ht="15" customHeight="1">
      <c r="C280" s="598">
        <f>+'Stock Data'!AM91</f>
        <v>45832</v>
      </c>
      <c r="D280" s="572">
        <f>_xlfn.XLOOKUP(C280,'Stock Data'!$AM$4:$AM$1051,'Stock Data'!$AN$4:$AN$1051)</f>
        <v>486.45</v>
      </c>
    </row>
    <row r="281" spans="3:4" ht="15" customHeight="1">
      <c r="C281" s="598">
        <f>+'Stock Data'!AM92</f>
        <v>45831</v>
      </c>
      <c r="D281" s="572">
        <f>_xlfn.XLOOKUP(C281,'Stock Data'!$AM$4:$AM$1051,'Stock Data'!$AN$4:$AN$1051)</f>
        <v>486.45</v>
      </c>
    </row>
    <row r="282" spans="3:4" ht="15" customHeight="1">
      <c r="C282" s="598">
        <f>+'Stock Data'!AM93</f>
        <v>45830</v>
      </c>
      <c r="D282" s="572">
        <f>_xlfn.XLOOKUP(C282,'Stock Data'!$AM$4:$AM$1051,'Stock Data'!$AN$4:$AN$1051)</f>
        <v>469.27</v>
      </c>
    </row>
    <row r="283" spans="3:4" ht="15" customHeight="1">
      <c r="C283" s="598">
        <f>+'Stock Data'!AM94</f>
        <v>45829</v>
      </c>
      <c r="D283" s="572">
        <f>_xlfn.XLOOKUP(C283,'Stock Data'!$AM$4:$AM$1051,'Stock Data'!$AN$4:$AN$1051)</f>
        <v>456.6</v>
      </c>
    </row>
    <row r="284" spans="3:4" ht="15" customHeight="1">
      <c r="C284" s="598">
        <f>+'Stock Data'!AM95</f>
        <v>45828</v>
      </c>
      <c r="D284" s="572">
        <f>_xlfn.XLOOKUP(C284,'Stock Data'!$AM$4:$AM$1051,'Stock Data'!$AN$4:$AN$1051)</f>
        <v>476.9</v>
      </c>
    </row>
    <row r="285" spans="3:4" ht="15" customHeight="1">
      <c r="C285" s="598">
        <f>+'Stock Data'!AM96</f>
        <v>45827</v>
      </c>
      <c r="D285" s="572">
        <f>_xlfn.XLOOKUP(C285,'Stock Data'!$AM$4:$AM$1051,'Stock Data'!$AN$4:$AN$1051)</f>
        <v>480.83</v>
      </c>
    </row>
    <row r="286" spans="3:4" ht="15" customHeight="1">
      <c r="C286" s="598">
        <f>+'Stock Data'!AM97</f>
        <v>45826</v>
      </c>
      <c r="D286" s="572">
        <f>_xlfn.XLOOKUP(C286,'Stock Data'!$AM$4:$AM$1051,'Stock Data'!$AN$4:$AN$1051)</f>
        <v>481.69</v>
      </c>
    </row>
    <row r="287" spans="3:4" ht="15" customHeight="1">
      <c r="C287" s="598">
        <f>+'Stock Data'!AM98</f>
        <v>45825</v>
      </c>
      <c r="D287" s="572">
        <f>_xlfn.XLOOKUP(C287,'Stock Data'!$AM$4:$AM$1051,'Stock Data'!$AN$4:$AN$1051)</f>
        <v>481.69</v>
      </c>
    </row>
    <row r="288" spans="3:4" ht="15" customHeight="1">
      <c r="C288" s="598">
        <f>+'Stock Data'!AM99</f>
        <v>45824</v>
      </c>
      <c r="D288" s="572">
        <f>_xlfn.XLOOKUP(C288,'Stock Data'!$AM$4:$AM$1051,'Stock Data'!$AN$4:$AN$1051)</f>
        <v>481.69</v>
      </c>
    </row>
    <row r="289" spans="3:4" ht="15" customHeight="1">
      <c r="C289" s="598">
        <f>+'Stock Data'!AM100</f>
        <v>45823</v>
      </c>
      <c r="D289" s="572">
        <f>_xlfn.XLOOKUP(C289,'Stock Data'!$AM$4:$AM$1051,'Stock Data'!$AN$4:$AN$1051)</f>
        <v>478.03</v>
      </c>
    </row>
    <row r="290" spans="3:4" ht="15" customHeight="1">
      <c r="C290" s="598">
        <f>+'Stock Data'!AM101</f>
        <v>45822</v>
      </c>
      <c r="D290" s="572">
        <f>_xlfn.XLOOKUP(C290,'Stock Data'!$AM$4:$AM$1051,'Stock Data'!$AN$4:$AN$1051)</f>
        <v>482.21</v>
      </c>
    </row>
    <row r="291" spans="3:4" ht="15" customHeight="1">
      <c r="C291" s="598">
        <f>+'Stock Data'!AM102</f>
        <v>45821</v>
      </c>
      <c r="D291" s="572">
        <f>_xlfn.XLOOKUP(C291,'Stock Data'!$AM$4:$AM$1051,'Stock Data'!$AN$4:$AN$1051)</f>
        <v>480.17</v>
      </c>
    </row>
    <row r="292" spans="3:4" ht="15" customHeight="1">
      <c r="C292" s="598">
        <f>+'Stock Data'!AM103</f>
        <v>45820</v>
      </c>
      <c r="D292" s="572">
        <f>_xlfn.XLOOKUP(C292,'Stock Data'!$AM$4:$AM$1051,'Stock Data'!$AN$4:$AN$1051)</f>
        <v>478.82</v>
      </c>
    </row>
    <row r="293" spans="3:4" ht="15" customHeight="1">
      <c r="C293" s="598">
        <f>+'Stock Data'!AM104</f>
        <v>45819</v>
      </c>
      <c r="D293" s="572">
        <f>_xlfn.XLOOKUP(C293,'Stock Data'!$AM$4:$AM$1051,'Stock Data'!$AN$4:$AN$1051)</f>
        <v>482.38</v>
      </c>
    </row>
    <row r="294" spans="3:4" ht="15" customHeight="1">
      <c r="C294" s="598">
        <f>+'Stock Data'!AM105</f>
        <v>45818</v>
      </c>
      <c r="D294" s="572">
        <f>_xlfn.XLOOKUP(C294,'Stock Data'!$AM$4:$AM$1051,'Stock Data'!$AN$4:$AN$1051)</f>
        <v>482.38</v>
      </c>
    </row>
    <row r="295" spans="3:4" ht="15" customHeight="1">
      <c r="C295" s="598">
        <f>+'Stock Data'!AM106</f>
        <v>45817</v>
      </c>
      <c r="D295" s="572">
        <f>_xlfn.XLOOKUP(C295,'Stock Data'!$AM$4:$AM$1051,'Stock Data'!$AN$4:$AN$1051)</f>
        <v>482.38</v>
      </c>
    </row>
    <row r="296" spans="3:4" ht="15" customHeight="1">
      <c r="C296" s="598">
        <f>+'Stock Data'!AM107</f>
        <v>45816</v>
      </c>
      <c r="D296" s="572">
        <f>_xlfn.XLOOKUP(C296,'Stock Data'!$AM$4:$AM$1051,'Stock Data'!$AN$4:$AN$1051)</f>
        <v>473.69</v>
      </c>
    </row>
    <row r="297" spans="3:4" ht="15" customHeight="1">
      <c r="C297" s="598">
        <f>+'Stock Data'!AM108</f>
        <v>45815</v>
      </c>
      <c r="D297" s="572">
        <f>_xlfn.XLOOKUP(C297,'Stock Data'!$AM$4:$AM$1051,'Stock Data'!$AN$4:$AN$1051)</f>
        <v>469.98</v>
      </c>
    </row>
    <row r="298" spans="3:4" ht="15" customHeight="1">
      <c r="C298" s="598">
        <f>+'Stock Data'!AM109</f>
        <v>45814</v>
      </c>
      <c r="D298" s="572">
        <f>_xlfn.XLOOKUP(C298,'Stock Data'!$AM$4:$AM$1051,'Stock Data'!$AN$4:$AN$1051)</f>
        <v>476.85</v>
      </c>
    </row>
    <row r="299" spans="3:4" ht="15" customHeight="1">
      <c r="C299" s="598">
        <f>+'Stock Data'!AM110</f>
        <v>45813</v>
      </c>
      <c r="D299" s="572">
        <f>_xlfn.XLOOKUP(C299,'Stock Data'!$AM$4:$AM$1051,'Stock Data'!$AN$4:$AN$1051)</f>
        <v>468.88</v>
      </c>
    </row>
    <row r="300" spans="3:4" ht="15" customHeight="1">
      <c r="C300" s="598">
        <f>+'Stock Data'!AM111</f>
        <v>45812</v>
      </c>
      <c r="D300" s="572">
        <f>_xlfn.XLOOKUP(C300,'Stock Data'!$AM$4:$AM$1051,'Stock Data'!$AN$4:$AN$1051)</f>
        <v>468.88</v>
      </c>
    </row>
    <row r="301" spans="3:4" ht="15" customHeight="1">
      <c r="C301" s="598">
        <f>+'Stock Data'!AM112</f>
        <v>45811</v>
      </c>
      <c r="D301" s="572">
        <f>_xlfn.XLOOKUP(C301,'Stock Data'!$AM$4:$AM$1051,'Stock Data'!$AN$4:$AN$1051)</f>
        <v>468.88</v>
      </c>
    </row>
    <row r="302" spans="3:4" ht="15" customHeight="1">
      <c r="C302" s="598">
        <f>+'Stock Data'!AM113</f>
        <v>45810</v>
      </c>
      <c r="D302" s="572">
        <f>_xlfn.XLOOKUP(C302,'Stock Data'!$AM$4:$AM$1051,'Stock Data'!$AN$4:$AN$1051)</f>
        <v>468.88</v>
      </c>
    </row>
    <row r="303" spans="3:4" ht="15" customHeight="1">
      <c r="C303" s="598">
        <f>+'Stock Data'!AM114</f>
        <v>45809</v>
      </c>
      <c r="D303" s="572">
        <f>_xlfn.XLOOKUP(C303,'Stock Data'!$AM$4:$AM$1051,'Stock Data'!$AN$4:$AN$1051)</f>
        <v>470.45</v>
      </c>
    </row>
    <row r="304" spans="3:4" ht="15" customHeight="1">
      <c r="C304" s="598">
        <f>+'Stock Data'!AM115</f>
        <v>45808</v>
      </c>
      <c r="D304" s="572">
        <f>_xlfn.XLOOKUP(C304,'Stock Data'!$AM$4:$AM$1051,'Stock Data'!$AN$4:$AN$1051)</f>
        <v>470.28</v>
      </c>
    </row>
    <row r="305" spans="3:4" ht="15" customHeight="1">
      <c r="C305" s="598">
        <f>+'Stock Data'!AM116</f>
        <v>45807</v>
      </c>
      <c r="D305" s="572">
        <f>_xlfn.XLOOKUP(C305,'Stock Data'!$AM$4:$AM$1051,'Stock Data'!$AN$4:$AN$1051)</f>
        <v>475.82</v>
      </c>
    </row>
    <row r="306" spans="3:4" ht="15" customHeight="1">
      <c r="C306" s="598">
        <f>+'Stock Data'!AM117</f>
        <v>45806</v>
      </c>
      <c r="D306" s="572">
        <f>_xlfn.XLOOKUP(C306,'Stock Data'!$AM$4:$AM$1051,'Stock Data'!$AN$4:$AN$1051)</f>
        <v>473.06</v>
      </c>
    </row>
    <row r="307" spans="3:4" ht="15" customHeight="1">
      <c r="C307" s="598">
        <f>+'Stock Data'!AM118</f>
        <v>45805</v>
      </c>
      <c r="D307" s="572">
        <f>_xlfn.XLOOKUP(C307,'Stock Data'!$AM$4:$AM$1051,'Stock Data'!$AN$4:$AN$1051)</f>
        <v>468.32</v>
      </c>
    </row>
    <row r="308" spans="3:4" ht="15" customHeight="1">
      <c r="C308" s="598">
        <f>+'Stock Data'!AM119</f>
        <v>45804</v>
      </c>
      <c r="D308" s="572">
        <f>_xlfn.XLOOKUP(C308,'Stock Data'!$AM$4:$AM$1051,'Stock Data'!$AN$4:$AN$1051)</f>
        <v>468.32</v>
      </c>
    </row>
    <row r="309" spans="3:4" ht="15" customHeight="1">
      <c r="C309" s="598">
        <f>+'Stock Data'!AM120</f>
        <v>45803</v>
      </c>
      <c r="D309" s="572">
        <f>_xlfn.XLOOKUP(C309,'Stock Data'!$AM$4:$AM$1051,'Stock Data'!$AN$4:$AN$1051)</f>
        <v>468.32</v>
      </c>
    </row>
    <row r="310" spans="3:4" ht="15" customHeight="1">
      <c r="C310" s="598">
        <f>+'Stock Data'!AM121</f>
        <v>45802</v>
      </c>
      <c r="D310" s="572">
        <f>_xlfn.XLOOKUP(C310,'Stock Data'!$AM$4:$AM$1051,'Stock Data'!$AN$4:$AN$1051)</f>
        <v>465.14</v>
      </c>
    </row>
    <row r="311" spans="3:4" ht="15" customHeight="1">
      <c r="C311" s="598">
        <f>+'Stock Data'!AM122</f>
        <v>45801</v>
      </c>
      <c r="D311" s="572">
        <f>_xlfn.XLOOKUP(C311,'Stock Data'!$AM$4:$AM$1051,'Stock Data'!$AN$4:$AN$1051)</f>
        <v>449.18</v>
      </c>
    </row>
    <row r="312" spans="3:4" ht="15" customHeight="1">
      <c r="C312" s="598">
        <f>+'Stock Data'!AM123</f>
        <v>45800</v>
      </c>
      <c r="D312" s="572">
        <f>_xlfn.XLOOKUP(C312,'Stock Data'!$AM$4:$AM$1051,'Stock Data'!$AN$4:$AN$1051)</f>
        <v>459.83</v>
      </c>
    </row>
    <row r="313" spans="3:4" ht="15" customHeight="1">
      <c r="C313" s="598">
        <f>+'Stock Data'!AM124</f>
        <v>45799</v>
      </c>
      <c r="D313" s="572">
        <f>_xlfn.XLOOKUP(C313,'Stock Data'!$AM$4:$AM$1051,'Stock Data'!$AN$4:$AN$1051)</f>
        <v>473.16</v>
      </c>
    </row>
    <row r="314" spans="3:4" ht="15" customHeight="1">
      <c r="C314" s="598">
        <f>+'Stock Data'!AM125</f>
        <v>45798</v>
      </c>
      <c r="D314" s="572">
        <f>_xlfn.XLOOKUP(C314,'Stock Data'!$AM$4:$AM$1051,'Stock Data'!$AN$4:$AN$1051)</f>
        <v>473.52</v>
      </c>
    </row>
    <row r="315" spans="3:4" ht="15" customHeight="1">
      <c r="C315" s="598">
        <f>+'Stock Data'!AM126</f>
        <v>45797</v>
      </c>
      <c r="D315" s="572">
        <f>_xlfn.XLOOKUP(C315,'Stock Data'!$AM$4:$AM$1051,'Stock Data'!$AN$4:$AN$1051)</f>
        <v>473.52</v>
      </c>
    </row>
    <row r="316" spans="3:4" ht="15" customHeight="1">
      <c r="C316" s="598">
        <f>+'Stock Data'!AM127</f>
        <v>45796</v>
      </c>
      <c r="D316" s="572">
        <f>_xlfn.XLOOKUP(C316,'Stock Data'!$AM$4:$AM$1051,'Stock Data'!$AN$4:$AN$1051)</f>
        <v>473.52</v>
      </c>
    </row>
    <row r="317" spans="3:4" ht="15" customHeight="1">
      <c r="C317" s="598">
        <f>+'Stock Data'!AM128</f>
        <v>45795</v>
      </c>
      <c r="D317" s="572">
        <f>_xlfn.XLOOKUP(C317,'Stock Data'!$AM$4:$AM$1051,'Stock Data'!$AN$4:$AN$1051)</f>
        <v>474.53</v>
      </c>
    </row>
    <row r="318" spans="3:4" ht="15" customHeight="1">
      <c r="C318" s="598">
        <f>+'Stock Data'!AM129</f>
        <v>45794</v>
      </c>
      <c r="D318" s="572">
        <f>_xlfn.XLOOKUP(C318,'Stock Data'!$AM$4:$AM$1051,'Stock Data'!$AN$4:$AN$1051)</f>
        <v>471.32</v>
      </c>
    </row>
    <row r="319" spans="3:4" ht="15" customHeight="1">
      <c r="C319" s="598">
        <f>+'Stock Data'!AM130</f>
        <v>45793</v>
      </c>
      <c r="D319" s="572">
        <f>_xlfn.XLOOKUP(C319,'Stock Data'!$AM$4:$AM$1051,'Stock Data'!$AN$4:$AN$1051)</f>
        <v>468.21</v>
      </c>
    </row>
    <row r="320" spans="3:4" ht="15" customHeight="1">
      <c r="C320" s="598">
        <f>+'Stock Data'!AM131</f>
        <v>45792</v>
      </c>
      <c r="D320" s="572">
        <f>_xlfn.XLOOKUP(C320,'Stock Data'!$AM$4:$AM$1051,'Stock Data'!$AN$4:$AN$1051)</f>
        <v>471.56</v>
      </c>
    </row>
    <row r="321" spans="3:4" ht="15" customHeight="1">
      <c r="C321" s="598">
        <f>+'Stock Data'!AM132</f>
        <v>45791</v>
      </c>
      <c r="D321" s="572">
        <f>_xlfn.XLOOKUP(C321,'Stock Data'!$AM$4:$AM$1051,'Stock Data'!$AN$4:$AN$1051)</f>
        <v>472.8</v>
      </c>
    </row>
    <row r="322" spans="3:4" ht="15" customHeight="1">
      <c r="C322" s="598">
        <f>+'Stock Data'!AM133</f>
        <v>45790</v>
      </c>
      <c r="D322" s="572">
        <f>_xlfn.XLOOKUP(C322,'Stock Data'!$AM$4:$AM$1051,'Stock Data'!$AN$4:$AN$1051)</f>
        <v>472.8</v>
      </c>
    </row>
    <row r="323" spans="3:4" ht="15" customHeight="1">
      <c r="C323" s="598">
        <f>+'Stock Data'!AM134</f>
        <v>45789</v>
      </c>
      <c r="D323" s="572">
        <f>_xlfn.XLOOKUP(C323,'Stock Data'!$AM$4:$AM$1051,'Stock Data'!$AN$4:$AN$1051)</f>
        <v>472.8</v>
      </c>
    </row>
    <row r="324" spans="3:4" ht="15" customHeight="1">
      <c r="C324" s="598">
        <f>+'Stock Data'!AM135</f>
        <v>45788</v>
      </c>
      <c r="D324" s="572">
        <f>_xlfn.XLOOKUP(C324,'Stock Data'!$AM$4:$AM$1051,'Stock Data'!$AN$4:$AN$1051)</f>
        <v>477.72</v>
      </c>
    </row>
    <row r="325" spans="3:4" ht="15" customHeight="1">
      <c r="C325" s="598">
        <f>+'Stock Data'!AM136</f>
        <v>45787</v>
      </c>
      <c r="D325" s="572">
        <f>_xlfn.XLOOKUP(C325,'Stock Data'!$AM$4:$AM$1051,'Stock Data'!$AN$4:$AN$1051)</f>
        <v>477.75</v>
      </c>
    </row>
    <row r="326" spans="3:4" ht="15" customHeight="1">
      <c r="C326" s="598">
        <f>+'Stock Data'!AM137</f>
        <v>45786</v>
      </c>
      <c r="D326" s="572">
        <f>_xlfn.XLOOKUP(C326,'Stock Data'!$AM$4:$AM$1051,'Stock Data'!$AN$4:$AN$1051)</f>
        <v>475.88</v>
      </c>
    </row>
    <row r="327" spans="3:4" ht="15" customHeight="1">
      <c r="C327" s="598">
        <f>+'Stock Data'!AM138</f>
        <v>45785</v>
      </c>
      <c r="D327" s="572">
        <f>_xlfn.XLOOKUP(C327,'Stock Data'!$AM$4:$AM$1051,'Stock Data'!$AN$4:$AN$1051)</f>
        <v>476.29</v>
      </c>
    </row>
    <row r="328" spans="3:4" ht="15" customHeight="1">
      <c r="C328" s="598">
        <f>+'Stock Data'!AM139</f>
        <v>45784</v>
      </c>
      <c r="D328" s="572">
        <f>_xlfn.XLOOKUP(C328,'Stock Data'!$AM$4:$AM$1051,'Stock Data'!$AN$4:$AN$1051)</f>
        <v>477.64</v>
      </c>
    </row>
    <row r="329" spans="3:4" ht="15" customHeight="1">
      <c r="C329" s="598">
        <f>+'Stock Data'!AM140</f>
        <v>45783</v>
      </c>
      <c r="D329" s="572">
        <f>_xlfn.XLOOKUP(C329,'Stock Data'!$AM$4:$AM$1051,'Stock Data'!$AN$4:$AN$1051)</f>
        <v>477.64</v>
      </c>
    </row>
    <row r="330" spans="3:4" ht="15" customHeight="1">
      <c r="C330" s="598">
        <f>+'Stock Data'!AM141</f>
        <v>45782</v>
      </c>
      <c r="D330" s="572">
        <f>_xlfn.XLOOKUP(C330,'Stock Data'!$AM$4:$AM$1051,'Stock Data'!$AN$4:$AN$1051)</f>
        <v>477.64</v>
      </c>
    </row>
    <row r="331" spans="3:4" ht="15" customHeight="1">
      <c r="C331" s="598">
        <f>+'Stock Data'!AM142</f>
        <v>45781</v>
      </c>
      <c r="D331" s="572">
        <f>_xlfn.XLOOKUP(C331,'Stock Data'!$AM$4:$AM$1051,'Stock Data'!$AN$4:$AN$1051)</f>
        <v>466.81</v>
      </c>
    </row>
    <row r="332" spans="3:4" ht="15" customHeight="1">
      <c r="C332" s="598">
        <f>+'Stock Data'!AM143</f>
        <v>45780</v>
      </c>
      <c r="D332" s="572">
        <f>_xlfn.XLOOKUP(C332,'Stock Data'!$AM$4:$AM$1051,'Stock Data'!$AN$4:$AN$1051)</f>
        <v>463.55</v>
      </c>
    </row>
    <row r="333" spans="3:4" ht="15" customHeight="1">
      <c r="C333" s="598">
        <f>+'Stock Data'!AM144</f>
        <v>45779</v>
      </c>
      <c r="D333" s="572">
        <f>_xlfn.XLOOKUP(C333,'Stock Data'!$AM$4:$AM$1051,'Stock Data'!$AN$4:$AN$1051)</f>
        <v>462.08</v>
      </c>
    </row>
    <row r="334" spans="3:4" ht="15" customHeight="1">
      <c r="C334" s="598">
        <f>+'Stock Data'!AM145</f>
        <v>45778</v>
      </c>
      <c r="D334" s="572">
        <f>_xlfn.XLOOKUP(C334,'Stock Data'!$AM$4:$AM$1051,'Stock Data'!$AN$4:$AN$1051)</f>
        <v>458.33</v>
      </c>
    </row>
    <row r="335" spans="3:4" ht="15" customHeight="1">
      <c r="C335" s="598">
        <f>+'Stock Data'!AM146</f>
        <v>45777</v>
      </c>
      <c r="D335" s="572">
        <f>_xlfn.XLOOKUP(C335,'Stock Data'!$AM$4:$AM$1051,'Stock Data'!$AN$4:$AN$1051)</f>
        <v>464.08</v>
      </c>
    </row>
    <row r="336" spans="3:4" ht="15" customHeight="1">
      <c r="C336" s="598">
        <f>+'Stock Data'!AM147</f>
        <v>45776</v>
      </c>
      <c r="D336" s="572">
        <f>_xlfn.XLOOKUP(C336,'Stock Data'!$AM$4:$AM$1051,'Stock Data'!$AN$4:$AN$1051)</f>
        <v>464.08</v>
      </c>
    </row>
    <row r="337" spans="3:4" ht="15" customHeight="1">
      <c r="C337" s="598">
        <f>+'Stock Data'!AM148</f>
        <v>45775</v>
      </c>
      <c r="D337" s="572">
        <f>_xlfn.XLOOKUP(C337,'Stock Data'!$AM$4:$AM$1051,'Stock Data'!$AN$4:$AN$1051)</f>
        <v>464.08</v>
      </c>
    </row>
    <row r="338" spans="3:4" ht="15" customHeight="1">
      <c r="C338" s="598">
        <f>+'Stock Data'!AM149</f>
        <v>45774</v>
      </c>
      <c r="D338" s="572">
        <f>_xlfn.XLOOKUP(C338,'Stock Data'!$AM$4:$AM$1051,'Stock Data'!$AN$4:$AN$1051)</f>
        <v>464.08</v>
      </c>
    </row>
    <row r="339" spans="3:4" ht="15" customHeight="1">
      <c r="C339" s="598">
        <f>+'Stock Data'!AM150</f>
        <v>45773</v>
      </c>
      <c r="D339" s="572">
        <f>_xlfn.XLOOKUP(C339,'Stock Data'!$AM$4:$AM$1051,'Stock Data'!$AN$4:$AN$1051)</f>
        <v>477.08</v>
      </c>
    </row>
    <row r="340" spans="3:4" ht="15" customHeight="1">
      <c r="C340" s="598">
        <f>+'Stock Data'!AM151</f>
        <v>45772</v>
      </c>
      <c r="D340" s="572">
        <f>_xlfn.XLOOKUP(C340,'Stock Data'!$AM$4:$AM$1051,'Stock Data'!$AN$4:$AN$1051)</f>
        <v>469.58</v>
      </c>
    </row>
    <row r="341" spans="3:4" ht="15" customHeight="1">
      <c r="C341" s="598">
        <f>+'Stock Data'!AM152</f>
        <v>45771</v>
      </c>
      <c r="D341" s="572">
        <f>_xlfn.XLOOKUP(C341,'Stock Data'!$AM$4:$AM$1051,'Stock Data'!$AN$4:$AN$1051)</f>
        <v>475.34</v>
      </c>
    </row>
    <row r="342" spans="3:4" ht="15" customHeight="1">
      <c r="C342" s="598">
        <f>+'Stock Data'!AM153</f>
        <v>45770</v>
      </c>
      <c r="D342" s="572">
        <f>_xlfn.XLOOKUP(C342,'Stock Data'!$AM$4:$AM$1051,'Stock Data'!$AN$4:$AN$1051)</f>
        <v>474.9</v>
      </c>
    </row>
    <row r="343" spans="3:4" ht="15" customHeight="1">
      <c r="C343" s="598">
        <f>+'Stock Data'!AM154</f>
        <v>45769</v>
      </c>
      <c r="D343" s="572">
        <f>_xlfn.XLOOKUP(C343,'Stock Data'!$AM$4:$AM$1051,'Stock Data'!$AN$4:$AN$1051)</f>
        <v>474.9</v>
      </c>
    </row>
    <row r="344" spans="3:4" ht="15" customHeight="1">
      <c r="C344" s="598">
        <f>+'Stock Data'!AM155</f>
        <v>45768</v>
      </c>
      <c r="D344" s="572">
        <f>_xlfn.XLOOKUP(C344,'Stock Data'!$AM$4:$AM$1051,'Stock Data'!$AN$4:$AN$1051)</f>
        <v>474.9</v>
      </c>
    </row>
    <row r="345" spans="3:4" ht="15" customHeight="1">
      <c r="C345" s="598">
        <f>+'Stock Data'!AM156</f>
        <v>45767</v>
      </c>
      <c r="D345" s="572">
        <f>_xlfn.XLOOKUP(C345,'Stock Data'!$AM$4:$AM$1051,'Stock Data'!$AN$4:$AN$1051)</f>
        <v>463.7</v>
      </c>
    </row>
    <row r="346" spans="3:4" ht="15" customHeight="1">
      <c r="C346" s="598">
        <f>+'Stock Data'!AM157</f>
        <v>45766</v>
      </c>
      <c r="D346" s="572">
        <f>_xlfn.XLOOKUP(C346,'Stock Data'!$AM$4:$AM$1051,'Stock Data'!$AN$4:$AN$1051)</f>
        <v>462.24</v>
      </c>
    </row>
    <row r="347" spans="3:4" ht="15" customHeight="1">
      <c r="C347" s="598">
        <f>+'Stock Data'!AM158</f>
        <v>45765</v>
      </c>
      <c r="D347" s="572">
        <f>_xlfn.XLOOKUP(C347,'Stock Data'!$AM$4:$AM$1051,'Stock Data'!$AN$4:$AN$1051)</f>
        <v>443.36</v>
      </c>
    </row>
    <row r="348" spans="3:4" ht="15" customHeight="1">
      <c r="C348" s="598">
        <f>+'Stock Data'!AM159</f>
        <v>45764</v>
      </c>
      <c r="D348" s="572">
        <f>_xlfn.XLOOKUP(C348,'Stock Data'!$AM$4:$AM$1051,'Stock Data'!$AN$4:$AN$1051)</f>
        <v>430.82</v>
      </c>
    </row>
    <row r="349" spans="3:4" ht="15" customHeight="1">
      <c r="C349" s="598">
        <f>+'Stock Data'!AM160</f>
        <v>45763</v>
      </c>
      <c r="D349" s="572">
        <f>_xlfn.XLOOKUP(C349,'Stock Data'!$AM$4:$AM$1051,'Stock Data'!$AN$4:$AN$1051)</f>
        <v>432.15</v>
      </c>
    </row>
    <row r="350" spans="3:4" ht="15" customHeight="1">
      <c r="C350" s="598">
        <f>+'Stock Data'!AM161</f>
        <v>45762</v>
      </c>
      <c r="D350" s="572">
        <f>_xlfn.XLOOKUP(C350,'Stock Data'!$AM$4:$AM$1051,'Stock Data'!$AN$4:$AN$1051)</f>
        <v>432.15</v>
      </c>
    </row>
    <row r="351" spans="3:4" ht="15" customHeight="1">
      <c r="C351" s="598">
        <f>+'Stock Data'!AM162</f>
        <v>45761</v>
      </c>
      <c r="D351" s="572">
        <f>_xlfn.XLOOKUP(C351,'Stock Data'!$AM$4:$AM$1051,'Stock Data'!$AN$4:$AN$1051)</f>
        <v>432.15</v>
      </c>
    </row>
    <row r="352" spans="3:4" ht="15" customHeight="1">
      <c r="C352" s="598">
        <f>+'Stock Data'!AM163</f>
        <v>45760</v>
      </c>
      <c r="D352" s="572">
        <f>_xlfn.XLOOKUP(C352,'Stock Data'!$AM$4:$AM$1051,'Stock Data'!$AN$4:$AN$1051)</f>
        <v>454.78</v>
      </c>
    </row>
    <row r="353" spans="3:4" ht="15" customHeight="1">
      <c r="C353" s="598">
        <f>+'Stock Data'!AM164</f>
        <v>45759</v>
      </c>
      <c r="D353" s="572">
        <f>_xlfn.XLOOKUP(C353,'Stock Data'!$AM$4:$AM$1051,'Stock Data'!$AN$4:$AN$1051)</f>
        <v>452.87</v>
      </c>
    </row>
    <row r="354" spans="3:4" ht="15" customHeight="1">
      <c r="C354" s="598">
        <f>+'Stock Data'!AM165</f>
        <v>45758</v>
      </c>
      <c r="D354" s="572">
        <f>_xlfn.XLOOKUP(C354,'Stock Data'!$AM$4:$AM$1051,'Stock Data'!$AN$4:$AN$1051)</f>
        <v>448.64</v>
      </c>
    </row>
    <row r="355" spans="3:4" ht="15" customHeight="1">
      <c r="C355" s="598">
        <f>+'Stock Data'!AM166</f>
        <v>45757</v>
      </c>
      <c r="D355" s="572">
        <f>_xlfn.XLOOKUP(C355,'Stock Data'!$AM$4:$AM$1051,'Stock Data'!$AN$4:$AN$1051)</f>
        <v>446.71</v>
      </c>
    </row>
    <row r="356" spans="3:4" ht="15" customHeight="1">
      <c r="C356" s="598">
        <f>+'Stock Data'!AM167</f>
        <v>45756</v>
      </c>
      <c r="D356" s="572">
        <f>_xlfn.XLOOKUP(C356,'Stock Data'!$AM$4:$AM$1051,'Stock Data'!$AN$4:$AN$1051)</f>
        <v>441.49</v>
      </c>
    </row>
    <row r="357" spans="3:4" ht="15" customHeight="1">
      <c r="C357" s="598">
        <f>+'Stock Data'!AM168</f>
        <v>45755</v>
      </c>
      <c r="D357" s="572">
        <f>_xlfn.XLOOKUP(C357,'Stock Data'!$AM$4:$AM$1051,'Stock Data'!$AN$4:$AN$1051)</f>
        <v>441.49</v>
      </c>
    </row>
    <row r="358" spans="3:4" ht="15" customHeight="1">
      <c r="C358" s="598">
        <f>+'Stock Data'!AM169</f>
        <v>45754</v>
      </c>
      <c r="D358" s="572">
        <f>_xlfn.XLOOKUP(C358,'Stock Data'!$AM$4:$AM$1051,'Stock Data'!$AN$4:$AN$1051)</f>
        <v>441.49</v>
      </c>
    </row>
    <row r="359" spans="3:4" ht="15" customHeight="1">
      <c r="C359" s="598">
        <f>+'Stock Data'!AM170</f>
        <v>45753</v>
      </c>
      <c r="D359" s="572">
        <f>_xlfn.XLOOKUP(C359,'Stock Data'!$AM$4:$AM$1051,'Stock Data'!$AN$4:$AN$1051)</f>
        <v>442.28</v>
      </c>
    </row>
    <row r="360" spans="3:4" ht="15" customHeight="1">
      <c r="C360" s="598">
        <f>+'Stock Data'!AM171</f>
        <v>45752</v>
      </c>
      <c r="D360" s="572">
        <f>_xlfn.XLOOKUP(C360,'Stock Data'!$AM$4:$AM$1051,'Stock Data'!$AN$4:$AN$1051)</f>
        <v>445.17</v>
      </c>
    </row>
    <row r="361" spans="3:4" ht="15" customHeight="1">
      <c r="C361" s="598">
        <f>+'Stock Data'!AM172</f>
        <v>45751</v>
      </c>
      <c r="D361" s="572">
        <f>_xlfn.XLOOKUP(C361,'Stock Data'!$AM$4:$AM$1051,'Stock Data'!$AN$4:$AN$1051)</f>
        <v>442.07</v>
      </c>
    </row>
    <row r="362" spans="3:4" ht="15" customHeight="1">
      <c r="C362" s="598">
        <f>+'Stock Data'!AM173</f>
        <v>45750</v>
      </c>
      <c r="D362" s="572">
        <f>_xlfn.XLOOKUP(C362,'Stock Data'!$AM$4:$AM$1051,'Stock Data'!$AN$4:$AN$1051)</f>
        <v>434.98</v>
      </c>
    </row>
    <row r="363" spans="3:4" ht="15" customHeight="1">
      <c r="C363" s="598">
        <f>+'Stock Data'!AM174</f>
        <v>45749</v>
      </c>
      <c r="D363" s="572">
        <f>_xlfn.XLOOKUP(C363,'Stock Data'!$AM$4:$AM$1051,'Stock Data'!$AN$4:$AN$1051)</f>
        <v>439.7</v>
      </c>
    </row>
    <row r="364" spans="3:4" ht="15" customHeight="1">
      <c r="C364" s="598">
        <f>+'Stock Data'!AM175</f>
        <v>45748</v>
      </c>
      <c r="D364" s="572">
        <f>_xlfn.XLOOKUP(C364,'Stock Data'!$AM$4:$AM$1051,'Stock Data'!$AN$4:$AN$1051)</f>
        <v>439.7</v>
      </c>
    </row>
    <row r="365" spans="3:4" ht="15" customHeight="1">
      <c r="C365" s="598">
        <f>+'Stock Data'!AM176</f>
        <v>45747</v>
      </c>
      <c r="D365" s="572">
        <f>_xlfn.XLOOKUP(C365,'Stock Data'!$AM$4:$AM$1051,'Stock Data'!$AN$4:$AN$1051)</f>
        <v>439.7</v>
      </c>
    </row>
    <row r="366" spans="3:4" ht="15" customHeight="1">
      <c r="C366" s="598">
        <f>+'Stock Data'!AM177</f>
        <v>45746</v>
      </c>
      <c r="D366" s="572">
        <f>_xlfn.XLOOKUP(C366,'Stock Data'!$AM$4:$AM$1051,'Stock Data'!$AN$4:$AN$1051)</f>
        <v>466.74</v>
      </c>
    </row>
    <row r="367" spans="3:4" ht="15" customHeight="1">
      <c r="C367" s="598">
        <f>+'Stock Data'!AM178</f>
        <v>45745</v>
      </c>
      <c r="D367" s="572">
        <f>_xlfn.XLOOKUP(C367,'Stock Data'!$AM$4:$AM$1051,'Stock Data'!$AN$4:$AN$1051)</f>
        <v>470.55</v>
      </c>
    </row>
    <row r="368" spans="3:4" ht="15" customHeight="1">
      <c r="C368" s="598">
        <f>+'Stock Data'!AM179</f>
        <v>45744</v>
      </c>
      <c r="D368" s="572">
        <f>_xlfn.XLOOKUP(C368,'Stock Data'!$AM$4:$AM$1051,'Stock Data'!$AN$4:$AN$1051)</f>
        <v>469.28</v>
      </c>
    </row>
    <row r="369" spans="3:4" ht="15" customHeight="1">
      <c r="C369" s="598">
        <f>+'Stock Data'!AM180</f>
        <v>45743</v>
      </c>
      <c r="D369" s="572">
        <f>_xlfn.XLOOKUP(C369,'Stock Data'!$AM$4:$AM$1051,'Stock Data'!$AN$4:$AN$1051)</f>
        <v>467.61</v>
      </c>
    </row>
    <row r="370" spans="3:4" ht="15" customHeight="1">
      <c r="C370" s="598">
        <f>+'Stock Data'!AM181</f>
        <v>45742</v>
      </c>
      <c r="D370" s="572">
        <f>_xlfn.XLOOKUP(C370,'Stock Data'!$AM$4:$AM$1051,'Stock Data'!$AN$4:$AN$1051)</f>
        <v>466.17</v>
      </c>
    </row>
    <row r="371" spans="3:4" ht="15" customHeight="1">
      <c r="C371" s="598">
        <f>+'Stock Data'!AM182</f>
        <v>45741</v>
      </c>
      <c r="D371" s="572">
        <f>_xlfn.XLOOKUP(C371,'Stock Data'!$AM$4:$AM$1051,'Stock Data'!$AN$4:$AN$1051)</f>
        <v>466.17</v>
      </c>
    </row>
    <row r="372" spans="3:4" ht="15" customHeight="1">
      <c r="C372" s="598">
        <f>+'Stock Data'!AM183</f>
        <v>45740</v>
      </c>
      <c r="D372" s="572">
        <f>_xlfn.XLOOKUP(C372,'Stock Data'!$AM$4:$AM$1051,'Stock Data'!$AN$4:$AN$1051)</f>
        <v>466.17</v>
      </c>
    </row>
    <row r="373" spans="3:4" ht="15" customHeight="1">
      <c r="C373" s="598">
        <f>+'Stock Data'!AM184</f>
        <v>45739</v>
      </c>
      <c r="D373" s="572">
        <f>_xlfn.XLOOKUP(C373,'Stock Data'!$AM$4:$AM$1051,'Stock Data'!$AN$4:$AN$1051)</f>
        <v>467.93</v>
      </c>
    </row>
    <row r="374" spans="3:4" ht="15" customHeight="1">
      <c r="C374" s="598">
        <f>+'Stock Data'!AM185</f>
        <v>45738</v>
      </c>
      <c r="D374" s="572">
        <f>_xlfn.XLOOKUP(C374,'Stock Data'!$AM$4:$AM$1051,'Stock Data'!$AN$4:$AN$1051)</f>
        <v>461.5</v>
      </c>
    </row>
    <row r="375" spans="3:4" ht="15" customHeight="1">
      <c r="C375" s="598">
        <f>+'Stock Data'!AM186</f>
        <v>45737</v>
      </c>
      <c r="D375" s="572">
        <f>_xlfn.XLOOKUP(C375,'Stock Data'!$AM$4:$AM$1051,'Stock Data'!$AN$4:$AN$1051)</f>
        <v>468.88</v>
      </c>
    </row>
    <row r="376" spans="3:4" ht="15" customHeight="1">
      <c r="C376" s="598">
        <f>+'Stock Data'!AM187</f>
        <v>45736</v>
      </c>
      <c r="D376" s="572">
        <f>_xlfn.XLOOKUP(C376,'Stock Data'!$AM$4:$AM$1051,'Stock Data'!$AN$4:$AN$1051)</f>
        <v>479.17</v>
      </c>
    </row>
    <row r="377" spans="3:4" ht="15" customHeight="1">
      <c r="C377" s="598">
        <f>+'Stock Data'!AM188</f>
        <v>45735</v>
      </c>
      <c r="D377" s="572">
        <f>_xlfn.XLOOKUP(C377,'Stock Data'!$AM$4:$AM$1051,'Stock Data'!$AN$4:$AN$1051)</f>
        <v>473.65</v>
      </c>
    </row>
    <row r="378" spans="3:4" ht="15" customHeight="1">
      <c r="C378" s="598">
        <f>+'Stock Data'!AM189</f>
        <v>45734</v>
      </c>
      <c r="D378" s="572">
        <f>_xlfn.XLOOKUP(C378,'Stock Data'!$AM$4:$AM$1051,'Stock Data'!$AN$4:$AN$1051)</f>
        <v>473.65</v>
      </c>
    </row>
    <row r="379" spans="3:4" ht="15" customHeight="1">
      <c r="C379" s="598">
        <f>+'Stock Data'!AM190</f>
        <v>45733</v>
      </c>
      <c r="D379" s="572">
        <f>_xlfn.XLOOKUP(C379,'Stock Data'!$AM$4:$AM$1051,'Stock Data'!$AN$4:$AN$1051)</f>
        <v>473.65</v>
      </c>
    </row>
    <row r="380" spans="3:4" ht="15" customHeight="1">
      <c r="C380" s="598">
        <f>+'Stock Data'!AM191</f>
        <v>45732</v>
      </c>
      <c r="D380" s="572">
        <f>_xlfn.XLOOKUP(C380,'Stock Data'!$AM$4:$AM$1051,'Stock Data'!$AN$4:$AN$1051)</f>
        <v>461.5</v>
      </c>
    </row>
    <row r="381" spans="3:4" ht="15" customHeight="1">
      <c r="C381" s="598">
        <f>+'Stock Data'!AM192</f>
        <v>45731</v>
      </c>
      <c r="D381" s="572">
        <f>_xlfn.XLOOKUP(C381,'Stock Data'!$AM$4:$AM$1051,'Stock Data'!$AN$4:$AN$1051)</f>
        <v>460.42</v>
      </c>
    </row>
    <row r="382" spans="3:4" ht="15" customHeight="1">
      <c r="C382" s="598">
        <f>+'Stock Data'!AM193</f>
        <v>45730</v>
      </c>
      <c r="D382" s="572">
        <f>_xlfn.XLOOKUP(C382,'Stock Data'!$AM$4:$AM$1051,'Stock Data'!$AN$4:$AN$1051)</f>
        <v>448.82</v>
      </c>
    </row>
    <row r="383" spans="3:4" ht="15" customHeight="1">
      <c r="C383" s="598">
        <f>+'Stock Data'!AM194</f>
        <v>45729</v>
      </c>
      <c r="D383" s="572">
        <f>_xlfn.XLOOKUP(C383,'Stock Data'!$AM$4:$AM$1051,'Stock Data'!$AN$4:$AN$1051)</f>
        <v>451.94</v>
      </c>
    </row>
    <row r="384" spans="3:4" ht="15" customHeight="1">
      <c r="C384" s="598">
        <f>+'Stock Data'!AM195</f>
        <v>45728</v>
      </c>
      <c r="D384" s="572">
        <f>_xlfn.XLOOKUP(C384,'Stock Data'!$AM$4:$AM$1051,'Stock Data'!$AN$4:$AN$1051)</f>
        <v>450.37</v>
      </c>
    </row>
    <row r="385" spans="3:4" ht="15" customHeight="1">
      <c r="C385" s="598">
        <f>+'Stock Data'!AM196</f>
        <v>45727</v>
      </c>
      <c r="D385" s="572">
        <f>_xlfn.XLOOKUP(C385,'Stock Data'!$AM$4:$AM$1051,'Stock Data'!$AN$4:$AN$1051)</f>
        <v>450.37</v>
      </c>
    </row>
    <row r="386" spans="3:4" ht="15" customHeight="1">
      <c r="C386" s="598">
        <f>+'Stock Data'!AM197</f>
        <v>45726</v>
      </c>
      <c r="D386" s="572">
        <f>_xlfn.XLOOKUP(C386,'Stock Data'!$AM$4:$AM$1051,'Stock Data'!$AN$4:$AN$1051)</f>
        <v>450.37</v>
      </c>
    </row>
    <row r="387" spans="3:4" ht="15" customHeight="1">
      <c r="C387" s="598">
        <f>+'Stock Data'!AM198</f>
        <v>45725</v>
      </c>
      <c r="D387" s="572">
        <f>_xlfn.XLOOKUP(C387,'Stock Data'!$AM$4:$AM$1051,'Stock Data'!$AN$4:$AN$1051)</f>
        <v>446.46</v>
      </c>
    </row>
    <row r="388" spans="3:4" ht="15" customHeight="1">
      <c r="C388" s="598">
        <f>+'Stock Data'!AM199</f>
        <v>45724</v>
      </c>
      <c r="D388" s="572">
        <f>_xlfn.XLOOKUP(C388,'Stock Data'!$AM$4:$AM$1051,'Stock Data'!$AN$4:$AN$1051)</f>
        <v>441.5</v>
      </c>
    </row>
    <row r="389" spans="3:4" ht="15" customHeight="1">
      <c r="C389" s="598">
        <f>+'Stock Data'!AM200</f>
        <v>45723</v>
      </c>
      <c r="D389" s="572">
        <f>_xlfn.XLOOKUP(C389,'Stock Data'!$AM$4:$AM$1051,'Stock Data'!$AN$4:$AN$1051)</f>
        <v>448.46</v>
      </c>
    </row>
    <row r="390" spans="3:4" ht="15" customHeight="1">
      <c r="C390" s="598">
        <f>+'Stock Data'!AM201</f>
        <v>45722</v>
      </c>
      <c r="D390" s="572">
        <f>_xlfn.XLOOKUP(C390,'Stock Data'!$AM$4:$AM$1051,'Stock Data'!$AN$4:$AN$1051)</f>
        <v>440.27</v>
      </c>
    </row>
    <row r="391" spans="3:4" ht="15" customHeight="1">
      <c r="C391" s="598">
        <f>+'Stock Data'!AM202</f>
        <v>45721</v>
      </c>
      <c r="D391" s="572">
        <f>_xlfn.XLOOKUP(C391,'Stock Data'!$AM$4:$AM$1051,'Stock Data'!$AN$4:$AN$1051)</f>
        <v>440.72</v>
      </c>
    </row>
    <row r="392" spans="3:4" ht="15" customHeight="1">
      <c r="C392" s="598">
        <f>+'Stock Data'!AM203</f>
        <v>45720</v>
      </c>
      <c r="D392" s="572">
        <f>_xlfn.XLOOKUP(C392,'Stock Data'!$AM$4:$AM$1051,'Stock Data'!$AN$4:$AN$1051)</f>
        <v>440.72</v>
      </c>
    </row>
    <row r="393" spans="3:4" ht="15" customHeight="1">
      <c r="C393" s="598">
        <f>+'Stock Data'!AM204</f>
        <v>45719</v>
      </c>
      <c r="D393" s="572">
        <f>_xlfn.XLOOKUP(C393,'Stock Data'!$AM$4:$AM$1051,'Stock Data'!$AN$4:$AN$1051)</f>
        <v>440.72</v>
      </c>
    </row>
    <row r="394" spans="3:4" ht="15" customHeight="1">
      <c r="C394" s="598">
        <f>+'Stock Data'!AM205</f>
        <v>45718</v>
      </c>
      <c r="D394" s="572">
        <f>_xlfn.XLOOKUP(C394,'Stock Data'!$AM$4:$AM$1051,'Stock Data'!$AN$4:$AN$1051)</f>
        <v>436.29</v>
      </c>
    </row>
    <row r="395" spans="3:4" ht="15" customHeight="1">
      <c r="C395" s="598">
        <f>+'Stock Data'!AM206</f>
        <v>45717</v>
      </c>
      <c r="D395" s="572">
        <f>_xlfn.XLOOKUP(C395,'Stock Data'!$AM$4:$AM$1051,'Stock Data'!$AN$4:$AN$1051)</f>
        <v>432.95</v>
      </c>
    </row>
    <row r="396" spans="3:4" ht="15" customHeight="1">
      <c r="C396" s="598">
        <f>+'Stock Data'!AM207</f>
        <v>45716</v>
      </c>
      <c r="D396" s="572">
        <f>_xlfn.XLOOKUP(C396,'Stock Data'!$AM$4:$AM$1051,'Stock Data'!$AN$4:$AN$1051)</f>
        <v>428.54</v>
      </c>
    </row>
    <row r="397" spans="3:4" ht="15" customHeight="1">
      <c r="C397" s="598">
        <f>+'Stock Data'!AM208</f>
        <v>45715</v>
      </c>
      <c r="D397" s="572">
        <f>_xlfn.XLOOKUP(C397,'Stock Data'!$AM$4:$AM$1051,'Stock Data'!$AN$4:$AN$1051)</f>
        <v>423.19</v>
      </c>
    </row>
    <row r="398" spans="3:4" ht="15" customHeight="1">
      <c r="C398" s="598">
        <f>+'Stock Data'!AM209</f>
        <v>45714</v>
      </c>
      <c r="D398" s="572">
        <f>_xlfn.XLOOKUP(C398,'Stock Data'!$AM$4:$AM$1051,'Stock Data'!$AN$4:$AN$1051)</f>
        <v>423.19</v>
      </c>
    </row>
    <row r="399" spans="3:4" ht="15" customHeight="1">
      <c r="C399" s="598">
        <f>+'Stock Data'!AM210</f>
        <v>45713</v>
      </c>
      <c r="D399" s="572">
        <f>_xlfn.XLOOKUP(C399,'Stock Data'!$AM$4:$AM$1051,'Stock Data'!$AN$4:$AN$1051)</f>
        <v>423.19</v>
      </c>
    </row>
    <row r="400" spans="3:4" ht="15" customHeight="1">
      <c r="C400" s="598">
        <f>+'Stock Data'!AM211</f>
        <v>45712</v>
      </c>
      <c r="D400" s="572">
        <f>_xlfn.XLOOKUP(C400,'Stock Data'!$AM$4:$AM$1051,'Stock Data'!$AN$4:$AN$1051)</f>
        <v>423.19</v>
      </c>
    </row>
    <row r="401" spans="3:4" ht="15" customHeight="1">
      <c r="C401" s="598">
        <f>+'Stock Data'!AM212</f>
        <v>45711</v>
      </c>
      <c r="D401" s="572">
        <f>_xlfn.XLOOKUP(C401,'Stock Data'!$AM$4:$AM$1051,'Stock Data'!$AN$4:$AN$1051)</f>
        <v>434.72</v>
      </c>
    </row>
    <row r="402" spans="3:4" ht="15" customHeight="1">
      <c r="C402" s="598">
        <f>+'Stock Data'!AM213</f>
        <v>45710</v>
      </c>
      <c r="D402" s="572">
        <f>_xlfn.XLOOKUP(C402,'Stock Data'!$AM$4:$AM$1051,'Stock Data'!$AN$4:$AN$1051)</f>
        <v>441.97</v>
      </c>
    </row>
    <row r="403" spans="3:4" ht="15" customHeight="1">
      <c r="C403" s="598">
        <f>+'Stock Data'!AM214</f>
        <v>45709</v>
      </c>
      <c r="D403" s="572">
        <f>_xlfn.XLOOKUP(C403,'Stock Data'!$AM$4:$AM$1051,'Stock Data'!$AN$4:$AN$1051)</f>
        <v>449.36</v>
      </c>
    </row>
    <row r="404" spans="3:4" ht="15" customHeight="1">
      <c r="C404" s="598">
        <f>+'Stock Data'!AM215</f>
        <v>45708</v>
      </c>
      <c r="D404" s="572">
        <f>_xlfn.XLOOKUP(C404,'Stock Data'!$AM$4:$AM$1051,'Stock Data'!$AN$4:$AN$1051)</f>
        <v>448.22</v>
      </c>
    </row>
    <row r="405" spans="3:4" ht="15" customHeight="1">
      <c r="C405" s="598">
        <f>+'Stock Data'!AM216</f>
        <v>45707</v>
      </c>
      <c r="D405" s="572">
        <f>_xlfn.XLOOKUP(C405,'Stock Data'!$AM$4:$AM$1051,'Stock Data'!$AN$4:$AN$1051)</f>
        <v>444.39</v>
      </c>
    </row>
    <row r="406" spans="3:4" ht="15" customHeight="1">
      <c r="C406" s="598">
        <f>+'Stock Data'!AM217</f>
        <v>45706</v>
      </c>
      <c r="D406" s="572">
        <f>_xlfn.XLOOKUP(C406,'Stock Data'!$AM$4:$AM$1051,'Stock Data'!$AN$4:$AN$1051)</f>
        <v>444.39</v>
      </c>
    </row>
    <row r="407" spans="3:4" ht="15" customHeight="1">
      <c r="C407" s="598">
        <f>+'Stock Data'!AM218</f>
        <v>45705</v>
      </c>
      <c r="D407" s="572">
        <f>_xlfn.XLOOKUP(C407,'Stock Data'!$AM$4:$AM$1051,'Stock Data'!$AN$4:$AN$1051)</f>
        <v>444.39</v>
      </c>
    </row>
    <row r="408" spans="3:4" ht="15" customHeight="1">
      <c r="C408" s="598">
        <f>+'Stock Data'!AM219</f>
        <v>45704</v>
      </c>
      <c r="D408" s="572">
        <f>_xlfn.XLOOKUP(C408,'Stock Data'!$AM$4:$AM$1051,'Stock Data'!$AN$4:$AN$1051)</f>
        <v>448.52</v>
      </c>
    </row>
    <row r="409" spans="3:4" ht="15" customHeight="1">
      <c r="C409" s="598">
        <f>+'Stock Data'!AM220</f>
        <v>45703</v>
      </c>
      <c r="D409" s="572">
        <f>_xlfn.XLOOKUP(C409,'Stock Data'!$AM$4:$AM$1051,'Stock Data'!$AN$4:$AN$1051)</f>
        <v>449.87</v>
      </c>
    </row>
    <row r="410" spans="3:4" ht="15" customHeight="1">
      <c r="C410" s="598">
        <f>+'Stock Data'!AM221</f>
        <v>45702</v>
      </c>
      <c r="D410" s="572">
        <f>_xlfn.XLOOKUP(C410,'Stock Data'!$AM$4:$AM$1051,'Stock Data'!$AN$4:$AN$1051)</f>
        <v>453.68</v>
      </c>
    </row>
    <row r="411" spans="3:4" ht="15" customHeight="1">
      <c r="C411" s="598">
        <f>+'Stock Data'!AM222</f>
        <v>45701</v>
      </c>
      <c r="D411" s="572">
        <f>_xlfn.XLOOKUP(C411,'Stock Data'!$AM$4:$AM$1051,'Stock Data'!$AN$4:$AN$1051)</f>
        <v>455.42</v>
      </c>
    </row>
    <row r="412" spans="3:4" ht="15" customHeight="1">
      <c r="C412" s="598">
        <f>+'Stock Data'!AM223</f>
        <v>45700</v>
      </c>
      <c r="D412" s="572">
        <f>_xlfn.XLOOKUP(C412,'Stock Data'!$AM$4:$AM$1051,'Stock Data'!$AN$4:$AN$1051)</f>
        <v>462.95</v>
      </c>
    </row>
    <row r="413" spans="3:4" ht="15" customHeight="1">
      <c r="C413" s="598">
        <f>+'Stock Data'!AM224</f>
        <v>45699</v>
      </c>
      <c r="D413" s="572">
        <f>_xlfn.XLOOKUP(C413,'Stock Data'!$AM$4:$AM$1051,'Stock Data'!$AN$4:$AN$1051)</f>
        <v>462.95</v>
      </c>
    </row>
    <row r="414" spans="3:4" ht="15" customHeight="1">
      <c r="C414" s="598">
        <f>+'Stock Data'!AM225</f>
        <v>45698</v>
      </c>
      <c r="D414" s="572">
        <f>_xlfn.XLOOKUP(C414,'Stock Data'!$AM$4:$AM$1051,'Stock Data'!$AN$4:$AN$1051)</f>
        <v>462.95</v>
      </c>
    </row>
    <row r="415" spans="3:4" ht="15" customHeight="1">
      <c r="C415" s="598">
        <f>+'Stock Data'!AM226</f>
        <v>45697</v>
      </c>
      <c r="D415" s="572">
        <f>_xlfn.XLOOKUP(C415,'Stock Data'!$AM$4:$AM$1051,'Stock Data'!$AN$4:$AN$1051)</f>
        <v>459.65</v>
      </c>
    </row>
    <row r="416" spans="3:4" ht="15" customHeight="1">
      <c r="C416" s="598">
        <f>+'Stock Data'!AM227</f>
        <v>45696</v>
      </c>
      <c r="D416" s="572">
        <f>_xlfn.XLOOKUP(C416,'Stock Data'!$AM$4:$AM$1051,'Stock Data'!$AN$4:$AN$1051)</f>
        <v>454.36</v>
      </c>
    </row>
    <row r="417" spans="3:4" ht="15" customHeight="1">
      <c r="C417" s="598">
        <f>+'Stock Data'!AM228</f>
        <v>45695</v>
      </c>
      <c r="D417" s="572">
        <f>_xlfn.XLOOKUP(C417,'Stock Data'!$AM$4:$AM$1051,'Stock Data'!$AN$4:$AN$1051)</f>
        <v>457.45</v>
      </c>
    </row>
    <row r="418" spans="3:4" ht="15" customHeight="1">
      <c r="C418" s="598">
        <f>+'Stock Data'!AM229</f>
        <v>45694</v>
      </c>
      <c r="D418" s="572">
        <f>_xlfn.XLOOKUP(C418,'Stock Data'!$AM$4:$AM$1051,'Stock Data'!$AN$4:$AN$1051)</f>
        <v>503.69</v>
      </c>
    </row>
    <row r="419" spans="3:4" ht="15" customHeight="1">
      <c r="C419" s="598">
        <f>+'Stock Data'!AM230</f>
        <v>45693</v>
      </c>
      <c r="D419" s="572">
        <f>_xlfn.XLOOKUP(C419,'Stock Data'!$AM$4:$AM$1051,'Stock Data'!$AN$4:$AN$1051)</f>
        <v>496.96</v>
      </c>
    </row>
    <row r="420" spans="3:4" ht="15" customHeight="1">
      <c r="C420" s="598">
        <f>+'Stock Data'!AM231</f>
        <v>45692</v>
      </c>
      <c r="D420" s="572">
        <f>_xlfn.XLOOKUP(C420,'Stock Data'!$AM$4:$AM$1051,'Stock Data'!$AN$4:$AN$1051)</f>
        <v>496.96</v>
      </c>
    </row>
    <row r="421" spans="3:4" ht="15" customHeight="1">
      <c r="C421" s="598">
        <f>+'Stock Data'!AM232</f>
        <v>45691</v>
      </c>
      <c r="D421" s="572">
        <f>_xlfn.XLOOKUP(C421,'Stock Data'!$AM$4:$AM$1051,'Stock Data'!$AN$4:$AN$1051)</f>
        <v>496.96</v>
      </c>
    </row>
    <row r="422" spans="3:4" ht="15" customHeight="1">
      <c r="C422" s="598">
        <f>+'Stock Data'!AM233</f>
        <v>45690</v>
      </c>
      <c r="D422" s="572">
        <f>_xlfn.XLOOKUP(C422,'Stock Data'!$AM$4:$AM$1051,'Stock Data'!$AN$4:$AN$1051)</f>
        <v>497.28</v>
      </c>
    </row>
    <row r="423" spans="3:4" ht="15" customHeight="1">
      <c r="C423" s="598">
        <f>+'Stock Data'!AM234</f>
        <v>45689</v>
      </c>
      <c r="D423" s="572">
        <f>_xlfn.XLOOKUP(C423,'Stock Data'!$AM$4:$AM$1051,'Stock Data'!$AN$4:$AN$1051)</f>
        <v>499.34</v>
      </c>
    </row>
    <row r="424" spans="3:4" ht="15" customHeight="1">
      <c r="C424" s="598">
        <f>+'Stock Data'!AM235</f>
        <v>45688</v>
      </c>
      <c r="D424" s="572">
        <f>_xlfn.XLOOKUP(C424,'Stock Data'!$AM$4:$AM$1051,'Stock Data'!$AN$4:$AN$1051)</f>
        <v>506.29</v>
      </c>
    </row>
    <row r="425" spans="3:4" ht="15" customHeight="1">
      <c r="C425" s="598">
        <f>+'Stock Data'!AM236</f>
        <v>45687</v>
      </c>
      <c r="D425" s="572">
        <f>_xlfn.XLOOKUP(C425,'Stock Data'!$AM$4:$AM$1051,'Stock Data'!$AN$4:$AN$1051)</f>
        <v>490.32</v>
      </c>
    </row>
    <row r="426" spans="3:4" ht="15" customHeight="1">
      <c r="C426" s="598">
        <f>+'Stock Data'!AM237</f>
        <v>45686</v>
      </c>
      <c r="D426" s="572">
        <f>_xlfn.XLOOKUP(C426,'Stock Data'!$AM$4:$AM$1051,'Stock Data'!$AN$4:$AN$1051)</f>
        <v>490.32</v>
      </c>
    </row>
    <row r="427" spans="3:4" ht="15" customHeight="1">
      <c r="C427" s="598">
        <f>+'Stock Data'!AM238</f>
        <v>45685</v>
      </c>
      <c r="D427" s="572">
        <f>_xlfn.XLOOKUP(C427,'Stock Data'!$AM$4:$AM$1051,'Stock Data'!$AN$4:$AN$1051)</f>
        <v>490.32</v>
      </c>
    </row>
    <row r="428" spans="3:4" ht="15" customHeight="1">
      <c r="C428" s="598">
        <f>+'Stock Data'!AM239</f>
        <v>45684</v>
      </c>
      <c r="D428" s="572">
        <f>_xlfn.XLOOKUP(C428,'Stock Data'!$AM$4:$AM$1051,'Stock Data'!$AN$4:$AN$1051)</f>
        <v>490.32</v>
      </c>
    </row>
    <row r="429" spans="3:4" ht="15" customHeight="1">
      <c r="C429" s="598">
        <f>+'Stock Data'!AM240</f>
        <v>45683</v>
      </c>
      <c r="D429" s="572">
        <f>_xlfn.XLOOKUP(C429,'Stock Data'!$AM$4:$AM$1051,'Stock Data'!$AN$4:$AN$1051)</f>
        <v>486.86</v>
      </c>
    </row>
    <row r="430" spans="3:4" ht="15" customHeight="1">
      <c r="C430" s="598">
        <f>+'Stock Data'!AM241</f>
        <v>45682</v>
      </c>
      <c r="D430" s="572">
        <f>_xlfn.XLOOKUP(C430,'Stock Data'!$AM$4:$AM$1051,'Stock Data'!$AN$4:$AN$1051)</f>
        <v>483.97</v>
      </c>
    </row>
    <row r="431" spans="3:4" ht="15" customHeight="1">
      <c r="C431" s="598">
        <f>+'Stock Data'!AM242</f>
        <v>45681</v>
      </c>
      <c r="D431" s="572">
        <f>_xlfn.XLOOKUP(C431,'Stock Data'!$AM$4:$AM$1051,'Stock Data'!$AN$4:$AN$1051)</f>
        <v>484.46</v>
      </c>
    </row>
    <row r="432" spans="3:4" ht="15" customHeight="1">
      <c r="C432" s="598">
        <f>+'Stock Data'!AM243</f>
        <v>45680</v>
      </c>
      <c r="D432" s="572">
        <f>_xlfn.XLOOKUP(C432,'Stock Data'!$AM$4:$AM$1051,'Stock Data'!$AN$4:$AN$1051)</f>
        <v>483.16</v>
      </c>
    </row>
    <row r="433" spans="3:4" ht="15" customHeight="1">
      <c r="C433" s="598">
        <f>+'Stock Data'!AM244</f>
        <v>45679</v>
      </c>
      <c r="D433" s="572">
        <f>_xlfn.XLOOKUP(C433,'Stock Data'!$AM$4:$AM$1051,'Stock Data'!$AN$4:$AN$1051)</f>
        <v>468.05</v>
      </c>
    </row>
    <row r="434" spans="3:4" ht="15" customHeight="1">
      <c r="C434" s="598">
        <f>+'Stock Data'!AM245</f>
        <v>45678</v>
      </c>
      <c r="D434" s="572">
        <f>_xlfn.XLOOKUP(C434,'Stock Data'!$AM$4:$AM$1051,'Stock Data'!$AN$4:$AN$1051)</f>
        <v>468.05</v>
      </c>
    </row>
    <row r="435" spans="3:4" ht="15" customHeight="1">
      <c r="C435" s="598">
        <f>+'Stock Data'!AM246</f>
        <v>45677</v>
      </c>
      <c r="D435" s="572">
        <f>_xlfn.XLOOKUP(C435,'Stock Data'!$AM$4:$AM$1051,'Stock Data'!$AN$4:$AN$1051)</f>
        <v>468.05</v>
      </c>
    </row>
    <row r="436" spans="3:4" ht="15" customHeight="1">
      <c r="C436" s="598">
        <f>+'Stock Data'!AM247</f>
        <v>45676</v>
      </c>
      <c r="D436" s="572">
        <f>_xlfn.XLOOKUP(C436,'Stock Data'!$AM$4:$AM$1051,'Stock Data'!$AN$4:$AN$1051)</f>
        <v>468.85</v>
      </c>
    </row>
    <row r="437" spans="3:4" ht="15" customHeight="1">
      <c r="C437" s="598">
        <f>+'Stock Data'!AM248</f>
        <v>45675</v>
      </c>
      <c r="D437" s="572">
        <f>_xlfn.XLOOKUP(C437,'Stock Data'!$AM$4:$AM$1051,'Stock Data'!$AN$4:$AN$1051)</f>
        <v>468.85</v>
      </c>
    </row>
    <row r="438" spans="3:4" ht="15" customHeight="1">
      <c r="C438" s="598">
        <f>+'Stock Data'!AM249</f>
        <v>45674</v>
      </c>
      <c r="D438" s="572">
        <f>_xlfn.XLOOKUP(C438,'Stock Data'!$AM$4:$AM$1051,'Stock Data'!$AN$4:$AN$1051)</f>
        <v>463.96</v>
      </c>
    </row>
    <row r="439" spans="3:4" ht="15" customHeight="1">
      <c r="C439" s="598">
        <f>+'Stock Data'!AM250</f>
        <v>45673</v>
      </c>
      <c r="D439" s="572">
        <f>_xlfn.XLOOKUP(C439,'Stock Data'!$AM$4:$AM$1051,'Stock Data'!$AN$4:$AN$1051)</f>
        <v>466</v>
      </c>
    </row>
    <row r="440" spans="3:4" ht="15" customHeight="1">
      <c r="C440" s="598">
        <f>+'Stock Data'!AM251</f>
        <v>45672</v>
      </c>
      <c r="D440" s="572">
        <f>_xlfn.XLOOKUP(C440,'Stock Data'!$AM$4:$AM$1051,'Stock Data'!$AN$4:$AN$1051)</f>
        <v>481.82</v>
      </c>
    </row>
    <row r="441" spans="3:4" ht="15" customHeight="1">
      <c r="C441" s="598">
        <f>+'Stock Data'!AM252</f>
        <v>45671</v>
      </c>
      <c r="D441" s="572">
        <f>_xlfn.XLOOKUP(C441,'Stock Data'!$AM$4:$AM$1051,'Stock Data'!$AN$4:$AN$1051)</f>
        <v>481.82</v>
      </c>
    </row>
    <row r="442" spans="3:4" ht="15" customHeight="1">
      <c r="C442" s="598">
        <f>+'Stock Data'!AM253</f>
        <v>45670</v>
      </c>
      <c r="D442" s="572">
        <f>_xlfn.XLOOKUP(C442,'Stock Data'!$AM$4:$AM$1051,'Stock Data'!$AN$4:$AN$1051)</f>
        <v>481.82</v>
      </c>
    </row>
    <row r="443" spans="3:4" ht="15" customHeight="1">
      <c r="C443" s="598">
        <f>+'Stock Data'!AM254</f>
        <v>45669</v>
      </c>
      <c r="D443" s="572">
        <f>_xlfn.XLOOKUP(C443,'Stock Data'!$AM$4:$AM$1051,'Stock Data'!$AN$4:$AN$1051)</f>
        <v>482.25</v>
      </c>
    </row>
    <row r="444" spans="3:4" ht="15" customHeight="1">
      <c r="C444" s="598">
        <f>+'Stock Data'!AM255</f>
        <v>45668</v>
      </c>
      <c r="D444" s="572">
        <f>_xlfn.XLOOKUP(C444,'Stock Data'!$AM$4:$AM$1051,'Stock Data'!$AN$4:$AN$1051)</f>
        <v>485.94</v>
      </c>
    </row>
    <row r="445" spans="3:4" ht="15" customHeight="1">
      <c r="C445" s="598">
        <f>+'Stock Data'!AM256</f>
        <v>45667</v>
      </c>
      <c r="D445" s="572">
        <f>_xlfn.XLOOKUP(C445,'Stock Data'!$AM$4:$AM$1051,'Stock Data'!$AN$4:$AN$1051)</f>
        <v>485.94</v>
      </c>
    </row>
    <row r="446" spans="3:4" ht="15" customHeight="1">
      <c r="C446" s="598">
        <f>+'Stock Data'!AM257</f>
        <v>45666</v>
      </c>
      <c r="D446" s="572">
        <f>_xlfn.XLOOKUP(C446,'Stock Data'!$AM$4:$AM$1051,'Stock Data'!$AN$4:$AN$1051)</f>
        <v>483.37</v>
      </c>
    </row>
    <row r="447" spans="3:4" ht="15" customHeight="1">
      <c r="C447" s="598">
        <f>+'Stock Data'!AM258</f>
        <v>45665</v>
      </c>
      <c r="D447" s="572">
        <f>_xlfn.XLOOKUP(C447,'Stock Data'!$AM$4:$AM$1051,'Stock Data'!$AN$4:$AN$1051)</f>
        <v>488.97</v>
      </c>
    </row>
    <row r="448" spans="3:4" ht="15" customHeight="1">
      <c r="C448" s="598">
        <f>+'Stock Data'!AM259</f>
        <v>45664</v>
      </c>
      <c r="D448" s="572">
        <f>_xlfn.XLOOKUP(C448,'Stock Data'!$AM$4:$AM$1051,'Stock Data'!$AN$4:$AN$1051)</f>
        <v>488.97</v>
      </c>
    </row>
    <row r="449" spans="3:4" ht="15" customHeight="1">
      <c r="C449" s="598">
        <f>+'Stock Data'!AM260</f>
        <v>45663</v>
      </c>
      <c r="D449" s="572">
        <f>_xlfn.XLOOKUP(C449,'Stock Data'!$AM$4:$AM$1051,'Stock Data'!$AN$4:$AN$1051)</f>
        <v>488.97</v>
      </c>
    </row>
    <row r="450" spans="3:4" ht="15" customHeight="1">
      <c r="C450" s="598">
        <f>+'Stock Data'!AM261</f>
        <v>45662</v>
      </c>
      <c r="D450" s="572">
        <f>_xlfn.XLOOKUP(C450,'Stock Data'!$AM$4:$AM$1051,'Stock Data'!$AN$4:$AN$1051)</f>
        <v>489.98</v>
      </c>
    </row>
    <row r="451" spans="3:4" ht="15" customHeight="1">
      <c r="C451" s="598">
        <f>+'Stock Data'!AM262</f>
        <v>45661</v>
      </c>
      <c r="D451" s="572">
        <f>_xlfn.XLOOKUP(C451,'Stock Data'!$AM$4:$AM$1051,'Stock Data'!$AN$4:$AN$1051)</f>
        <v>488.13</v>
      </c>
    </row>
    <row r="452" spans="3:4" ht="15" customHeight="1">
      <c r="C452" s="598">
        <f>+'Stock Data'!AM263</f>
        <v>45660</v>
      </c>
      <c r="D452" s="572">
        <f>_xlfn.XLOOKUP(C452,'Stock Data'!$AM$4:$AM$1051,'Stock Data'!$AN$4:$AN$1051)</f>
        <v>488.13</v>
      </c>
    </row>
    <row r="453" spans="3:4" ht="15" customHeight="1">
      <c r="C453" s="598">
        <f>+'Stock Data'!AM264</f>
        <v>45659</v>
      </c>
      <c r="D453" s="572">
        <f>_xlfn.XLOOKUP(C453,'Stock Data'!$AM$4:$AM$1051,'Stock Data'!$AN$4:$AN$1051)</f>
        <v>486.49</v>
      </c>
    </row>
    <row r="454" spans="3:4" ht="15" customHeight="1">
      <c r="C454" s="598">
        <f>+'Stock Data'!AM265</f>
        <v>45658</v>
      </c>
      <c r="D454" s="572">
        <f>_xlfn.XLOOKUP(C454,'Stock Data'!$AM$4:$AM$1051,'Stock Data'!$AN$4:$AN$1051)</f>
        <v>489.02</v>
      </c>
    </row>
    <row r="455" spans="3:4" ht="15" customHeight="1">
      <c r="C455" s="598">
        <f>+'Stock Data'!AM266</f>
        <v>45657</v>
      </c>
      <c r="D455" s="572">
        <f>_xlfn.XLOOKUP(C455,'Stock Data'!$AM$4:$AM$1051,'Stock Data'!$AN$4:$AN$1051)</f>
        <v>489.02</v>
      </c>
    </row>
    <row r="456" spans="3:4" ht="15" customHeight="1">
      <c r="C456" s="598">
        <f>+'Stock Data'!AM267</f>
        <v>45656</v>
      </c>
      <c r="D456" s="572">
        <f>_xlfn.XLOOKUP(C456,'Stock Data'!$AM$4:$AM$1051,'Stock Data'!$AN$4:$AN$1051)</f>
        <v>489.02</v>
      </c>
    </row>
    <row r="457" spans="3:4" ht="15" customHeight="1">
      <c r="C457" s="598">
        <f>+'Stock Data'!AM268</f>
        <v>45655</v>
      </c>
      <c r="D457" s="572">
        <f>_xlfn.XLOOKUP(C457,'Stock Data'!$AM$4:$AM$1051,'Stock Data'!$AN$4:$AN$1051)</f>
        <v>479.66</v>
      </c>
    </row>
    <row r="458" spans="3:4" ht="15" customHeight="1">
      <c r="C458" s="598">
        <f>+'Stock Data'!AM269</f>
        <v>45654</v>
      </c>
      <c r="D458" s="572">
        <f>_xlfn.XLOOKUP(C458,'Stock Data'!$AM$4:$AM$1051,'Stock Data'!$AN$4:$AN$1051)</f>
        <v>482.94</v>
      </c>
    </row>
    <row r="459" spans="3:4" ht="15" customHeight="1">
      <c r="C459" s="598">
        <f>+'Stock Data'!AM270</f>
        <v>45653</v>
      </c>
      <c r="D459" s="572">
        <f>_xlfn.XLOOKUP(C459,'Stock Data'!$AM$4:$AM$1051,'Stock Data'!$AN$4:$AN$1051)</f>
        <v>490.61</v>
      </c>
    </row>
    <row r="460" spans="3:4" ht="15" customHeight="1">
      <c r="C460" s="598">
        <f>+'Stock Data'!AM271</f>
        <v>45652</v>
      </c>
      <c r="D460" s="572">
        <f>_xlfn.XLOOKUP(C460,'Stock Data'!$AM$4:$AM$1051,'Stock Data'!$AN$4:$AN$1051)</f>
        <v>491.65</v>
      </c>
    </row>
    <row r="461" spans="3:4" ht="15" customHeight="1">
      <c r="C461" s="598">
        <f>+'Stock Data'!AM272</f>
        <v>45651</v>
      </c>
      <c r="D461" s="572">
        <f>_xlfn.XLOOKUP(C461,'Stock Data'!$AM$4:$AM$1051,'Stock Data'!$AN$4:$AN$1051)</f>
        <v>494.65</v>
      </c>
    </row>
    <row r="462" spans="3:4" ht="15" customHeight="1">
      <c r="C462" s="598">
        <f>+'Stock Data'!AM273</f>
        <v>45650</v>
      </c>
      <c r="D462" s="572">
        <f>_xlfn.XLOOKUP(C462,'Stock Data'!$AM$4:$AM$1051,'Stock Data'!$AN$4:$AN$1051)</f>
        <v>494.65</v>
      </c>
    </row>
    <row r="463" spans="3:4" ht="15" customHeight="1">
      <c r="C463" s="598">
        <f>+'Stock Data'!AM274</f>
        <v>45649</v>
      </c>
      <c r="D463" s="572">
        <f>_xlfn.XLOOKUP(C463,'Stock Data'!$AM$4:$AM$1051,'Stock Data'!$AN$4:$AN$1051)</f>
        <v>494.65</v>
      </c>
    </row>
    <row r="464" spans="3:4" ht="15" customHeight="1">
      <c r="C464" s="598">
        <f>+'Stock Data'!AM275</f>
        <v>45648</v>
      </c>
      <c r="D464" s="572">
        <f>_xlfn.XLOOKUP(C464,'Stock Data'!$AM$4:$AM$1051,'Stock Data'!$AN$4:$AN$1051)</f>
        <v>496.58</v>
      </c>
    </row>
    <row r="465" spans="3:4" ht="15" customHeight="1">
      <c r="C465" s="598">
        <f>+'Stock Data'!AM276</f>
        <v>45647</v>
      </c>
      <c r="D465" s="572">
        <f>_xlfn.XLOOKUP(C465,'Stock Data'!$AM$4:$AM$1051,'Stock Data'!$AN$4:$AN$1051)</f>
        <v>504.24</v>
      </c>
    </row>
    <row r="466" spans="3:4" ht="15" customHeight="1">
      <c r="C466" s="598">
        <f>+'Stock Data'!AM277</f>
        <v>45646</v>
      </c>
      <c r="D466" s="572">
        <f>_xlfn.XLOOKUP(C466,'Stock Data'!$AM$4:$AM$1051,'Stock Data'!$AN$4:$AN$1051)</f>
        <v>512.94000000000005</v>
      </c>
    </row>
    <row r="467" spans="3:4" ht="15" customHeight="1">
      <c r="C467" s="598">
        <f>+'Stock Data'!AM278</f>
        <v>45645</v>
      </c>
      <c r="D467" s="572">
        <f>_xlfn.XLOOKUP(C467,'Stock Data'!$AM$4:$AM$1051,'Stock Data'!$AN$4:$AN$1051)</f>
        <v>510.01</v>
      </c>
    </row>
    <row r="468" spans="3:4" ht="15" customHeight="1">
      <c r="C468" s="598">
        <f>+'Stock Data'!AM279</f>
        <v>45644</v>
      </c>
      <c r="D468" s="572">
        <f>_xlfn.XLOOKUP(C468,'Stock Data'!$AM$4:$AM$1051,'Stock Data'!$AN$4:$AN$1051)</f>
        <v>513.03</v>
      </c>
    </row>
    <row r="469" spans="3:4" ht="15" customHeight="1">
      <c r="C469" s="598">
        <f>+'Stock Data'!AM280</f>
        <v>45643</v>
      </c>
      <c r="D469" s="572">
        <f>_xlfn.XLOOKUP(C469,'Stock Data'!$AM$4:$AM$1051,'Stock Data'!$AN$4:$AN$1051)</f>
        <v>513.03</v>
      </c>
    </row>
    <row r="470" spans="3:4" ht="15" customHeight="1">
      <c r="C470" s="598">
        <f>+'Stock Data'!AM281</f>
        <v>45642</v>
      </c>
      <c r="D470" s="572">
        <f>_xlfn.XLOOKUP(C470,'Stock Data'!$AM$4:$AM$1051,'Stock Data'!$AN$4:$AN$1051)</f>
        <v>513.03</v>
      </c>
    </row>
    <row r="471" spans="3:4" ht="15" customHeight="1">
      <c r="C471" s="598">
        <f>+'Stock Data'!AM282</f>
        <v>45641</v>
      </c>
      <c r="D471" s="572">
        <f>_xlfn.XLOOKUP(C471,'Stock Data'!$AM$4:$AM$1051,'Stock Data'!$AN$4:$AN$1051)</f>
        <v>517.48</v>
      </c>
    </row>
    <row r="472" spans="3:4" ht="15" customHeight="1">
      <c r="C472" s="598">
        <f>+'Stock Data'!AM283</f>
        <v>45640</v>
      </c>
      <c r="D472" s="572">
        <f>_xlfn.XLOOKUP(C472,'Stock Data'!$AM$4:$AM$1051,'Stock Data'!$AN$4:$AN$1051)</f>
        <v>517.5</v>
      </c>
    </row>
    <row r="473" spans="3:4" ht="15" customHeight="1">
      <c r="C473" s="598">
        <f>+'Stock Data'!AM284</f>
        <v>45639</v>
      </c>
      <c r="D473" s="572">
        <f>_xlfn.XLOOKUP(C473,'Stock Data'!$AM$4:$AM$1051,'Stock Data'!$AN$4:$AN$1051)</f>
        <v>517</v>
      </c>
    </row>
    <row r="474" spans="3:4" ht="15" customHeight="1">
      <c r="C474" s="598">
        <f>+'Stock Data'!AM285</f>
        <v>45638</v>
      </c>
      <c r="D474" s="572">
        <f>_xlfn.XLOOKUP(C474,'Stock Data'!$AM$4:$AM$1051,'Stock Data'!$AN$4:$AN$1051)</f>
        <v>520.34</v>
      </c>
    </row>
    <row r="475" spans="3:4" ht="15" customHeight="1">
      <c r="C475" s="598">
        <f>+'Stock Data'!AM286</f>
        <v>45637</v>
      </c>
      <c r="D475" s="572">
        <f>_xlfn.XLOOKUP(C475,'Stock Data'!$AM$4:$AM$1051,'Stock Data'!$AN$4:$AN$1051)</f>
        <v>529.41</v>
      </c>
    </row>
    <row r="476" spans="3:4" ht="15" customHeight="1">
      <c r="C476" s="598">
        <f>+'Stock Data'!AM287</f>
        <v>45636</v>
      </c>
      <c r="D476" s="572">
        <f>_xlfn.XLOOKUP(C476,'Stock Data'!$AM$4:$AM$1051,'Stock Data'!$AN$4:$AN$1051)</f>
        <v>529.41</v>
      </c>
    </row>
    <row r="477" spans="3:4" ht="15" customHeight="1">
      <c r="C477" s="598">
        <f>+'Stock Data'!AM288</f>
        <v>45635</v>
      </c>
      <c r="D477" s="572">
        <f>_xlfn.XLOOKUP(C477,'Stock Data'!$AM$4:$AM$1051,'Stock Data'!$AN$4:$AN$1051)</f>
        <v>529.41</v>
      </c>
    </row>
    <row r="478" spans="3:4" ht="15" customHeight="1">
      <c r="C478" s="598">
        <f>+'Stock Data'!AM289</f>
        <v>45634</v>
      </c>
      <c r="D478" s="572">
        <f>_xlfn.XLOOKUP(C478,'Stock Data'!$AM$4:$AM$1051,'Stock Data'!$AN$4:$AN$1051)</f>
        <v>525.75</v>
      </c>
    </row>
    <row r="479" spans="3:4" ht="15" customHeight="1">
      <c r="C479" s="598">
        <f>+'Stock Data'!AM290</f>
        <v>45633</v>
      </c>
      <c r="D479" s="572">
        <f>_xlfn.XLOOKUP(C479,'Stock Data'!$AM$4:$AM$1051,'Stock Data'!$AN$4:$AN$1051)</f>
        <v>525.75</v>
      </c>
    </row>
    <row r="480" spans="3:4" ht="15" customHeight="1">
      <c r="C480" s="598">
        <f>+'Stock Data'!AM291</f>
        <v>45632</v>
      </c>
      <c r="D480" s="572">
        <f>_xlfn.XLOOKUP(C480,'Stock Data'!$AM$4:$AM$1051,'Stock Data'!$AN$4:$AN$1051)</f>
        <v>521.45000000000005</v>
      </c>
    </row>
    <row r="481" spans="3:4" ht="15" customHeight="1">
      <c r="C481" s="598">
        <f>+'Stock Data'!AM292</f>
        <v>45631</v>
      </c>
      <c r="D481" s="572">
        <f>_xlfn.XLOOKUP(C481,'Stock Data'!$AM$4:$AM$1051,'Stock Data'!$AN$4:$AN$1051)</f>
        <v>521.89</v>
      </c>
    </row>
    <row r="482" spans="3:4" ht="15" customHeight="1">
      <c r="C482" s="598">
        <f>+'Stock Data'!AM293</f>
        <v>45630</v>
      </c>
      <c r="D482" s="572">
        <f>_xlfn.XLOOKUP(C482,'Stock Data'!$AM$4:$AM$1051,'Stock Data'!$AN$4:$AN$1051)</f>
        <v>542.22</v>
      </c>
    </row>
    <row r="483" spans="3:4" ht="15" customHeight="1">
      <c r="C483" s="598">
        <f>+'Stock Data'!AM294</f>
        <v>45629</v>
      </c>
      <c r="D483" s="572">
        <f>_xlfn.XLOOKUP(C483,'Stock Data'!$AM$4:$AM$1051,'Stock Data'!$AN$4:$AN$1051)</f>
        <v>542.22</v>
      </c>
    </row>
    <row r="484" spans="3:4" ht="15" customHeight="1">
      <c r="C484" s="598">
        <f>+'Stock Data'!AM295</f>
        <v>45628</v>
      </c>
      <c r="D484" s="572">
        <f>_xlfn.XLOOKUP(C484,'Stock Data'!$AM$4:$AM$1051,'Stock Data'!$AN$4:$AN$1051)</f>
        <v>542.22</v>
      </c>
    </row>
    <row r="485" spans="3:4" ht="15" customHeight="1">
      <c r="C485" s="598">
        <f>+'Stock Data'!AM296</f>
        <v>45627</v>
      </c>
      <c r="D485" s="572">
        <f>_xlfn.XLOOKUP(C485,'Stock Data'!$AM$4:$AM$1051,'Stock Data'!$AN$4:$AN$1051)</f>
        <v>542.01</v>
      </c>
    </row>
    <row r="486" spans="3:4" ht="15" customHeight="1">
      <c r="C486" s="598">
        <f>+'Stock Data'!AM297</f>
        <v>45626</v>
      </c>
      <c r="D486" s="572">
        <f>_xlfn.XLOOKUP(C486,'Stock Data'!$AM$4:$AM$1051,'Stock Data'!$AN$4:$AN$1051)</f>
        <v>534.73</v>
      </c>
    </row>
    <row r="487" spans="3:4" ht="15" customHeight="1">
      <c r="C487" s="598">
        <f>+'Stock Data'!AM298</f>
        <v>45625</v>
      </c>
      <c r="D487" s="572">
        <f>_xlfn.XLOOKUP(C487,'Stock Data'!$AM$4:$AM$1051,'Stock Data'!$AN$4:$AN$1051)</f>
        <v>533.26</v>
      </c>
    </row>
    <row r="488" spans="3:4" ht="15" customHeight="1">
      <c r="C488" s="598">
        <f>+'Stock Data'!AM299</f>
        <v>45624</v>
      </c>
      <c r="D488" s="572">
        <f>_xlfn.XLOOKUP(C488,'Stock Data'!$AM$4:$AM$1051,'Stock Data'!$AN$4:$AN$1051)</f>
        <v>530.96</v>
      </c>
    </row>
    <row r="489" spans="3:4" ht="15" customHeight="1">
      <c r="C489" s="598">
        <f>+'Stock Data'!AM300</f>
        <v>45623</v>
      </c>
      <c r="D489" s="572">
        <f>_xlfn.XLOOKUP(C489,'Stock Data'!$AM$4:$AM$1051,'Stock Data'!$AN$4:$AN$1051)</f>
        <v>534.83000000000004</v>
      </c>
    </row>
    <row r="490" spans="3:4" ht="15" customHeight="1">
      <c r="C490" s="598">
        <f>+'Stock Data'!AM301</f>
        <v>45622</v>
      </c>
      <c r="D490" s="572">
        <f>_xlfn.XLOOKUP(C490,'Stock Data'!$AM$4:$AM$1051,'Stock Data'!$AN$4:$AN$1051)</f>
        <v>534.83000000000004</v>
      </c>
    </row>
    <row r="491" spans="3:4" ht="15" customHeight="1">
      <c r="C491" s="598">
        <f>+'Stock Data'!AM302</f>
        <v>45621</v>
      </c>
      <c r="D491" s="572">
        <f>_xlfn.XLOOKUP(C491,'Stock Data'!$AM$4:$AM$1051,'Stock Data'!$AN$4:$AN$1051)</f>
        <v>534.83000000000004</v>
      </c>
    </row>
    <row r="492" spans="3:4" ht="15" customHeight="1">
      <c r="C492" s="598">
        <f>+'Stock Data'!AM303</f>
        <v>45620</v>
      </c>
      <c r="D492" s="572">
        <f>_xlfn.XLOOKUP(C492,'Stock Data'!$AM$4:$AM$1051,'Stock Data'!$AN$4:$AN$1051)</f>
        <v>538.99</v>
      </c>
    </row>
    <row r="493" spans="3:4" ht="15" customHeight="1">
      <c r="C493" s="598">
        <f>+'Stock Data'!AM304</f>
        <v>45619</v>
      </c>
      <c r="D493" s="572">
        <f>_xlfn.XLOOKUP(C493,'Stock Data'!$AM$4:$AM$1051,'Stock Data'!$AN$4:$AN$1051)</f>
        <v>557.73</v>
      </c>
    </row>
    <row r="494" spans="3:4" ht="15" customHeight="1">
      <c r="C494" s="598">
        <f>+'Stock Data'!AM305</f>
        <v>45618</v>
      </c>
      <c r="D494" s="572">
        <f>_xlfn.XLOOKUP(C494,'Stock Data'!$AM$4:$AM$1051,'Stock Data'!$AN$4:$AN$1051)</f>
        <v>565.96</v>
      </c>
    </row>
    <row r="495" spans="3:4" ht="15" customHeight="1">
      <c r="C495" s="598">
        <f>+'Stock Data'!AM306</f>
        <v>45617</v>
      </c>
      <c r="D495" s="572">
        <f>_xlfn.XLOOKUP(C495,'Stock Data'!$AM$4:$AM$1051,'Stock Data'!$AN$4:$AN$1051)</f>
        <v>570.58000000000004</v>
      </c>
    </row>
    <row r="496" spans="3:4" ht="15" customHeight="1">
      <c r="C496" s="598">
        <f>+'Stock Data'!AM307</f>
        <v>45616</v>
      </c>
      <c r="D496" s="572">
        <f>_xlfn.XLOOKUP(C496,'Stock Data'!$AM$4:$AM$1051,'Stock Data'!$AN$4:$AN$1051)</f>
        <v>564.55999999999995</v>
      </c>
    </row>
    <row r="497" spans="3:4" ht="15" customHeight="1">
      <c r="C497" s="598">
        <f>+'Stock Data'!AM308</f>
        <v>45615</v>
      </c>
      <c r="D497" s="572">
        <f>_xlfn.XLOOKUP(C497,'Stock Data'!$AM$4:$AM$1051,'Stock Data'!$AN$4:$AN$1051)</f>
        <v>564.55999999999995</v>
      </c>
    </row>
    <row r="498" spans="3:4" ht="15" customHeight="1">
      <c r="C498" s="598">
        <f>+'Stock Data'!AM309</f>
        <v>45614</v>
      </c>
      <c r="D498" s="572">
        <f>_xlfn.XLOOKUP(C498,'Stock Data'!$AM$4:$AM$1051,'Stock Data'!$AN$4:$AN$1051)</f>
        <v>564.55999999999995</v>
      </c>
    </row>
    <row r="499" spans="3:4" ht="15" customHeight="1">
      <c r="C499" s="598">
        <f>+'Stock Data'!AM310</f>
        <v>45613</v>
      </c>
      <c r="D499" s="572">
        <f>_xlfn.XLOOKUP(C499,'Stock Data'!$AM$4:$AM$1051,'Stock Data'!$AN$4:$AN$1051)</f>
        <v>551.84</v>
      </c>
    </row>
    <row r="500" spans="3:4" ht="15" customHeight="1">
      <c r="C500" s="598">
        <f>+'Stock Data'!AM311</f>
        <v>45612</v>
      </c>
      <c r="D500" s="572">
        <f>_xlfn.XLOOKUP(C500,'Stock Data'!$AM$4:$AM$1051,'Stock Data'!$AN$4:$AN$1051)</f>
        <v>551.82000000000005</v>
      </c>
    </row>
    <row r="501" spans="3:4" ht="15" customHeight="1">
      <c r="C501" s="598">
        <f>+'Stock Data'!AM312</f>
        <v>45611</v>
      </c>
      <c r="D501" s="572">
        <f>_xlfn.XLOOKUP(C501,'Stock Data'!$AM$4:$AM$1051,'Stock Data'!$AN$4:$AN$1051)</f>
        <v>546.75</v>
      </c>
    </row>
    <row r="502" spans="3:4" ht="15" customHeight="1">
      <c r="C502" s="598">
        <f>+'Stock Data'!AM313</f>
        <v>45610</v>
      </c>
      <c r="D502" s="572">
        <f>_xlfn.XLOOKUP(C502,'Stock Data'!$AM$4:$AM$1051,'Stock Data'!$AN$4:$AN$1051)</f>
        <v>543.1</v>
      </c>
    </row>
    <row r="503" spans="3:4" ht="15" customHeight="1">
      <c r="C503" s="598">
        <f>+'Stock Data'!AM314</f>
        <v>45609</v>
      </c>
      <c r="D503" s="572">
        <f>_xlfn.XLOOKUP(C503,'Stock Data'!$AM$4:$AM$1051,'Stock Data'!$AN$4:$AN$1051)</f>
        <v>545.35</v>
      </c>
    </row>
    <row r="504" spans="3:4" ht="15" customHeight="1">
      <c r="C504" s="598">
        <f>+'Stock Data'!AM315</f>
        <v>45608</v>
      </c>
      <c r="D504" s="572">
        <f>_xlfn.XLOOKUP(C504,'Stock Data'!$AM$4:$AM$1051,'Stock Data'!$AN$4:$AN$1051)</f>
        <v>545.35</v>
      </c>
    </row>
    <row r="505" spans="3:4" ht="15" customHeight="1">
      <c r="C505" s="598">
        <f>+'Stock Data'!AM316</f>
        <v>45607</v>
      </c>
      <c r="D505" s="572">
        <f>_xlfn.XLOOKUP(C505,'Stock Data'!$AM$4:$AM$1051,'Stock Data'!$AN$4:$AN$1051)</f>
        <v>545.35</v>
      </c>
    </row>
    <row r="506" spans="3:4" ht="15" customHeight="1">
      <c r="C506" s="598">
        <f>+'Stock Data'!AM317</f>
        <v>45606</v>
      </c>
      <c r="D506" s="572">
        <f>_xlfn.XLOOKUP(C506,'Stock Data'!$AM$4:$AM$1051,'Stock Data'!$AN$4:$AN$1051)</f>
        <v>546.04999999999995</v>
      </c>
    </row>
    <row r="507" spans="3:4" ht="15" customHeight="1">
      <c r="C507" s="598">
        <f>+'Stock Data'!AM318</f>
        <v>45605</v>
      </c>
      <c r="D507" s="572">
        <f>_xlfn.XLOOKUP(C507,'Stock Data'!$AM$4:$AM$1051,'Stock Data'!$AN$4:$AN$1051)</f>
        <v>545.94000000000005</v>
      </c>
    </row>
    <row r="508" spans="3:4" ht="15" customHeight="1">
      <c r="C508" s="598">
        <f>+'Stock Data'!AM319</f>
        <v>45604</v>
      </c>
      <c r="D508" s="572">
        <f>_xlfn.XLOOKUP(C508,'Stock Data'!$AM$4:$AM$1051,'Stock Data'!$AN$4:$AN$1051)</f>
        <v>546.79999999999995</v>
      </c>
    </row>
    <row r="509" spans="3:4" ht="15" customHeight="1">
      <c r="C509" s="598">
        <f>+'Stock Data'!AM320</f>
        <v>45603</v>
      </c>
      <c r="D509" s="572">
        <f>_xlfn.XLOOKUP(C509,'Stock Data'!$AM$4:$AM$1051,'Stock Data'!$AN$4:$AN$1051)</f>
        <v>555.16999999999996</v>
      </c>
    </row>
    <row r="510" spans="3:4" ht="15" customHeight="1">
      <c r="C510" s="598">
        <f>+'Stock Data'!AM321</f>
        <v>45602</v>
      </c>
      <c r="D510" s="572">
        <f>_xlfn.XLOOKUP(C510,'Stock Data'!$AM$4:$AM$1051,'Stock Data'!$AN$4:$AN$1051)</f>
        <v>562.29</v>
      </c>
    </row>
    <row r="511" spans="3:4" ht="15" customHeight="1">
      <c r="C511" s="598">
        <f>+'Stock Data'!AM322</f>
        <v>45601</v>
      </c>
      <c r="D511" s="572">
        <f>_xlfn.XLOOKUP(C511,'Stock Data'!$AM$4:$AM$1051,'Stock Data'!$AN$4:$AN$1051)</f>
        <v>562.29</v>
      </c>
    </row>
    <row r="512" spans="3:4" ht="15" customHeight="1">
      <c r="C512" s="598">
        <f>+'Stock Data'!AM323</f>
        <v>45600</v>
      </c>
      <c r="D512" s="572">
        <f>_xlfn.XLOOKUP(C512,'Stock Data'!$AM$4:$AM$1051,'Stock Data'!$AN$4:$AN$1051)</f>
        <v>562.29</v>
      </c>
    </row>
    <row r="513" spans="3:4" ht="15" customHeight="1">
      <c r="C513" s="598">
        <f>+'Stock Data'!AM324</f>
        <v>45599</v>
      </c>
      <c r="D513" s="572">
        <f>_xlfn.XLOOKUP(C513,'Stock Data'!$AM$4:$AM$1051,'Stock Data'!$AN$4:$AN$1051)</f>
        <v>564.21</v>
      </c>
    </row>
    <row r="514" spans="3:4" ht="15" customHeight="1">
      <c r="C514" s="598">
        <f>+'Stock Data'!AM325</f>
        <v>45598</v>
      </c>
      <c r="D514" s="572">
        <f>_xlfn.XLOOKUP(C514,'Stock Data'!$AM$4:$AM$1051,'Stock Data'!$AN$4:$AN$1051)</f>
        <v>571.1</v>
      </c>
    </row>
    <row r="515" spans="3:4" ht="15" customHeight="1">
      <c r="C515" s="598">
        <f>+'Stock Data'!AM326</f>
        <v>45597</v>
      </c>
      <c r="D515" s="572">
        <f>_xlfn.XLOOKUP(C515,'Stock Data'!$AM$4:$AM$1051,'Stock Data'!$AN$4:$AN$1051)</f>
        <v>576.98</v>
      </c>
    </row>
    <row r="516" spans="3:4" ht="15" customHeight="1">
      <c r="C516" s="598">
        <f>+'Stock Data'!AM327</f>
        <v>45596</v>
      </c>
      <c r="D516" s="572">
        <f>_xlfn.XLOOKUP(C516,'Stock Data'!$AM$4:$AM$1051,'Stock Data'!$AN$4:$AN$1051)</f>
        <v>614.61</v>
      </c>
    </row>
    <row r="517" spans="3:4" ht="15" customHeight="1">
      <c r="C517" s="598">
        <f>+'Stock Data'!AM328</f>
        <v>45595</v>
      </c>
      <c r="D517" s="572">
        <f>_xlfn.XLOOKUP(C517,'Stock Data'!$AM$4:$AM$1051,'Stock Data'!$AN$4:$AN$1051)</f>
        <v>611.80999999999995</v>
      </c>
    </row>
    <row r="518" spans="3:4" ht="15" customHeight="1">
      <c r="C518" s="598">
        <f>+'Stock Data'!AM329</f>
        <v>45594</v>
      </c>
      <c r="D518" s="572">
        <f>_xlfn.XLOOKUP(C518,'Stock Data'!$AM$4:$AM$1051,'Stock Data'!$AN$4:$AN$1051)</f>
        <v>611.80999999999995</v>
      </c>
    </row>
    <row r="519" spans="3:4" ht="15" customHeight="1">
      <c r="C519" s="598">
        <f>+'Stock Data'!AM330</f>
        <v>45593</v>
      </c>
      <c r="D519" s="572">
        <f>_xlfn.XLOOKUP(C519,'Stock Data'!$AM$4:$AM$1051,'Stock Data'!$AN$4:$AN$1051)</f>
        <v>611.80999999999995</v>
      </c>
    </row>
    <row r="520" spans="3:4" ht="15" customHeight="1">
      <c r="C520" s="598">
        <f>+'Stock Data'!AM331</f>
        <v>45592</v>
      </c>
      <c r="D520" s="572">
        <f>_xlfn.XLOOKUP(C520,'Stock Data'!$AM$4:$AM$1051,'Stock Data'!$AN$4:$AN$1051)</f>
        <v>609.62</v>
      </c>
    </row>
    <row r="521" spans="3:4" ht="15" customHeight="1">
      <c r="C521" s="598">
        <f>+'Stock Data'!AM332</f>
        <v>45591</v>
      </c>
      <c r="D521" s="572">
        <f>_xlfn.XLOOKUP(C521,'Stock Data'!$AM$4:$AM$1051,'Stock Data'!$AN$4:$AN$1051)</f>
        <v>612.83000000000004</v>
      </c>
    </row>
    <row r="522" spans="3:4" ht="15" customHeight="1">
      <c r="C522" s="598">
        <f>+'Stock Data'!AM333</f>
        <v>45590</v>
      </c>
      <c r="D522" s="572">
        <f>_xlfn.XLOOKUP(C522,'Stock Data'!$AM$4:$AM$1051,'Stock Data'!$AN$4:$AN$1051)</f>
        <v>605</v>
      </c>
    </row>
    <row r="523" spans="3:4" ht="15" customHeight="1">
      <c r="C523" s="598">
        <f>+'Stock Data'!AM334</f>
        <v>45589</v>
      </c>
      <c r="D523" s="572">
        <f>_xlfn.XLOOKUP(C523,'Stock Data'!$AM$4:$AM$1051,'Stock Data'!$AN$4:$AN$1051)</f>
        <v>610.87</v>
      </c>
    </row>
    <row r="524" spans="3:4" ht="15" customHeight="1">
      <c r="C524" s="598">
        <f>+'Stock Data'!AM335</f>
        <v>45588</v>
      </c>
      <c r="D524" s="572">
        <f>_xlfn.XLOOKUP(C524,'Stock Data'!$AM$4:$AM$1051,'Stock Data'!$AN$4:$AN$1051)</f>
        <v>604.16999999999996</v>
      </c>
    </row>
    <row r="525" spans="3:4" ht="15" customHeight="1">
      <c r="C525" s="598">
        <f>+'Stock Data'!AM336</f>
        <v>45587</v>
      </c>
      <c r="D525" s="572">
        <f>_xlfn.XLOOKUP(C525,'Stock Data'!$AM$4:$AM$1051,'Stock Data'!$AN$4:$AN$1051)</f>
        <v>604.16999999999996</v>
      </c>
    </row>
    <row r="526" spans="3:4" ht="15" customHeight="1">
      <c r="C526" s="598">
        <f>+'Stock Data'!AM337</f>
        <v>45586</v>
      </c>
      <c r="D526" s="572">
        <f>_xlfn.XLOOKUP(C526,'Stock Data'!$AM$4:$AM$1051,'Stock Data'!$AN$4:$AN$1051)</f>
        <v>604.16999999999996</v>
      </c>
    </row>
    <row r="527" spans="3:4" ht="15" customHeight="1">
      <c r="C527" s="598">
        <f>+'Stock Data'!AM338</f>
        <v>45585</v>
      </c>
      <c r="D527" s="572">
        <f>_xlfn.XLOOKUP(C527,'Stock Data'!$AM$4:$AM$1051,'Stock Data'!$AN$4:$AN$1051)</f>
        <v>597.49</v>
      </c>
    </row>
    <row r="528" spans="3:4" ht="15" customHeight="1">
      <c r="C528" s="598">
        <f>+'Stock Data'!AM339</f>
        <v>45584</v>
      </c>
      <c r="D528" s="572">
        <f>_xlfn.XLOOKUP(C528,'Stock Data'!$AM$4:$AM$1051,'Stock Data'!$AN$4:$AN$1051)</f>
        <v>605.11</v>
      </c>
    </row>
    <row r="529" spans="3:4" ht="15" customHeight="1">
      <c r="C529" s="598">
        <f>+'Stock Data'!AM340</f>
        <v>45583</v>
      </c>
      <c r="D529" s="572">
        <f>_xlfn.XLOOKUP(C529,'Stock Data'!$AM$4:$AM$1051,'Stock Data'!$AN$4:$AN$1051)</f>
        <v>608.04999999999995</v>
      </c>
    </row>
    <row r="530" spans="3:4" ht="15" customHeight="1">
      <c r="C530" s="598">
        <f>+'Stock Data'!AM341</f>
        <v>45582</v>
      </c>
      <c r="D530" s="572">
        <f>_xlfn.XLOOKUP(C530,'Stock Data'!$AM$4:$AM$1051,'Stock Data'!$AN$4:$AN$1051)</f>
        <v>605.54</v>
      </c>
    </row>
    <row r="531" spans="3:4" ht="15" customHeight="1">
      <c r="C531" s="598">
        <f>+'Stock Data'!AM342</f>
        <v>45581</v>
      </c>
      <c r="D531" s="572">
        <f>_xlfn.XLOOKUP(C531,'Stock Data'!$AM$4:$AM$1051,'Stock Data'!$AN$4:$AN$1051)</f>
        <v>605.13</v>
      </c>
    </row>
    <row r="532" spans="3:4" ht="15" customHeight="1">
      <c r="C532" s="598">
        <f>+'Stock Data'!AM343</f>
        <v>45580</v>
      </c>
      <c r="D532" s="572">
        <f>_xlfn.XLOOKUP(C532,'Stock Data'!$AM$4:$AM$1051,'Stock Data'!$AN$4:$AN$1051)</f>
        <v>605.13</v>
      </c>
    </row>
    <row r="533" spans="3:4" ht="15" customHeight="1">
      <c r="C533" s="598">
        <f>+'Stock Data'!AM344</f>
        <v>45579</v>
      </c>
      <c r="D533" s="572">
        <f>_xlfn.XLOOKUP(C533,'Stock Data'!$AM$4:$AM$1051,'Stock Data'!$AN$4:$AN$1051)</f>
        <v>605.13</v>
      </c>
    </row>
    <row r="534" spans="3:4" ht="15" customHeight="1">
      <c r="C534" s="598">
        <f>+'Stock Data'!AM345</f>
        <v>45578</v>
      </c>
      <c r="D534" s="572">
        <f>_xlfn.XLOOKUP(C534,'Stock Data'!$AM$4:$AM$1051,'Stock Data'!$AN$4:$AN$1051)</f>
        <v>605.82000000000005</v>
      </c>
    </row>
    <row r="535" spans="3:4" ht="15" customHeight="1">
      <c r="C535" s="598">
        <f>+'Stock Data'!AM346</f>
        <v>45577</v>
      </c>
      <c r="D535" s="572">
        <f>_xlfn.XLOOKUP(C535,'Stock Data'!$AM$4:$AM$1051,'Stock Data'!$AN$4:$AN$1051)</f>
        <v>603.20000000000005</v>
      </c>
    </row>
    <row r="536" spans="3:4" ht="15" customHeight="1">
      <c r="C536" s="598">
        <f>+'Stock Data'!AM347</f>
        <v>45576</v>
      </c>
      <c r="D536" s="572">
        <f>_xlfn.XLOOKUP(C536,'Stock Data'!$AM$4:$AM$1051,'Stock Data'!$AN$4:$AN$1051)</f>
        <v>605.86</v>
      </c>
    </row>
    <row r="537" spans="3:4" ht="15" customHeight="1">
      <c r="C537" s="598">
        <f>+'Stock Data'!AM348</f>
        <v>45575</v>
      </c>
      <c r="D537" s="572">
        <f>_xlfn.XLOOKUP(C537,'Stock Data'!$AM$4:$AM$1051,'Stock Data'!$AN$4:$AN$1051)</f>
        <v>584.55999999999995</v>
      </c>
    </row>
    <row r="538" spans="3:4" ht="15" customHeight="1">
      <c r="C538" s="598">
        <f>+'Stock Data'!AM349</f>
        <v>45574</v>
      </c>
      <c r="D538" s="572">
        <f>_xlfn.XLOOKUP(C538,'Stock Data'!$AM$4:$AM$1051,'Stock Data'!$AN$4:$AN$1051)</f>
        <v>582.36</v>
      </c>
    </row>
    <row r="539" spans="3:4" ht="15" customHeight="1">
      <c r="C539" s="598">
        <f>+'Stock Data'!AM350</f>
        <v>45573</v>
      </c>
      <c r="D539" s="572">
        <f>_xlfn.XLOOKUP(C539,'Stock Data'!$AM$4:$AM$1051,'Stock Data'!$AN$4:$AN$1051)</f>
        <v>582.36</v>
      </c>
    </row>
    <row r="540" spans="3:4" ht="15" customHeight="1">
      <c r="C540" s="598">
        <f>+'Stock Data'!AM351</f>
        <v>45572</v>
      </c>
      <c r="D540" s="572">
        <f>_xlfn.XLOOKUP(C540,'Stock Data'!$AM$4:$AM$1051,'Stock Data'!$AN$4:$AN$1051)</f>
        <v>582.36</v>
      </c>
    </row>
    <row r="541" spans="3:4" ht="15" customHeight="1">
      <c r="C541" s="598">
        <f>+'Stock Data'!AM352</f>
        <v>45571</v>
      </c>
      <c r="D541" s="572">
        <f>_xlfn.XLOOKUP(C541,'Stock Data'!$AM$4:$AM$1051,'Stock Data'!$AN$4:$AN$1051)</f>
        <v>577.4</v>
      </c>
    </row>
    <row r="542" spans="3:4" ht="15" customHeight="1">
      <c r="C542" s="598">
        <f>+'Stock Data'!AM353</f>
        <v>45570</v>
      </c>
      <c r="D542" s="572">
        <f>_xlfn.XLOOKUP(C542,'Stock Data'!$AM$4:$AM$1051,'Stock Data'!$AN$4:$AN$1051)</f>
        <v>577.94000000000005</v>
      </c>
    </row>
    <row r="543" spans="3:4" ht="15" customHeight="1">
      <c r="C543" s="598">
        <f>+'Stock Data'!AM354</f>
        <v>45569</v>
      </c>
      <c r="D543" s="572">
        <f>_xlfn.XLOOKUP(C543,'Stock Data'!$AM$4:$AM$1051,'Stock Data'!$AN$4:$AN$1051)</f>
        <v>578.63</v>
      </c>
    </row>
    <row r="544" spans="3:4" ht="15" customHeight="1">
      <c r="C544" s="598">
        <f>+'Stock Data'!AM355</f>
        <v>45568</v>
      </c>
      <c r="D544" s="572">
        <f>_xlfn.XLOOKUP(C544,'Stock Data'!$AM$4:$AM$1051,'Stock Data'!$AN$4:$AN$1051)</f>
        <v>580.51</v>
      </c>
    </row>
    <row r="545" spans="3:4" ht="15" customHeight="1">
      <c r="C545" s="598">
        <f>+'Stock Data'!AM356</f>
        <v>45567</v>
      </c>
      <c r="D545" s="572">
        <f>_xlfn.XLOOKUP(C545,'Stock Data'!$AM$4:$AM$1051,'Stock Data'!$AN$4:$AN$1051)</f>
        <v>571.91999999999996</v>
      </c>
    </row>
    <row r="546" spans="3:4" ht="15" customHeight="1">
      <c r="C546" s="598">
        <f>+'Stock Data'!AM357</f>
        <v>45566</v>
      </c>
      <c r="D546" s="572">
        <f>_xlfn.XLOOKUP(C546,'Stock Data'!$AM$4:$AM$1051,'Stock Data'!$AN$4:$AN$1051)</f>
        <v>571.91999999999996</v>
      </c>
    </row>
    <row r="547" spans="3:4" ht="15" customHeight="1">
      <c r="C547" s="598">
        <f>+'Stock Data'!AM358</f>
        <v>45565</v>
      </c>
      <c r="D547" s="572">
        <f>_xlfn.XLOOKUP(C547,'Stock Data'!$AM$4:$AM$1051,'Stock Data'!$AN$4:$AN$1051)</f>
        <v>571.91999999999996</v>
      </c>
    </row>
    <row r="548" spans="3:4" ht="15" customHeight="1">
      <c r="C548" s="598">
        <f>+'Stock Data'!AM359</f>
        <v>45564</v>
      </c>
      <c r="D548" s="572">
        <f>_xlfn.XLOOKUP(C548,'Stock Data'!$AM$4:$AM$1051,'Stock Data'!$AN$4:$AN$1051)</f>
        <v>565.17999999999995</v>
      </c>
    </row>
    <row r="549" spans="3:4" ht="15" customHeight="1">
      <c r="C549" s="598">
        <f>+'Stock Data'!AM360</f>
        <v>45563</v>
      </c>
      <c r="D549" s="572">
        <f>_xlfn.XLOOKUP(C549,'Stock Data'!$AM$4:$AM$1051,'Stock Data'!$AN$4:$AN$1051)</f>
        <v>565.49</v>
      </c>
    </row>
    <row r="550" spans="3:4" ht="15" customHeight="1">
      <c r="C550" s="598">
        <f>+'Stock Data'!AM361</f>
        <v>45562</v>
      </c>
      <c r="D550" s="572">
        <f>_xlfn.XLOOKUP(C550,'Stock Data'!$AM$4:$AM$1051,'Stock Data'!$AN$4:$AN$1051)</f>
        <v>567.01</v>
      </c>
    </row>
    <row r="551" spans="3:4" ht="15" customHeight="1">
      <c r="C551" s="598">
        <f>+'Stock Data'!AM362</f>
        <v>45561</v>
      </c>
      <c r="D551" s="572">
        <f>_xlfn.XLOOKUP(C551,'Stock Data'!$AM$4:$AM$1051,'Stock Data'!$AN$4:$AN$1051)</f>
        <v>572.91999999999996</v>
      </c>
    </row>
    <row r="552" spans="3:4" ht="15" customHeight="1">
      <c r="C552" s="598">
        <f>+'Stock Data'!AM363</f>
        <v>45560</v>
      </c>
      <c r="D552" s="572">
        <f>_xlfn.XLOOKUP(C552,'Stock Data'!$AM$4:$AM$1051,'Stock Data'!$AN$4:$AN$1051)</f>
        <v>569.91</v>
      </c>
    </row>
    <row r="553" spans="3:4" ht="15" customHeight="1">
      <c r="C553" s="598">
        <f>+'Stock Data'!AM364</f>
        <v>45559</v>
      </c>
      <c r="D553" s="572">
        <f>_xlfn.XLOOKUP(C553,'Stock Data'!$AM$4:$AM$1051,'Stock Data'!$AN$4:$AN$1051)</f>
        <v>569.91</v>
      </c>
    </row>
    <row r="554" spans="3:4" ht="15" customHeight="1">
      <c r="C554" s="598">
        <f>+'Stock Data'!AM365</f>
        <v>45558</v>
      </c>
      <c r="D554" s="572">
        <f>_xlfn.XLOOKUP(C554,'Stock Data'!$AM$4:$AM$1051,'Stock Data'!$AN$4:$AN$1051)</f>
        <v>569.91</v>
      </c>
    </row>
    <row r="555" spans="3:4" ht="15" customHeight="1">
      <c r="C555" s="598">
        <f>+'Stock Data'!AM366</f>
        <v>45557</v>
      </c>
      <c r="D555" s="572">
        <f>_xlfn.XLOOKUP(C555,'Stock Data'!$AM$4:$AM$1051,'Stock Data'!$AN$4:$AN$1051)</f>
        <v>568.27</v>
      </c>
    </row>
    <row r="556" spans="3:4" ht="15" customHeight="1">
      <c r="C556" s="598">
        <f>+'Stock Data'!AM367</f>
        <v>45556</v>
      </c>
      <c r="D556" s="572">
        <f>_xlfn.XLOOKUP(C556,'Stock Data'!$AM$4:$AM$1051,'Stock Data'!$AN$4:$AN$1051)</f>
        <v>566.96</v>
      </c>
    </row>
    <row r="557" spans="3:4" ht="15" customHeight="1">
      <c r="C557" s="598">
        <f>+'Stock Data'!AM368</f>
        <v>45555</v>
      </c>
      <c r="D557" s="572">
        <f>_xlfn.XLOOKUP(C557,'Stock Data'!$AM$4:$AM$1051,'Stock Data'!$AN$4:$AN$1051)</f>
        <v>572.19000000000005</v>
      </c>
    </row>
    <row r="558" spans="3:4" ht="15" customHeight="1">
      <c r="C558" s="598">
        <f>+'Stock Data'!AM369</f>
        <v>45554</v>
      </c>
      <c r="D558" s="572">
        <f>_xlfn.XLOOKUP(C558,'Stock Data'!$AM$4:$AM$1051,'Stock Data'!$AN$4:$AN$1051)</f>
        <v>576.57000000000005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B1:P42"/>
  <sheetViews>
    <sheetView showGridLines="0" zoomScaleNormal="100" workbookViewId="0">
      <selection activeCell="H14" sqref="H14"/>
    </sheetView>
  </sheetViews>
  <sheetFormatPr defaultColWidth="9" defaultRowHeight="15" customHeight="1"/>
  <cols>
    <col min="1" max="1" width="2.125" style="23" customWidth="1"/>
    <col min="2" max="2" width="25.625" style="23" customWidth="1"/>
    <col min="3" max="4" width="11.625" style="23" customWidth="1"/>
    <col min="5" max="5" width="10.375" style="23" customWidth="1"/>
    <col min="6" max="6" width="25.625" style="23" customWidth="1"/>
    <col min="7" max="8" width="11.625" style="23" customWidth="1"/>
    <col min="9" max="9" width="10.375" style="23" customWidth="1"/>
    <col min="10" max="10" width="27.125" style="23" customWidth="1"/>
    <col min="11" max="12" width="11.625" style="23" customWidth="1"/>
    <col min="13" max="13" width="10.375" style="23" customWidth="1"/>
    <col min="14" max="14" width="25.625" style="23" customWidth="1"/>
    <col min="15" max="16" width="11.625" style="23" customWidth="1"/>
    <col min="17" max="16384" width="9" style="23"/>
  </cols>
  <sheetData>
    <row r="1" spans="2:16" s="573" customFormat="1" ht="15" customHeight="1"/>
    <row r="2" spans="2:16" s="573" customFormat="1" ht="15" customHeight="1"/>
    <row r="3" spans="2:16" s="573" customFormat="1" ht="15" customHeight="1"/>
    <row r="4" spans="2:16" s="573" customFormat="1" ht="15" customHeight="1"/>
    <row r="5" spans="2:16" s="36" customFormat="1" ht="3.95" customHeight="1"/>
    <row r="7" spans="2:16" ht="15" customHeight="1">
      <c r="B7" s="367" t="s">
        <v>1</v>
      </c>
      <c r="C7" s="184"/>
      <c r="D7" s="184"/>
      <c r="F7" s="367" t="s">
        <v>2</v>
      </c>
      <c r="G7" s="184"/>
      <c r="H7" s="184"/>
      <c r="J7" s="367" t="s">
        <v>3</v>
      </c>
      <c r="K7" s="184"/>
      <c r="L7" s="184"/>
      <c r="M7" s="184"/>
      <c r="N7" s="184"/>
      <c r="O7" s="184"/>
      <c r="P7" s="184"/>
    </row>
    <row r="8" spans="2:16" ht="15" customHeight="1">
      <c r="B8" s="367"/>
      <c r="C8" s="184"/>
      <c r="D8" s="184"/>
      <c r="F8" s="367"/>
      <c r="G8" s="184"/>
      <c r="H8" s="184"/>
      <c r="J8" s="184"/>
      <c r="K8" s="184"/>
      <c r="L8" s="184"/>
      <c r="M8" s="184"/>
      <c r="N8" s="184"/>
      <c r="O8" s="184"/>
      <c r="P8" s="184"/>
    </row>
    <row r="9" spans="2:16" ht="15" customHeight="1">
      <c r="B9" s="184"/>
      <c r="C9" s="184"/>
      <c r="D9" s="184"/>
      <c r="F9" s="184"/>
      <c r="G9" s="184"/>
      <c r="H9" s="184"/>
      <c r="J9" s="184"/>
      <c r="K9" s="184"/>
      <c r="L9" s="184"/>
      <c r="M9" s="184"/>
      <c r="N9" s="184"/>
      <c r="O9" s="184"/>
      <c r="P9" s="184"/>
    </row>
    <row r="10" spans="2:16" ht="3.95" customHeight="1">
      <c r="B10" s="36"/>
      <c r="C10" s="36"/>
      <c r="D10" s="36"/>
      <c r="F10" s="36"/>
      <c r="G10" s="36"/>
      <c r="H10" s="36"/>
      <c r="J10" s="36"/>
      <c r="K10" s="36"/>
      <c r="L10" s="36"/>
      <c r="M10" s="36"/>
      <c r="N10" s="36"/>
      <c r="O10" s="36"/>
      <c r="P10" s="36"/>
    </row>
    <row r="11" spans="2:16" ht="3.95" customHeight="1"/>
    <row r="12" spans="2:16" ht="15" customHeight="1">
      <c r="B12" s="476" t="s">
        <v>4</v>
      </c>
      <c r="F12" s="368" t="s">
        <v>5</v>
      </c>
      <c r="H12" s="552" t="s">
        <v>6</v>
      </c>
      <c r="J12" s="528"/>
    </row>
    <row r="13" spans="2:16" ht="15" customHeight="1">
      <c r="B13" s="565" t="s">
        <v>7</v>
      </c>
      <c r="F13" s="368" t="s">
        <v>8</v>
      </c>
      <c r="H13" s="591">
        <f ca="1">FCFF!Z171</f>
        <v>366.76888590299887</v>
      </c>
      <c r="J13" s="528"/>
    </row>
    <row r="14" spans="2:16" ht="15" customHeight="1">
      <c r="B14" s="677" t="s">
        <v>9</v>
      </c>
      <c r="F14" s="368" t="s">
        <v>10</v>
      </c>
      <c r="H14" s="811">
        <f ca="1">FCFF!Z173</f>
        <v>-0.20113069655856142</v>
      </c>
      <c r="J14" s="528"/>
    </row>
    <row r="15" spans="2:16" ht="15" customHeight="1">
      <c r="B15" s="370" t="s">
        <v>11</v>
      </c>
      <c r="J15" s="528"/>
    </row>
    <row r="16" spans="2:16" ht="15" customHeight="1">
      <c r="B16" s="565" t="s">
        <v>12</v>
      </c>
      <c r="F16" s="368" t="s">
        <v>13</v>
      </c>
      <c r="H16" s="582" t="str">
        <f>Inputs!D15</f>
        <v>LMT US Equity</v>
      </c>
      <c r="J16" s="528"/>
    </row>
    <row r="17" spans="2:8" ht="15" customHeight="1">
      <c r="B17" s="677" t="s">
        <v>14</v>
      </c>
      <c r="F17" s="368" t="s">
        <v>15</v>
      </c>
      <c r="G17" s="547"/>
      <c r="H17" s="582" t="s">
        <v>16</v>
      </c>
    </row>
    <row r="18" spans="2:8" ht="15" customHeight="1">
      <c r="B18" s="370" t="s">
        <v>17</v>
      </c>
    </row>
    <row r="19" spans="2:8" ht="15" customHeight="1">
      <c r="B19" s="565" t="s">
        <v>18</v>
      </c>
      <c r="F19" s="368" t="s">
        <v>19</v>
      </c>
      <c r="H19" s="768">
        <f>'Stock Data'!AN4</f>
        <v>459.11</v>
      </c>
    </row>
    <row r="20" spans="2:8" ht="15" customHeight="1">
      <c r="B20" s="677" t="s">
        <v>20</v>
      </c>
      <c r="F20" s="368" t="str">
        <f>"Market Cap (in "&amp;IF(Inputs!$D$14="BLN","billions",IF(Inputs!$D$14="MLN","millions","thousands"))&amp;")"</f>
        <v>Market Cap (in millions)</v>
      </c>
      <c r="H20" s="769">
        <f>'Stock Data'!AQ4</f>
        <v>107186.1436966</v>
      </c>
    </row>
    <row r="21" spans="2:8" ht="15" customHeight="1">
      <c r="B21" s="370" t="s">
        <v>21</v>
      </c>
      <c r="F21" s="370" t="s">
        <v>22</v>
      </c>
      <c r="G21" s="547"/>
      <c r="H21" s="578">
        <f>'Stock Data'!E164</f>
        <v>0.47389218211174011</v>
      </c>
    </row>
    <row r="22" spans="2:8" ht="15" customHeight="1">
      <c r="B22" s="565" t="s">
        <v>23</v>
      </c>
      <c r="F22" s="370" t="s">
        <v>24</v>
      </c>
      <c r="H22" s="579">
        <f>'Stock Data'!E165</f>
        <v>0.30410839080810548</v>
      </c>
    </row>
    <row r="23" spans="2:8" ht="15" customHeight="1">
      <c r="B23" s="677" t="s">
        <v>25</v>
      </c>
      <c r="F23" s="370" t="s">
        <v>26</v>
      </c>
      <c r="H23" s="769">
        <f>'Stock Data'!E166</f>
        <v>458.92349243164063</v>
      </c>
    </row>
    <row r="24" spans="2:8" ht="15" customHeight="1">
      <c r="B24" s="551"/>
      <c r="F24" s="368"/>
      <c r="H24" s="580"/>
    </row>
    <row r="25" spans="2:8" ht="15" customHeight="1">
      <c r="B25" s="368" t="s">
        <v>27</v>
      </c>
      <c r="F25" s="370" t="s">
        <v>28</v>
      </c>
      <c r="H25" s="581">
        <f>'Stock Data'!E168</f>
        <v>1383397</v>
      </c>
    </row>
    <row r="26" spans="2:8" ht="15" customHeight="1">
      <c r="B26" s="370" t="s">
        <v>29</v>
      </c>
      <c r="F26" s="370" t="s">
        <v>30</v>
      </c>
      <c r="H26" s="581">
        <f>'Stock Data'!E169</f>
        <v>233.46509999999998</v>
      </c>
    </row>
    <row r="27" spans="2:8" ht="15" customHeight="1">
      <c r="B27" s="565" t="s">
        <v>31</v>
      </c>
      <c r="F27" s="370" t="s">
        <v>32</v>
      </c>
      <c r="H27" s="579">
        <f>'Stock Data'!E170</f>
        <v>0.99923770000000001</v>
      </c>
    </row>
    <row r="28" spans="2:8" ht="15" customHeight="1">
      <c r="B28" s="566" t="s">
        <v>33</v>
      </c>
      <c r="F28" s="370" t="s">
        <v>34</v>
      </c>
      <c r="H28" s="579">
        <f>IFERROR('Stock Data'!E171,0)</f>
        <v>8.9563809999999994E-3</v>
      </c>
    </row>
    <row r="29" spans="2:8" ht="15" customHeight="1">
      <c r="F29" s="368"/>
      <c r="H29" s="580"/>
    </row>
    <row r="30" spans="2:8" ht="15" customHeight="1">
      <c r="B30" s="541" t="s">
        <v>35</v>
      </c>
      <c r="F30" s="370" t="s">
        <v>36</v>
      </c>
      <c r="H30" s="579">
        <f>'Stock Data'!E173</f>
        <v>7.4818528122618747E-4</v>
      </c>
    </row>
    <row r="31" spans="2:8" ht="15" customHeight="1">
      <c r="B31" s="550" t="s">
        <v>37</v>
      </c>
      <c r="F31" s="370" t="s">
        <v>38</v>
      </c>
      <c r="H31" s="579">
        <f>'Stock Data'!E174</f>
        <v>0.7811379510003208</v>
      </c>
    </row>
    <row r="32" spans="2:8" ht="15" customHeight="1">
      <c r="B32" s="551" t="s">
        <v>39</v>
      </c>
    </row>
    <row r="34" spans="2:16" ht="15" customHeight="1">
      <c r="B34" s="857" t="s">
        <v>40</v>
      </c>
      <c r="C34" s="857"/>
      <c r="D34" s="857"/>
      <c r="E34" s="857"/>
      <c r="F34" s="857"/>
      <c r="G34" s="857"/>
      <c r="H34" s="857"/>
      <c r="I34" s="857"/>
      <c r="J34" s="857"/>
      <c r="K34" s="857"/>
      <c r="L34" s="857"/>
      <c r="M34" s="857"/>
      <c r="N34" s="857"/>
      <c r="O34" s="857"/>
      <c r="P34" s="857"/>
    </row>
    <row r="35" spans="2:16" ht="15" customHeight="1">
      <c r="B35" s="857"/>
      <c r="C35" s="857"/>
      <c r="D35" s="857"/>
      <c r="E35" s="857"/>
      <c r="F35" s="857"/>
      <c r="G35" s="857"/>
      <c r="H35" s="857"/>
      <c r="I35" s="857"/>
      <c r="J35" s="857"/>
      <c r="K35" s="857"/>
      <c r="L35" s="857"/>
      <c r="M35" s="857"/>
      <c r="N35" s="857"/>
      <c r="O35" s="857"/>
      <c r="P35" s="857"/>
    </row>
    <row r="36" spans="2:16" ht="15" customHeight="1">
      <c r="B36" s="857"/>
      <c r="C36" s="857"/>
      <c r="D36" s="857"/>
      <c r="E36" s="857"/>
      <c r="F36" s="857"/>
      <c r="G36" s="857"/>
      <c r="H36" s="857"/>
      <c r="I36" s="857"/>
      <c r="J36" s="857"/>
      <c r="K36" s="857"/>
      <c r="L36" s="857"/>
      <c r="M36" s="857"/>
      <c r="N36" s="857"/>
      <c r="O36" s="857"/>
      <c r="P36" s="857"/>
    </row>
    <row r="37" spans="2:16" ht="15" customHeight="1">
      <c r="B37" s="857"/>
      <c r="C37" s="857"/>
      <c r="D37" s="857"/>
      <c r="E37" s="857"/>
      <c r="F37" s="857"/>
      <c r="G37" s="857"/>
      <c r="H37" s="857"/>
      <c r="I37" s="857"/>
      <c r="J37" s="857"/>
      <c r="K37" s="857"/>
      <c r="L37" s="857"/>
      <c r="M37" s="857"/>
      <c r="N37" s="857"/>
      <c r="O37" s="857"/>
      <c r="P37" s="857"/>
    </row>
    <row r="38" spans="2:16" ht="15" customHeight="1">
      <c r="B38" s="857"/>
      <c r="C38" s="857"/>
      <c r="D38" s="857"/>
      <c r="E38" s="857"/>
      <c r="F38" s="857"/>
      <c r="G38" s="857"/>
      <c r="H38" s="857"/>
      <c r="I38" s="857"/>
      <c r="J38" s="857"/>
      <c r="K38" s="857"/>
      <c r="L38" s="857"/>
      <c r="M38" s="857"/>
      <c r="N38" s="857"/>
      <c r="O38" s="857"/>
      <c r="P38" s="857"/>
    </row>
    <row r="39" spans="2:16" ht="15" customHeight="1">
      <c r="B39" s="857"/>
      <c r="C39" s="857"/>
      <c r="D39" s="857"/>
      <c r="E39" s="857"/>
      <c r="F39" s="857"/>
      <c r="G39" s="857"/>
      <c r="H39" s="857"/>
      <c r="I39" s="857"/>
      <c r="J39" s="857"/>
      <c r="K39" s="857"/>
      <c r="L39" s="857"/>
      <c r="M39" s="857"/>
      <c r="N39" s="857"/>
      <c r="O39" s="857"/>
      <c r="P39" s="857"/>
    </row>
    <row r="40" spans="2:16" ht="15" customHeight="1">
      <c r="B40" s="857"/>
      <c r="C40" s="857"/>
      <c r="D40" s="857"/>
      <c r="E40" s="857"/>
      <c r="F40" s="857"/>
      <c r="G40" s="857"/>
      <c r="H40" s="857"/>
      <c r="I40" s="857"/>
      <c r="J40" s="857"/>
      <c r="K40" s="857"/>
      <c r="L40" s="857"/>
      <c r="M40" s="857"/>
      <c r="N40" s="857"/>
      <c r="O40" s="857"/>
      <c r="P40" s="857"/>
    </row>
    <row r="41" spans="2:16" ht="15" customHeight="1">
      <c r="B41" s="857"/>
      <c r="C41" s="857"/>
      <c r="D41" s="857"/>
      <c r="E41" s="857"/>
      <c r="F41" s="857"/>
      <c r="G41" s="857"/>
      <c r="H41" s="857"/>
      <c r="I41" s="857"/>
      <c r="J41" s="857"/>
      <c r="K41" s="857"/>
      <c r="L41" s="857"/>
      <c r="M41" s="857"/>
      <c r="N41" s="857"/>
      <c r="O41" s="857"/>
      <c r="P41" s="857"/>
    </row>
    <row r="42" spans="2:16" ht="15" customHeight="1">
      <c r="B42" s="857"/>
      <c r="C42" s="857"/>
      <c r="D42" s="857"/>
      <c r="E42" s="857"/>
      <c r="F42" s="857"/>
      <c r="G42" s="857"/>
      <c r="H42" s="857"/>
      <c r="I42" s="857"/>
      <c r="J42" s="857"/>
      <c r="K42" s="857"/>
      <c r="L42" s="857"/>
      <c r="M42" s="857"/>
      <c r="N42" s="857"/>
      <c r="O42" s="857"/>
      <c r="P42" s="857"/>
    </row>
  </sheetData>
  <mergeCells count="1">
    <mergeCell ref="B34:P42"/>
  </mergeCells>
  <conditionalFormatting sqref="H12">
    <cfRule type="beginsWith" dxfId="9" priority="1" operator="beginsWith" text="Hold">
      <formula>LEFT(H12,LEN("Hold"))="Hold"</formula>
    </cfRule>
    <cfRule type="beginsWith" dxfId="8" priority="2" operator="beginsWith" text="Buy">
      <formula>LEFT(H12,LEN("Buy"))="Buy"</formula>
    </cfRule>
    <cfRule type="beginsWith" dxfId="7" priority="3" operator="beginsWith" text="Strong Buy">
      <formula>LEFT(H12,LEN("Strong Buy"))="Strong Buy"</formula>
    </cfRule>
    <cfRule type="beginsWith" dxfId="6" priority="4" operator="beginsWith" text="Sell">
      <formula>LEFT(H12,LEN("Sell"))="Sell"</formula>
    </cfRule>
    <cfRule type="beginsWith" dxfId="5" priority="5" operator="beginsWith" text="Strong Sell">
      <formula>LEFT(H12,LEN("Strong Sell"))="Strong Sell"</formula>
    </cfRule>
  </conditionalFormatting>
  <dataValidations count="1">
    <dataValidation type="list" allowBlank="1" showInputMessage="1" showErrorMessage="1" sqref="H12" xr:uid="{00000000-0002-0000-0100-000000000000}">
      <formula1>"Strong Buy, Buy, Hold, Sell, Strong Sell"</formula1>
    </dataValidation>
  </dataValidations>
  <hyperlinks>
    <hyperlink ref="B32" r:id="rId1" xr:uid="{068F08CB-A223-45FB-9A9F-060ED37D18D0}"/>
    <hyperlink ref="B27" r:id="rId2" display="raul.vasconcelos@aln.iseg.ulisboa.pt" xr:uid="{D48763E3-2FF5-493C-B29F-B756409D01B4}"/>
    <hyperlink ref="B22" r:id="rId3" display="raul.vasconcelos@aln.iseg.ulisboa.pt" xr:uid="{972F8107-633E-46FA-8E9D-446E831F3D6B}"/>
    <hyperlink ref="B19" r:id="rId4" display="raul.vasconcelos@aln.iseg.ulisboa.pt" xr:uid="{913F4351-F364-4566-8CF9-58EAB12BAB1A}"/>
    <hyperlink ref="B16" r:id="rId5" display="raul.vasconcelos@aln.iseg.ulisboa.pt" xr:uid="{EFA83599-0A39-49DD-B76B-5CC8CB13CC21}"/>
    <hyperlink ref="B13" r:id="rId6" display="raul.vasconcelos@aln.iseg.ulisboa.pt" xr:uid="{77AB066A-C300-4B87-AFCB-2C947D186323}"/>
    <hyperlink ref="B17" r:id="rId7" xr:uid="{4D855624-B26E-4C17-9366-5CE3A765EDF3}"/>
    <hyperlink ref="B20" r:id="rId8" xr:uid="{5C45B838-CF78-499A-8F9B-7942FC785F43}"/>
    <hyperlink ref="B23" r:id="rId9" xr:uid="{32AC0756-B2EA-49EF-B379-83EFBC2EA4DD}"/>
    <hyperlink ref="B14" r:id="rId10" xr:uid="{9C7CF385-A801-4E9E-B448-E17E7B1DCF65}"/>
  </hyperlinks>
  <pageMargins left="0.7" right="0.7" top="0.75" bottom="0.75" header="0.3" footer="0.3"/>
  <pageSetup paperSize="9"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59999389629810485"/>
    <pageSetUpPr autoPageBreaks="0"/>
  </sheetPr>
  <dimension ref="A1:S38"/>
  <sheetViews>
    <sheetView showGridLines="0" tabSelected="1" zoomScale="80" zoomScaleNormal="100" workbookViewId="0">
      <selection activeCell="T36" sqref="T36"/>
    </sheetView>
  </sheetViews>
  <sheetFormatPr defaultColWidth="11.625" defaultRowHeight="15" customHeight="1"/>
  <cols>
    <col min="1" max="1" width="2.125" style="23" customWidth="1"/>
    <col min="2" max="2" width="46.875" style="23" customWidth="1"/>
    <col min="3" max="3" width="3.625" style="23" customWidth="1"/>
    <col min="4" max="4" width="11.625" style="23"/>
    <col min="5" max="5" width="19.75" style="23" bestFit="1" customWidth="1"/>
    <col min="6" max="6" width="22.5" style="23" bestFit="1" customWidth="1"/>
    <col min="7" max="11" width="11.625" style="23"/>
    <col min="12" max="12" width="14.5" style="23" customWidth="1"/>
    <col min="13" max="13" width="11.625" style="23"/>
    <col min="14" max="14" width="1.625" style="23" customWidth="1"/>
    <col min="15" max="16384" width="11.625" style="23"/>
  </cols>
  <sheetData>
    <row r="1" spans="1:19" s="573" customFormat="1" ht="15" customHeight="1"/>
    <row r="2" spans="1:19" s="573" customFormat="1" ht="15" customHeight="1"/>
    <row r="3" spans="1:19" s="573" customFormat="1" ht="15" customHeight="1"/>
    <row r="4" spans="1:19" s="573" customFormat="1" ht="15" customHeight="1"/>
    <row r="5" spans="1:19" s="36" customFormat="1" ht="3.95" customHeight="1"/>
    <row r="6" spans="1:19" ht="15" customHeight="1">
      <c r="D6" s="415">
        <v>584.16999999999996</v>
      </c>
      <c r="E6" s="415">
        <v>627.76</v>
      </c>
      <c r="F6" s="415">
        <v>676.06</v>
      </c>
      <c r="G6" s="415">
        <v>729.63</v>
      </c>
      <c r="H6" s="415">
        <v>789.13</v>
      </c>
      <c r="I6" s="415">
        <v>855.3</v>
      </c>
      <c r="J6" s="415">
        <v>929</v>
      </c>
      <c r="K6" s="415">
        <v>997.69</v>
      </c>
      <c r="L6" s="415">
        <v>1067.6300000000001</v>
      </c>
      <c r="M6" s="415">
        <v>1137.57</v>
      </c>
    </row>
    <row r="7" spans="1:19" ht="15" customHeight="1">
      <c r="A7" s="44" t="s">
        <v>41</v>
      </c>
      <c r="B7" s="367" t="s">
        <v>42</v>
      </c>
      <c r="C7" s="184"/>
      <c r="D7" s="32"/>
      <c r="E7" s="32"/>
      <c r="F7" s="32"/>
      <c r="G7" s="32"/>
      <c r="H7" s="32"/>
      <c r="I7" s="32"/>
      <c r="J7" s="32"/>
      <c r="K7" s="32"/>
      <c r="L7" s="32"/>
      <c r="M7" s="32"/>
      <c r="N7" s="415"/>
      <c r="O7" s="367" t="s">
        <v>43</v>
      </c>
      <c r="P7" s="184"/>
      <c r="Q7" s="184"/>
      <c r="R7" s="184"/>
      <c r="S7" s="184"/>
    </row>
    <row r="8" spans="1:19" ht="15" customHeight="1">
      <c r="B8" s="184"/>
      <c r="C8" s="184"/>
      <c r="D8" s="32"/>
      <c r="E8" s="32"/>
      <c r="F8" s="32"/>
      <c r="G8" s="32"/>
      <c r="H8" s="32"/>
      <c r="I8" s="32"/>
      <c r="J8" s="32"/>
      <c r="K8" s="32"/>
      <c r="L8" s="32"/>
      <c r="M8" s="32"/>
      <c r="N8" s="415"/>
      <c r="O8" s="184"/>
      <c r="P8" s="184"/>
      <c r="Q8" s="184"/>
      <c r="R8" s="184"/>
      <c r="S8" s="184"/>
    </row>
    <row r="9" spans="1:19" ht="15" customHeight="1">
      <c r="B9" s="367"/>
      <c r="C9" s="32"/>
      <c r="D9" s="445">
        <v>2022</v>
      </c>
      <c r="E9" s="445">
        <f>+D9+1</f>
        <v>2023</v>
      </c>
      <c r="F9" s="445">
        <f>+E9+1</f>
        <v>2024</v>
      </c>
      <c r="G9" s="446">
        <f>+F9+1</f>
        <v>2025</v>
      </c>
      <c r="H9" s="446">
        <f t="shared" ref="H9:K9" si="0">+G9+1</f>
        <v>2026</v>
      </c>
      <c r="I9" s="446">
        <f t="shared" si="0"/>
        <v>2027</v>
      </c>
      <c r="J9" s="446">
        <f t="shared" si="0"/>
        <v>2028</v>
      </c>
      <c r="K9" s="446">
        <f t="shared" si="0"/>
        <v>2029</v>
      </c>
      <c r="L9" s="535"/>
      <c r="M9" s="536" t="str">
        <f>"CAGR "&amp;$G$9&amp;" - "&amp;$K$9</f>
        <v>CAGR 2025 - 2029</v>
      </c>
      <c r="N9" s="537"/>
      <c r="O9" s="32"/>
      <c r="P9" s="32"/>
      <c r="Q9" s="32"/>
      <c r="R9" s="32"/>
      <c r="S9" s="32"/>
    </row>
    <row r="10" spans="1:19" ht="3.95" customHeight="1">
      <c r="B10" s="36"/>
      <c r="C10" s="36"/>
      <c r="D10" s="36"/>
      <c r="E10" s="36"/>
      <c r="F10" s="36"/>
      <c r="G10" s="36"/>
      <c r="H10" s="36"/>
      <c r="I10" s="36"/>
      <c r="J10" s="36"/>
      <c r="K10" s="36"/>
      <c r="L10" s="36"/>
      <c r="M10" s="374"/>
      <c r="O10" s="36"/>
      <c r="P10" s="36"/>
      <c r="Q10" s="36"/>
      <c r="R10" s="36"/>
      <c r="S10" s="36"/>
    </row>
    <row r="11" spans="1:19" ht="3.95" customHeight="1">
      <c r="M11" s="528"/>
    </row>
    <row r="12" spans="1:19" ht="15" customHeight="1">
      <c r="B12" s="368" t="s">
        <v>44</v>
      </c>
      <c r="C12" s="33"/>
      <c r="D12" s="544"/>
      <c r="E12" s="544"/>
      <c r="F12" s="544">
        <v>82061</v>
      </c>
      <c r="G12" s="544">
        <f>F12*1.054</f>
        <v>86492.294000000009</v>
      </c>
      <c r="H12" s="544">
        <f>G12*1.075</f>
        <v>92979.216050000003</v>
      </c>
      <c r="I12" s="544">
        <f>H12*1.078</f>
        <v>100231.59490190001</v>
      </c>
      <c r="J12" s="544">
        <f>I12*1.072</f>
        <v>107448.26973483682</v>
      </c>
      <c r="K12" s="544">
        <f>J12*1.07</f>
        <v>114969.6486162754</v>
      </c>
      <c r="L12" s="533"/>
      <c r="M12" s="538">
        <f>(K12/G12)^(1/5)-1</f>
        <v>5.8573840830964174E-2</v>
      </c>
    </row>
    <row r="13" spans="1:19" ht="15" customHeight="1">
      <c r="B13" s="542" t="s">
        <v>45</v>
      </c>
      <c r="D13" s="543"/>
      <c r="E13" s="543"/>
      <c r="F13" s="543"/>
      <c r="G13" s="543"/>
      <c r="H13" s="543"/>
      <c r="I13" s="543"/>
      <c r="J13" s="543"/>
      <c r="K13" s="543"/>
      <c r="L13" s="533"/>
      <c r="M13" s="546" t="e">
        <f>((K13*K12)/(G13*G12))^(1/5)-1</f>
        <v>#DIV/0!</v>
      </c>
    </row>
    <row r="14" spans="1:19" ht="15" customHeight="1">
      <c r="B14" s="545" t="s">
        <v>46</v>
      </c>
      <c r="C14" s="33"/>
      <c r="D14" s="544">
        <v>398.6</v>
      </c>
      <c r="E14" s="544">
        <v>407.4</v>
      </c>
      <c r="F14" s="544">
        <v>421</v>
      </c>
      <c r="G14" s="544">
        <f>F14*1.175</f>
        <v>494.67500000000001</v>
      </c>
      <c r="H14" s="544">
        <f>G14*1.2</f>
        <v>593.61</v>
      </c>
      <c r="I14" s="544">
        <f>H14*1.018</f>
        <v>604.29498000000001</v>
      </c>
      <c r="J14" s="544">
        <f>I14*1.016</f>
        <v>613.96369967999999</v>
      </c>
      <c r="K14" s="544">
        <f t="shared" ref="K14" si="1">J14*1.015</f>
        <v>623.17315517519989</v>
      </c>
      <c r="L14" s="533"/>
      <c r="M14" s="538">
        <f>(K14/G14)^(1/5)-1</f>
        <v>4.7267810176583547E-2</v>
      </c>
    </row>
    <row r="15" spans="1:19" ht="15" customHeight="1">
      <c r="B15" s="542" t="s">
        <v>45</v>
      </c>
      <c r="D15" s="543"/>
      <c r="E15" s="543"/>
      <c r="F15" s="543"/>
      <c r="G15" s="543"/>
      <c r="H15" s="543"/>
      <c r="I15" s="543"/>
      <c r="J15" s="543"/>
      <c r="K15" s="543"/>
      <c r="L15" s="533"/>
      <c r="M15" s="546" t="e">
        <f>((K15*K14)/(G15*G14))^(1/5)-1</f>
        <v>#DIV/0!</v>
      </c>
    </row>
    <row r="16" spans="1:19" ht="15" customHeight="1">
      <c r="B16" s="545"/>
      <c r="C16" s="33"/>
      <c r="D16" s="544"/>
      <c r="E16" s="544"/>
      <c r="F16" s="544"/>
      <c r="G16" s="544"/>
      <c r="H16" s="544"/>
      <c r="I16" s="544"/>
      <c r="J16" s="544"/>
      <c r="K16" s="544"/>
      <c r="L16" s="533"/>
      <c r="M16" s="538"/>
    </row>
    <row r="17" spans="1:19" ht="15" customHeight="1">
      <c r="B17" s="542"/>
      <c r="D17" s="543"/>
      <c r="E17" s="543"/>
      <c r="F17" s="543"/>
      <c r="G17" s="543"/>
      <c r="H17" s="543"/>
      <c r="I17" s="543"/>
      <c r="J17" s="543"/>
      <c r="K17" s="543"/>
      <c r="L17" s="533"/>
      <c r="M17" s="546"/>
    </row>
    <row r="18" spans="1:19" ht="15" customHeight="1">
      <c r="B18" s="545"/>
      <c r="C18" s="33"/>
      <c r="D18" s="544"/>
      <c r="E18" s="544"/>
      <c r="F18" s="544"/>
      <c r="G18" s="544"/>
      <c r="H18" s="544"/>
      <c r="I18" s="544"/>
      <c r="J18" s="544"/>
      <c r="K18" s="544"/>
      <c r="L18" s="533"/>
      <c r="M18" s="538"/>
    </row>
    <row r="19" spans="1:19" ht="15" customHeight="1">
      <c r="B19" s="542"/>
      <c r="D19" s="543"/>
      <c r="E19" s="543"/>
      <c r="F19" s="543"/>
      <c r="G19" s="543"/>
      <c r="H19" s="543"/>
      <c r="I19" s="543"/>
      <c r="J19" s="543"/>
      <c r="K19" s="543"/>
      <c r="L19" s="533"/>
      <c r="M19" s="546"/>
    </row>
    <row r="20" spans="1:19" ht="15" customHeight="1">
      <c r="B20" s="545"/>
      <c r="C20" s="33"/>
      <c r="D20" s="544"/>
      <c r="E20" s="544"/>
      <c r="F20" s="544"/>
      <c r="G20" s="544"/>
      <c r="H20" s="544"/>
      <c r="I20" s="544"/>
      <c r="J20" s="544"/>
      <c r="K20" s="544"/>
      <c r="L20" s="533"/>
      <c r="M20" s="538"/>
    </row>
    <row r="21" spans="1:19" ht="15" customHeight="1">
      <c r="B21" s="542"/>
      <c r="D21" s="543"/>
      <c r="E21" s="543"/>
      <c r="F21" s="543"/>
      <c r="G21" s="543"/>
      <c r="H21" s="543"/>
      <c r="I21" s="543"/>
      <c r="J21" s="543"/>
      <c r="K21" s="543"/>
      <c r="L21" s="533"/>
      <c r="M21" s="546"/>
    </row>
    <row r="22" spans="1:19" ht="15" customHeight="1">
      <c r="E22" s="534"/>
    </row>
    <row r="23" spans="1:19" ht="15" customHeight="1">
      <c r="A23" s="44" t="s">
        <v>41</v>
      </c>
      <c r="B23" s="32"/>
      <c r="C23" s="32"/>
      <c r="D23" s="32"/>
      <c r="E23" s="32"/>
      <c r="F23" s="32"/>
      <c r="G23" s="32"/>
      <c r="H23" s="32"/>
      <c r="I23" s="32"/>
      <c r="J23" s="32"/>
      <c r="K23" s="32"/>
      <c r="L23" s="32"/>
      <c r="M23" s="32"/>
      <c r="O23" s="32"/>
      <c r="P23" s="32"/>
      <c r="Q23" s="32"/>
      <c r="R23" s="32"/>
      <c r="S23" s="32"/>
    </row>
    <row r="24" spans="1:19" ht="15" customHeight="1">
      <c r="B24" s="32"/>
      <c r="C24" s="32"/>
      <c r="D24" s="32"/>
      <c r="E24" s="32"/>
      <c r="F24" s="32"/>
      <c r="G24" s="32"/>
      <c r="H24" s="32"/>
      <c r="I24" s="32"/>
      <c r="J24" s="32"/>
      <c r="K24" s="32"/>
      <c r="L24" s="32"/>
      <c r="M24" s="32"/>
      <c r="O24" s="32"/>
      <c r="P24" s="32"/>
      <c r="Q24" s="32"/>
      <c r="R24" s="32"/>
      <c r="S24" s="32"/>
    </row>
    <row r="25" spans="1:19" s="415" customFormat="1" ht="15" customHeight="1">
      <c r="B25" s="367" t="s">
        <v>47</v>
      </c>
      <c r="C25" s="32"/>
      <c r="D25" s="367" t="s">
        <v>48</v>
      </c>
      <c r="E25" s="32"/>
      <c r="F25" s="32"/>
      <c r="G25" s="32"/>
      <c r="H25" s="32"/>
      <c r="I25" s="32"/>
      <c r="J25" s="32"/>
      <c r="K25" s="32"/>
      <c r="L25" s="32"/>
      <c r="M25" s="32"/>
      <c r="O25" s="367" t="s">
        <v>49</v>
      </c>
      <c r="P25" s="32"/>
      <c r="Q25" s="32"/>
      <c r="R25" s="32"/>
      <c r="S25" s="32"/>
    </row>
    <row r="26" spans="1:19" ht="3.95" customHeight="1">
      <c r="B26" s="36"/>
      <c r="C26" s="36"/>
      <c r="D26" s="36"/>
      <c r="E26" s="36"/>
      <c r="F26" s="36"/>
      <c r="G26" s="36"/>
      <c r="H26" s="36"/>
      <c r="I26" s="36"/>
      <c r="J26" s="36"/>
      <c r="K26" s="36"/>
      <c r="L26" s="36"/>
      <c r="M26" s="36"/>
      <c r="O26" s="36"/>
      <c r="P26" s="36"/>
      <c r="Q26" s="36"/>
      <c r="R26" s="36"/>
      <c r="S26" s="36"/>
    </row>
    <row r="27" spans="1:19" ht="60" customHeight="1">
      <c r="B27" s="749" t="s">
        <v>50</v>
      </c>
      <c r="C27" s="539"/>
      <c r="D27" s="858" t="s">
        <v>51</v>
      </c>
      <c r="E27" s="858"/>
      <c r="F27" s="858"/>
      <c r="G27" s="858"/>
      <c r="H27" s="858"/>
      <c r="I27" s="858"/>
      <c r="J27" s="858"/>
      <c r="K27" s="858"/>
      <c r="L27" s="858"/>
      <c r="M27" s="858"/>
    </row>
    <row r="28" spans="1:19" ht="60" customHeight="1">
      <c r="B28" s="749" t="s">
        <v>52</v>
      </c>
      <c r="C28" s="539"/>
      <c r="D28" s="858" t="s">
        <v>53</v>
      </c>
      <c r="E28" s="858"/>
      <c r="F28" s="858"/>
      <c r="G28" s="858"/>
      <c r="H28" s="858"/>
      <c r="I28" s="858"/>
      <c r="J28" s="858"/>
      <c r="K28" s="858"/>
      <c r="L28" s="858"/>
      <c r="M28" s="858"/>
    </row>
    <row r="29" spans="1:19" ht="60" customHeight="1">
      <c r="B29" s="749" t="s">
        <v>54</v>
      </c>
      <c r="C29" s="539"/>
      <c r="D29" s="858" t="s">
        <v>55</v>
      </c>
      <c r="E29" s="858"/>
      <c r="F29" s="858"/>
      <c r="G29" s="858"/>
      <c r="H29" s="858"/>
      <c r="I29" s="858"/>
      <c r="J29" s="858"/>
      <c r="K29" s="858"/>
      <c r="L29" s="858"/>
      <c r="M29" s="858"/>
    </row>
    <row r="30" spans="1:19" ht="60" customHeight="1">
      <c r="B30" s="749" t="s">
        <v>56</v>
      </c>
      <c r="C30" s="539"/>
      <c r="D30" s="858" t="s">
        <v>57</v>
      </c>
      <c r="E30" s="858"/>
      <c r="F30" s="858"/>
      <c r="G30" s="858"/>
      <c r="H30" s="858"/>
      <c r="I30" s="858"/>
      <c r="J30" s="858"/>
      <c r="K30" s="858"/>
      <c r="L30" s="858"/>
      <c r="M30" s="858"/>
    </row>
    <row r="31" spans="1:19" ht="60" customHeight="1">
      <c r="B31" s="749" t="s">
        <v>58</v>
      </c>
      <c r="C31" s="539"/>
      <c r="D31" s="858" t="s">
        <v>59</v>
      </c>
      <c r="E31" s="858"/>
      <c r="F31" s="858"/>
      <c r="G31" s="858"/>
      <c r="H31" s="858"/>
      <c r="I31" s="858"/>
      <c r="J31" s="858"/>
      <c r="K31" s="858"/>
      <c r="L31" s="858"/>
      <c r="M31" s="858"/>
    </row>
    <row r="32" spans="1:19" ht="15" customHeight="1">
      <c r="O32" s="370" t="s">
        <v>60</v>
      </c>
      <c r="R32" s="540">
        <v>7</v>
      </c>
    </row>
    <row r="33" spans="2:18" ht="15" customHeight="1">
      <c r="B33" s="1" t="s">
        <v>61</v>
      </c>
      <c r="C33" s="362" t="s">
        <v>62</v>
      </c>
      <c r="O33" s="370" t="s">
        <v>63</v>
      </c>
      <c r="R33" s="540">
        <v>1</v>
      </c>
    </row>
    <row r="34" spans="2:18" ht="15" customHeight="1">
      <c r="B34" t="s">
        <v>64</v>
      </c>
      <c r="C34">
        <v>71</v>
      </c>
      <c r="O34" s="370" t="s">
        <v>65</v>
      </c>
      <c r="R34" s="540">
        <v>4</v>
      </c>
    </row>
    <row r="35" spans="2:18" ht="15" customHeight="1">
      <c r="B35" t="s">
        <v>66</v>
      </c>
      <c r="C35">
        <v>66</v>
      </c>
      <c r="O35" s="370" t="s">
        <v>67</v>
      </c>
      <c r="R35" s="540">
        <v>9</v>
      </c>
    </row>
    <row r="36" spans="2:18" ht="15" customHeight="1">
      <c r="B36" t="s">
        <v>68</v>
      </c>
      <c r="C36">
        <v>38</v>
      </c>
      <c r="O36" s="370" t="s">
        <v>69</v>
      </c>
      <c r="R36" s="540">
        <v>3</v>
      </c>
    </row>
    <row r="37" spans="2:18" ht="15" customHeight="1">
      <c r="B37" t="s">
        <v>70</v>
      </c>
      <c r="C37">
        <v>28</v>
      </c>
    </row>
    <row r="38" spans="2:18" ht="15" customHeight="1">
      <c r="B38" t="s">
        <v>71</v>
      </c>
      <c r="C38">
        <v>27</v>
      </c>
    </row>
  </sheetData>
  <mergeCells count="5">
    <mergeCell ref="D27:M27"/>
    <mergeCell ref="D28:M28"/>
    <mergeCell ref="D29:M29"/>
    <mergeCell ref="D30:M30"/>
    <mergeCell ref="D31:M31"/>
  </mergeCells>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0200-000000000000}">
          <x14:colorSeries rgb="FF7B1314"/>
          <x14:colorNegative rgb="FFD00000"/>
          <x14:colorAxis rgb="FF000000"/>
          <x14:colorMarkers rgb="FFD00000"/>
          <x14:colorFirst rgb="FFD00000"/>
          <x14:colorLast rgb="FFD00000"/>
          <x14:colorHigh rgb="FFD00000"/>
          <x14:colorLow rgb="FFD00000"/>
          <x14:sparklines>
            <x14:sparkline>
              <xm:f>Industry!D21:K21</xm:f>
              <xm:sqref>L21</xm:sqref>
            </x14:sparkline>
          </x14:sparklines>
        </x14:sparklineGroup>
        <x14:sparklineGroup displayEmptyCellsAs="gap" xr2:uid="{00000000-0003-0000-0200-000001000000}">
          <x14:colorSeries rgb="FF7B1314"/>
          <x14:colorNegative rgb="FFD00000"/>
          <x14:colorAxis rgb="FF000000"/>
          <x14:colorMarkers rgb="FFD00000"/>
          <x14:colorFirst rgb="FFD00000"/>
          <x14:colorLast rgb="FFD00000"/>
          <x14:colorHigh rgb="FFD00000"/>
          <x14:colorLow rgb="FFD00000"/>
          <x14:sparklines>
            <x14:sparkline>
              <xm:f>Industry!D19:K19</xm:f>
              <xm:sqref>L19</xm:sqref>
            </x14:sparkline>
          </x14:sparklines>
        </x14:sparklineGroup>
        <x14:sparklineGroup displayEmptyCellsAs="gap" xr2:uid="{00000000-0003-0000-0200-000002000000}">
          <x14:colorSeries rgb="FF7B1314"/>
          <x14:colorNegative rgb="FFD00000"/>
          <x14:colorAxis rgb="FF000000"/>
          <x14:colorMarkers rgb="FFD00000"/>
          <x14:colorFirst rgb="FFD00000"/>
          <x14:colorLast rgb="FFD00000"/>
          <x14:colorHigh rgb="FFD00000"/>
          <x14:colorLow rgb="FFD00000"/>
          <x14:sparklines>
            <x14:sparkline>
              <xm:f>Industry!D17:K17</xm:f>
              <xm:sqref>L17</xm:sqref>
            </x14:sparkline>
          </x14:sparklines>
        </x14:sparklineGroup>
        <x14:sparklineGroup displayEmptyCellsAs="gap" xr2:uid="{00000000-0003-0000-0200-000003000000}">
          <x14:colorSeries rgb="FF7B1314"/>
          <x14:colorNegative rgb="FFD00000"/>
          <x14:colorAxis rgb="FF000000"/>
          <x14:colorMarkers rgb="FFD00000"/>
          <x14:colorFirst rgb="FFD00000"/>
          <x14:colorLast rgb="FFD00000"/>
          <x14:colorHigh rgb="FFD00000"/>
          <x14:colorLow rgb="FFD00000"/>
          <x14:sparklines>
            <x14:sparkline>
              <xm:f>Industry!D15:K15</xm:f>
              <xm:sqref>L15</xm:sqref>
            </x14:sparkline>
          </x14:sparklines>
        </x14:sparklineGroup>
        <x14:sparklineGroup displayEmptyCellsAs="gap" xr2:uid="{00000000-0003-0000-0200-000004000000}">
          <x14:colorSeries rgb="FF7B1314"/>
          <x14:colorNegative rgb="FFD00000"/>
          <x14:colorAxis rgb="FF000000"/>
          <x14:colorMarkers rgb="FFD00000"/>
          <x14:colorFirst rgb="FFD00000"/>
          <x14:colorLast rgb="FFD00000"/>
          <x14:colorHigh rgb="FFD00000"/>
          <x14:colorLow rgb="FFD00000"/>
          <x14:sparklines>
            <x14:sparkline>
              <xm:f>Industry!D13:K13</xm:f>
              <xm:sqref>L13</xm:sqref>
            </x14:sparkline>
          </x14:sparklines>
        </x14:sparklineGroup>
        <x14:sparklineGroup type="column" displayEmptyCellsAs="gap" xr2:uid="{00000000-0003-0000-0200-000005000000}">
          <x14:colorSeries rgb="FF7B1314"/>
          <x14:colorNegative rgb="FFD00000"/>
          <x14:colorAxis rgb="FF000000"/>
          <x14:colorMarkers rgb="FFD00000"/>
          <x14:colorFirst rgb="FFD00000"/>
          <x14:colorLast rgb="FFD00000"/>
          <x14:colorHigh rgb="FFD00000"/>
          <x14:colorLow rgb="FFD00000"/>
          <x14:sparklines>
            <x14:sparkline>
              <xm:f>Industry!D18:K18</xm:f>
              <xm:sqref>L18</xm:sqref>
            </x14:sparkline>
          </x14:sparklines>
        </x14:sparklineGroup>
        <x14:sparklineGroup type="column" displayEmptyCellsAs="gap" xr2:uid="{00000000-0003-0000-0200-000006000000}">
          <x14:colorSeries rgb="FF7B1314"/>
          <x14:colorNegative rgb="FFD00000"/>
          <x14:colorAxis rgb="FF000000"/>
          <x14:colorMarkers rgb="FFD00000"/>
          <x14:colorFirst rgb="FFD00000"/>
          <x14:colorLast rgb="FFD00000"/>
          <x14:colorHigh rgb="FFD00000"/>
          <x14:colorLow rgb="FFD00000"/>
          <x14:sparklines>
            <x14:sparkline>
              <xm:f>Industry!D16:K16</xm:f>
              <xm:sqref>L16</xm:sqref>
            </x14:sparkline>
          </x14:sparklines>
        </x14:sparklineGroup>
        <x14:sparklineGroup type="column" displayEmptyCellsAs="gap" xr2:uid="{00000000-0003-0000-0200-000007000000}">
          <x14:colorSeries rgb="FF7B1314"/>
          <x14:colorNegative rgb="FFD00000"/>
          <x14:colorAxis rgb="FF000000"/>
          <x14:colorMarkers rgb="FFD00000"/>
          <x14:colorFirst rgb="FFD00000"/>
          <x14:colorLast rgb="FFD00000"/>
          <x14:colorHigh rgb="FFD00000"/>
          <x14:colorLow rgb="FFD00000"/>
          <x14:sparklines>
            <x14:sparkline>
              <xm:f>Industry!D12:K12</xm:f>
              <xm:sqref>L12</xm:sqref>
            </x14:sparkline>
          </x14:sparklines>
        </x14:sparklineGroup>
        <x14:sparklineGroup type="column" displayEmptyCellsAs="gap" xr2:uid="{00000000-0003-0000-0200-000008000000}">
          <x14:colorSeries rgb="FF7B1314"/>
          <x14:colorNegative rgb="FFD00000"/>
          <x14:colorAxis rgb="FF000000"/>
          <x14:colorMarkers rgb="FFD00000"/>
          <x14:colorFirst rgb="FFD00000"/>
          <x14:colorLast rgb="FFD00000"/>
          <x14:colorHigh rgb="FFD00000"/>
          <x14:colorLow rgb="FFD00000"/>
          <x14:sparklines>
            <x14:sparkline>
              <xm:f>Industry!D20:K20</xm:f>
              <xm:sqref>L20</xm:sqref>
            </x14:sparkline>
          </x14:sparklines>
        </x14:sparklineGroup>
        <x14:sparklineGroup type="column" displayEmptyCellsAs="gap" xr2:uid="{00000000-0003-0000-0200-000009000000}">
          <x14:colorSeries rgb="FF7B1314"/>
          <x14:colorNegative rgb="FFD00000"/>
          <x14:colorAxis rgb="FF000000"/>
          <x14:colorMarkers rgb="FFD00000"/>
          <x14:colorFirst rgb="FFD00000"/>
          <x14:colorLast rgb="FFD00000"/>
          <x14:colorHigh rgb="FFD00000"/>
          <x14:colorLow rgb="FFD00000"/>
          <x14:sparklines>
            <x14:sparkline>
              <xm:f>Industry!D14:K14</xm:f>
              <xm:sqref>L14</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4" tint="0.59999389629810485"/>
  </sheetPr>
  <dimension ref="A1:K115"/>
  <sheetViews>
    <sheetView showGridLines="0" zoomScaleNormal="100" workbookViewId="0">
      <selection activeCell="B17" sqref="B17"/>
    </sheetView>
  </sheetViews>
  <sheetFormatPr defaultColWidth="7.625" defaultRowHeight="15" customHeight="1"/>
  <cols>
    <col min="1" max="1" width="2" style="372" customWidth="1"/>
    <col min="2" max="2" width="29.625" style="372" customWidth="1"/>
    <col min="3" max="4" width="9.125" style="372" customWidth="1"/>
    <col min="5" max="5" width="13.375" style="373" customWidth="1"/>
    <col min="6" max="6" width="1.625" style="372" customWidth="1"/>
    <col min="7" max="7" width="24.125" style="372" customWidth="1"/>
    <col min="8" max="8" width="11" style="372" customWidth="1"/>
    <col min="9" max="9" width="29.125" style="372" customWidth="1"/>
    <col min="10" max="10" width="34.625" style="372" customWidth="1"/>
    <col min="11" max="11" width="75.5" style="372" customWidth="1"/>
    <col min="12" max="16384" width="7.625" style="372"/>
  </cols>
  <sheetData>
    <row r="1" spans="1:11" s="586" customFormat="1" ht="15" customHeight="1">
      <c r="A1" s="585"/>
      <c r="E1" s="585"/>
    </row>
    <row r="2" spans="1:11" s="586" customFormat="1" ht="15" customHeight="1">
      <c r="E2" s="585"/>
    </row>
    <row r="3" spans="1:11" s="586" customFormat="1" ht="15" customHeight="1">
      <c r="E3" s="585"/>
    </row>
    <row r="4" spans="1:11" s="586" customFormat="1" ht="15" customHeight="1">
      <c r="E4" s="585"/>
    </row>
    <row r="5" spans="1:11" s="387" customFormat="1" ht="3.95" customHeight="1">
      <c r="E5" s="388"/>
    </row>
    <row r="7" spans="1:11" s="97" customFormat="1" ht="15" customHeight="1">
      <c r="A7" s="375" t="s">
        <v>41</v>
      </c>
      <c r="B7" s="376" t="s">
        <v>72</v>
      </c>
      <c r="C7" s="376"/>
      <c r="D7" s="376"/>
      <c r="E7" s="32"/>
      <c r="F7" s="332"/>
      <c r="G7" s="332"/>
      <c r="H7" s="332"/>
      <c r="I7" s="32"/>
      <c r="J7" s="332"/>
      <c r="K7" s="332"/>
    </row>
    <row r="8" spans="1:11" s="97" customFormat="1" ht="15" customHeight="1">
      <c r="B8" s="377"/>
      <c r="C8" s="377"/>
      <c r="D8" s="377"/>
      <c r="E8" s="32"/>
      <c r="F8" s="378"/>
      <c r="G8" s="378"/>
      <c r="H8" s="378"/>
      <c r="I8" s="379"/>
      <c r="J8" s="378"/>
      <c r="K8" s="378"/>
    </row>
    <row r="9" spans="1:11" s="97" customFormat="1" ht="14.25" customHeight="1">
      <c r="B9" s="377"/>
      <c r="C9" s="377"/>
      <c r="D9" s="377"/>
      <c r="E9" s="32"/>
      <c r="F9" s="380"/>
      <c r="G9" s="380"/>
      <c r="H9" s="380"/>
      <c r="I9" s="378"/>
      <c r="J9" s="380"/>
      <c r="K9" s="380"/>
    </row>
    <row r="10" spans="1:11" s="97" customFormat="1" ht="3.95" customHeight="1">
      <c r="A10" s="55"/>
      <c r="B10" s="381"/>
      <c r="C10" s="381"/>
      <c r="D10" s="381"/>
      <c r="E10" s="382"/>
      <c r="F10" s="383"/>
      <c r="G10" s="383"/>
      <c r="H10" s="383"/>
      <c r="I10" s="384"/>
      <c r="J10" s="383"/>
      <c r="K10" s="383"/>
    </row>
    <row r="11" spans="1:11" s="23" customFormat="1" ht="15" customHeight="1"/>
    <row r="12" spans="1:11" s="23" customFormat="1" ht="15" customHeight="1">
      <c r="B12" s="367" t="s">
        <v>73</v>
      </c>
      <c r="C12" s="367"/>
      <c r="D12" s="367"/>
      <c r="E12" s="385"/>
      <c r="F12" s="386"/>
      <c r="G12" s="376" t="s">
        <v>74</v>
      </c>
      <c r="H12" s="377"/>
      <c r="I12" s="376"/>
      <c r="J12" s="377"/>
      <c r="K12" s="377"/>
    </row>
    <row r="13" spans="1:11" s="23" customFormat="1" ht="3.95" customHeight="1">
      <c r="B13" s="387"/>
      <c r="C13" s="387"/>
      <c r="D13" s="387"/>
      <c r="E13" s="388"/>
      <c r="F13" s="333"/>
      <c r="G13" s="381"/>
      <c r="H13" s="381"/>
      <c r="I13" s="381"/>
      <c r="J13" s="381"/>
      <c r="K13" s="381"/>
    </row>
    <row r="14" spans="1:11" s="23" customFormat="1" ht="3.95" customHeight="1">
      <c r="B14" s="372"/>
      <c r="C14" s="372"/>
      <c r="D14" s="372"/>
      <c r="E14" s="373"/>
      <c r="F14" s="333"/>
      <c r="G14" s="333"/>
      <c r="H14" s="333"/>
      <c r="I14" s="333"/>
      <c r="J14" s="333"/>
    </row>
    <row r="15" spans="1:11" ht="15" customHeight="1">
      <c r="B15" s="368" t="s">
        <v>75</v>
      </c>
      <c r="C15" s="368"/>
      <c r="D15" s="873">
        <v>79</v>
      </c>
      <c r="E15" s="873"/>
      <c r="H15" s="527"/>
      <c r="I15" s="527"/>
      <c r="J15" s="527"/>
    </row>
    <row r="16" spans="1:11" ht="15" customHeight="1">
      <c r="B16" s="394" t="s">
        <v>76</v>
      </c>
      <c r="C16" s="370"/>
      <c r="D16" s="874">
        <v>86</v>
      </c>
      <c r="E16" s="874"/>
      <c r="G16" s="368"/>
      <c r="H16" s="886"/>
      <c r="I16" s="886"/>
      <c r="J16" s="886"/>
    </row>
    <row r="17" spans="2:11" ht="15" customHeight="1">
      <c r="B17" s="394" t="s">
        <v>77</v>
      </c>
      <c r="C17" s="370"/>
      <c r="D17" s="874">
        <v>84</v>
      </c>
      <c r="E17" s="874"/>
      <c r="H17" s="886"/>
      <c r="I17" s="886"/>
      <c r="J17" s="886"/>
      <c r="K17" s="369"/>
    </row>
    <row r="18" spans="2:11" ht="15" customHeight="1">
      <c r="B18" s="394" t="s">
        <v>78</v>
      </c>
      <c r="C18" s="370"/>
      <c r="D18" s="874">
        <v>66</v>
      </c>
      <c r="E18" s="874"/>
      <c r="G18" s="368"/>
      <c r="H18" s="886"/>
      <c r="I18" s="886"/>
      <c r="J18" s="886"/>
      <c r="K18" s="369"/>
    </row>
    <row r="19" spans="2:11" ht="15" customHeight="1">
      <c r="B19" s="368" t="s">
        <v>79</v>
      </c>
      <c r="C19" s="368"/>
      <c r="D19" s="872">
        <v>99</v>
      </c>
      <c r="E19" s="872"/>
      <c r="H19" s="886"/>
      <c r="I19" s="886"/>
      <c r="J19" s="886"/>
      <c r="K19" s="369"/>
    </row>
    <row r="20" spans="2:11" ht="15" customHeight="1">
      <c r="B20" s="394" t="s">
        <v>80</v>
      </c>
      <c r="C20" s="370"/>
      <c r="D20" s="874">
        <v>99</v>
      </c>
      <c r="E20" s="874"/>
      <c r="G20" s="368"/>
      <c r="H20" s="886"/>
      <c r="I20" s="886"/>
      <c r="J20" s="886"/>
      <c r="K20" s="369"/>
    </row>
    <row r="21" spans="2:11" ht="15" customHeight="1">
      <c r="B21" s="394" t="s">
        <v>81</v>
      </c>
      <c r="C21" s="370"/>
      <c r="D21" s="874">
        <v>93</v>
      </c>
      <c r="E21" s="874"/>
      <c r="H21" s="886"/>
      <c r="I21" s="886"/>
      <c r="J21" s="886"/>
      <c r="K21" s="369"/>
    </row>
    <row r="22" spans="2:11" ht="15" customHeight="1">
      <c r="B22" s="394" t="s">
        <v>82</v>
      </c>
      <c r="C22" s="370"/>
      <c r="D22" s="874">
        <v>95</v>
      </c>
      <c r="E22" s="874"/>
      <c r="G22" s="368"/>
      <c r="H22" s="886"/>
      <c r="I22" s="886"/>
      <c r="J22" s="886"/>
      <c r="K22" s="369"/>
    </row>
    <row r="23" spans="2:11" ht="15" customHeight="1">
      <c r="B23" s="368" t="s">
        <v>83</v>
      </c>
      <c r="C23" s="368"/>
      <c r="D23" s="870">
        <v>0.26740000000000003</v>
      </c>
      <c r="E23" s="870"/>
      <c r="H23" s="886"/>
      <c r="I23" s="886"/>
      <c r="J23" s="886"/>
      <c r="K23" s="369"/>
    </row>
    <row r="24" spans="2:11" ht="15" customHeight="1">
      <c r="B24" s="368" t="s">
        <v>84</v>
      </c>
      <c r="C24" s="368"/>
      <c r="D24" s="871" t="s">
        <v>85</v>
      </c>
      <c r="E24" s="871"/>
    </row>
    <row r="25" spans="2:11" ht="15" customHeight="1">
      <c r="B25" s="394" t="s">
        <v>86</v>
      </c>
      <c r="C25" s="370"/>
      <c r="D25" s="875">
        <v>-3.4</v>
      </c>
      <c r="E25" s="875"/>
      <c r="G25" s="33"/>
      <c r="H25" s="33"/>
      <c r="I25" s="33"/>
      <c r="K25" s="33"/>
    </row>
    <row r="26" spans="2:11" ht="15" customHeight="1">
      <c r="B26" s="394" t="s">
        <v>87</v>
      </c>
      <c r="C26" s="370"/>
      <c r="D26" s="874">
        <v>5</v>
      </c>
      <c r="E26" s="874"/>
      <c r="G26" s="368"/>
      <c r="H26" s="886"/>
      <c r="I26" s="886"/>
      <c r="J26" s="886"/>
      <c r="K26" s="368"/>
    </row>
    <row r="27" spans="2:11" ht="15" customHeight="1">
      <c r="B27" s="368" t="s">
        <v>88</v>
      </c>
      <c r="C27" s="368"/>
      <c r="D27" s="869" t="s">
        <v>89</v>
      </c>
      <c r="E27" s="869"/>
      <c r="H27" s="886"/>
      <c r="I27" s="886"/>
      <c r="J27" s="886"/>
      <c r="K27" s="527"/>
    </row>
    <row r="28" spans="2:11" ht="15" customHeight="1">
      <c r="E28" s="372"/>
      <c r="G28" s="368"/>
      <c r="H28" s="886"/>
      <c r="I28" s="886"/>
      <c r="J28" s="886"/>
      <c r="K28" s="527"/>
    </row>
    <row r="29" spans="2:11" ht="15" customHeight="1">
      <c r="E29" s="372"/>
      <c r="H29" s="886"/>
      <c r="I29" s="886"/>
      <c r="J29" s="886"/>
      <c r="K29" s="527"/>
    </row>
    <row r="30" spans="2:11" ht="15" customHeight="1">
      <c r="B30" s="367" t="s">
        <v>90</v>
      </c>
      <c r="C30" s="367"/>
      <c r="D30" s="367"/>
      <c r="E30" s="367"/>
      <c r="G30" s="367" t="s">
        <v>91</v>
      </c>
      <c r="H30" s="367"/>
      <c r="I30" s="367"/>
      <c r="J30" s="367"/>
      <c r="K30" s="367"/>
    </row>
    <row r="31" spans="2:11" s="23" customFormat="1" ht="3.95" customHeight="1">
      <c r="B31" s="36"/>
      <c r="C31" s="36"/>
      <c r="D31" s="36"/>
      <c r="E31" s="36"/>
      <c r="F31" s="372"/>
      <c r="G31" s="36"/>
      <c r="H31" s="36"/>
      <c r="I31" s="36"/>
      <c r="J31" s="36"/>
      <c r="K31" s="36"/>
    </row>
    <row r="32" spans="2:11" ht="15" customHeight="1" thickBot="1">
      <c r="B32" s="389"/>
      <c r="C32" s="389"/>
      <c r="D32" s="389"/>
      <c r="E32" s="389"/>
      <c r="G32" s="389"/>
      <c r="H32" s="390" t="s">
        <v>92</v>
      </c>
      <c r="I32" s="390" t="s">
        <v>93</v>
      </c>
      <c r="J32" s="390" t="s">
        <v>94</v>
      </c>
      <c r="K32" s="390" t="s">
        <v>95</v>
      </c>
    </row>
    <row r="33" spans="2:11" ht="15" customHeight="1">
      <c r="B33" s="396" t="s">
        <v>96</v>
      </c>
      <c r="C33" s="859" t="s">
        <v>97</v>
      </c>
      <c r="D33" s="859"/>
      <c r="E33" s="859"/>
      <c r="G33" s="882" t="s">
        <v>98</v>
      </c>
      <c r="H33" s="887"/>
      <c r="I33" s="878" t="s">
        <v>99</v>
      </c>
      <c r="J33" s="877" t="s">
        <v>100</v>
      </c>
      <c r="K33" s="877" t="s">
        <v>101</v>
      </c>
    </row>
    <row r="34" spans="2:11" ht="15" customHeight="1">
      <c r="B34" s="396" t="s">
        <v>102</v>
      </c>
      <c r="C34" s="859" t="s">
        <v>103</v>
      </c>
      <c r="D34" s="859"/>
      <c r="E34" s="859"/>
      <c r="G34" s="882"/>
      <c r="H34" s="887"/>
      <c r="I34" s="878"/>
      <c r="J34" s="877"/>
      <c r="K34" s="877"/>
    </row>
    <row r="35" spans="2:11" ht="15" customHeight="1">
      <c r="B35" s="396" t="s">
        <v>104</v>
      </c>
      <c r="C35" s="859" t="s">
        <v>105</v>
      </c>
      <c r="D35" s="859"/>
      <c r="E35" s="859"/>
      <c r="G35" s="882" t="s">
        <v>106</v>
      </c>
      <c r="H35" s="879"/>
      <c r="I35" s="863" t="s">
        <v>107</v>
      </c>
      <c r="J35" s="877" t="s">
        <v>108</v>
      </c>
      <c r="K35" s="877" t="s">
        <v>109</v>
      </c>
    </row>
    <row r="36" spans="2:11" ht="15" customHeight="1">
      <c r="B36" s="396" t="s">
        <v>110</v>
      </c>
      <c r="C36" s="859" t="s">
        <v>105</v>
      </c>
      <c r="D36" s="859"/>
      <c r="E36" s="859"/>
      <c r="G36" s="882"/>
      <c r="H36" s="879"/>
      <c r="I36" s="863"/>
      <c r="J36" s="877"/>
      <c r="K36" s="877"/>
    </row>
    <row r="37" spans="2:11" ht="15" customHeight="1">
      <c r="C37" s="876"/>
      <c r="D37" s="876"/>
      <c r="E37" s="876"/>
      <c r="G37" s="882" t="s">
        <v>111</v>
      </c>
      <c r="H37" s="887"/>
      <c r="I37" s="877" t="s">
        <v>112</v>
      </c>
      <c r="J37" s="877" t="s">
        <v>113</v>
      </c>
      <c r="K37" s="877" t="s">
        <v>114</v>
      </c>
    </row>
    <row r="38" spans="2:11" ht="15" customHeight="1">
      <c r="B38" s="396" t="s">
        <v>115</v>
      </c>
      <c r="C38" s="859" t="s">
        <v>116</v>
      </c>
      <c r="D38" s="859"/>
      <c r="E38" s="859"/>
      <c r="G38" s="882"/>
      <c r="H38" s="887"/>
      <c r="I38" s="877"/>
      <c r="J38" s="877"/>
      <c r="K38" s="877"/>
    </row>
    <row r="39" spans="2:11" ht="15" customHeight="1">
      <c r="B39" s="396" t="s">
        <v>117</v>
      </c>
      <c r="C39" s="880" t="s">
        <v>118</v>
      </c>
      <c r="D39" s="859"/>
      <c r="E39" s="859"/>
      <c r="G39" s="882" t="s">
        <v>119</v>
      </c>
      <c r="H39" s="884"/>
      <c r="I39" s="863" t="s">
        <v>120</v>
      </c>
      <c r="J39" s="877" t="s">
        <v>121</v>
      </c>
      <c r="K39" s="877" t="s">
        <v>122</v>
      </c>
    </row>
    <row r="40" spans="2:11" ht="15" customHeight="1">
      <c r="C40" s="398"/>
      <c r="D40" s="529"/>
      <c r="E40" s="529"/>
      <c r="G40" s="882"/>
      <c r="H40" s="884"/>
      <c r="I40" s="863"/>
      <c r="J40" s="877"/>
      <c r="K40" s="877"/>
    </row>
    <row r="41" spans="2:11" ht="15.75" customHeight="1">
      <c r="B41" s="368" t="s">
        <v>123</v>
      </c>
      <c r="C41" s="881" t="s">
        <v>124</v>
      </c>
      <c r="D41" s="881"/>
      <c r="E41" s="881"/>
      <c r="G41" s="882" t="s">
        <v>125</v>
      </c>
      <c r="H41" s="879"/>
      <c r="I41" s="863"/>
      <c r="J41" s="877"/>
      <c r="K41" s="877"/>
    </row>
    <row r="42" spans="2:11" ht="15" customHeight="1">
      <c r="B42" s="368" t="s">
        <v>126</v>
      </c>
      <c r="C42" s="859" t="s">
        <v>127</v>
      </c>
      <c r="D42" s="859"/>
      <c r="E42" s="859"/>
      <c r="G42" s="882"/>
      <c r="H42" s="879"/>
      <c r="I42" s="863"/>
      <c r="J42" s="877"/>
      <c r="K42" s="877"/>
    </row>
    <row r="43" spans="2:11" ht="15" customHeight="1">
      <c r="C43" s="397"/>
      <c r="D43" s="397"/>
      <c r="E43" s="397"/>
      <c r="G43" s="371"/>
      <c r="H43" s="391"/>
      <c r="I43" s="392"/>
      <c r="J43" s="393"/>
      <c r="K43" s="393"/>
    </row>
    <row r="44" spans="2:11" ht="15" customHeight="1">
      <c r="B44" s="367" t="s">
        <v>128</v>
      </c>
      <c r="C44" s="367"/>
      <c r="D44" s="367"/>
      <c r="E44" s="367"/>
      <c r="G44" s="367" t="s">
        <v>129</v>
      </c>
      <c r="H44" s="367"/>
      <c r="I44" s="367"/>
      <c r="J44" s="367"/>
      <c r="K44" s="367"/>
    </row>
    <row r="45" spans="2:11" s="23" customFormat="1" ht="3.95" customHeight="1">
      <c r="B45" s="36"/>
      <c r="C45" s="36"/>
      <c r="D45" s="36"/>
      <c r="E45" s="36"/>
      <c r="F45" s="372"/>
      <c r="G45" s="36"/>
      <c r="H45" s="36"/>
      <c r="I45" s="36"/>
      <c r="J45" s="36"/>
      <c r="K45" s="36"/>
    </row>
    <row r="46" spans="2:11" ht="15" customHeight="1" thickBot="1">
      <c r="B46" s="389"/>
      <c r="C46" s="389"/>
      <c r="D46" s="389"/>
      <c r="E46" s="389"/>
      <c r="G46" s="389"/>
      <c r="H46" s="390" t="s">
        <v>92</v>
      </c>
      <c r="I46" s="390" t="s">
        <v>93</v>
      </c>
      <c r="J46" s="390" t="s">
        <v>94</v>
      </c>
      <c r="K46" s="390" t="s">
        <v>95</v>
      </c>
    </row>
    <row r="47" spans="2:11" ht="15" customHeight="1">
      <c r="B47" s="864" t="s">
        <v>130</v>
      </c>
      <c r="C47" s="865"/>
      <c r="D47" s="865"/>
      <c r="E47" s="865"/>
      <c r="G47" s="882" t="s">
        <v>131</v>
      </c>
      <c r="H47" s="883"/>
      <c r="I47" s="863" t="s">
        <v>132</v>
      </c>
      <c r="J47" s="877" t="s">
        <v>133</v>
      </c>
      <c r="K47" s="877" t="s">
        <v>134</v>
      </c>
    </row>
    <row r="48" spans="2:11" ht="15" customHeight="1">
      <c r="B48" s="866" t="s">
        <v>135</v>
      </c>
      <c r="C48" s="866"/>
      <c r="D48" s="866"/>
      <c r="E48" s="866"/>
      <c r="G48" s="882"/>
      <c r="H48" s="883"/>
      <c r="I48" s="863"/>
      <c r="J48" s="877"/>
      <c r="K48" s="877"/>
    </row>
    <row r="49" spans="2:11" ht="15" customHeight="1">
      <c r="B49" s="866" t="s">
        <v>136</v>
      </c>
      <c r="C49" s="866"/>
      <c r="D49" s="866"/>
      <c r="E49" s="866"/>
      <c r="G49" s="882" t="s">
        <v>137</v>
      </c>
      <c r="H49" s="883"/>
      <c r="I49" s="863" t="s">
        <v>138</v>
      </c>
      <c r="J49" s="877" t="s">
        <v>139</v>
      </c>
      <c r="K49" s="877" t="s">
        <v>140</v>
      </c>
    </row>
    <row r="50" spans="2:11" ht="15" customHeight="1">
      <c r="B50" s="866" t="s">
        <v>141</v>
      </c>
      <c r="C50" s="866"/>
      <c r="D50" s="866"/>
      <c r="E50" s="866"/>
      <c r="G50" s="882"/>
      <c r="H50" s="883"/>
      <c r="I50" s="863"/>
      <c r="J50" s="877"/>
      <c r="K50" s="877"/>
    </row>
    <row r="51" spans="2:11" ht="15" customHeight="1">
      <c r="B51" s="866" t="s">
        <v>142</v>
      </c>
      <c r="C51" s="866"/>
      <c r="D51" s="866"/>
      <c r="E51" s="866"/>
      <c r="G51" s="882" t="s">
        <v>143</v>
      </c>
      <c r="H51" s="884"/>
      <c r="I51" s="877" t="s">
        <v>144</v>
      </c>
      <c r="J51" s="877" t="s">
        <v>145</v>
      </c>
      <c r="K51" s="877" t="s">
        <v>146</v>
      </c>
    </row>
    <row r="52" spans="2:11" ht="15" customHeight="1">
      <c r="B52" s="861"/>
      <c r="C52" s="861"/>
      <c r="D52" s="861"/>
      <c r="E52" s="861"/>
      <c r="G52" s="882"/>
      <c r="H52" s="884"/>
      <c r="I52" s="877"/>
      <c r="J52" s="877"/>
      <c r="K52" s="877"/>
    </row>
    <row r="53" spans="2:11" ht="15" customHeight="1">
      <c r="B53" s="900" t="s">
        <v>147</v>
      </c>
      <c r="C53" s="901"/>
      <c r="D53" s="901"/>
      <c r="E53" s="901"/>
      <c r="G53" s="882" t="s">
        <v>148</v>
      </c>
      <c r="H53" s="884"/>
      <c r="I53" s="863" t="s">
        <v>149</v>
      </c>
      <c r="J53" t="s">
        <v>150</v>
      </c>
      <c r="K53" t="s">
        <v>151</v>
      </c>
    </row>
    <row r="54" spans="2:11" ht="15" customHeight="1">
      <c r="B54" s="902" t="s">
        <v>152</v>
      </c>
      <c r="C54" s="901"/>
      <c r="D54" s="901"/>
      <c r="E54" s="901"/>
      <c r="G54" s="882"/>
      <c r="H54" s="884"/>
      <c r="I54" s="863"/>
      <c r="J54" s="393"/>
      <c r="K54" s="393"/>
    </row>
    <row r="55" spans="2:11" ht="15" customHeight="1">
      <c r="B55" s="901" t="s">
        <v>153</v>
      </c>
      <c r="C55" s="901"/>
      <c r="D55" s="901"/>
      <c r="E55" s="901"/>
      <c r="G55" s="882" t="s">
        <v>154</v>
      </c>
      <c r="H55" s="883"/>
      <c r="I55" t="s">
        <v>155</v>
      </c>
      <c r="J55" s="877" t="s">
        <v>156</v>
      </c>
      <c r="K55" s="877" t="s">
        <v>157</v>
      </c>
    </row>
    <row r="56" spans="2:11" ht="15" customHeight="1">
      <c r="B56" s="902" t="s">
        <v>158</v>
      </c>
      <c r="C56" s="901"/>
      <c r="D56" s="901"/>
      <c r="E56" s="901"/>
      <c r="G56" s="882"/>
      <c r="H56" s="883"/>
      <c r="I56" s="392"/>
      <c r="J56" s="877"/>
      <c r="K56" s="877"/>
    </row>
    <row r="57" spans="2:11" ht="15" customHeight="1">
      <c r="B57" s="727" t="s">
        <v>159</v>
      </c>
      <c r="C57" s="23"/>
      <c r="D57" s="23"/>
      <c r="E57" s="23"/>
      <c r="G57" s="882" t="s">
        <v>160</v>
      </c>
      <c r="H57" s="885"/>
      <c r="I57" s="877" t="s">
        <v>161</v>
      </c>
      <c r="J57" s="877" t="s">
        <v>161</v>
      </c>
      <c r="K57" s="877" t="s">
        <v>162</v>
      </c>
    </row>
    <row r="58" spans="2:11" ht="15" customHeight="1">
      <c r="B58" s="861"/>
      <c r="C58" s="861"/>
      <c r="D58" s="861"/>
      <c r="E58" s="861"/>
      <c r="G58" s="882"/>
      <c r="H58" s="885"/>
      <c r="I58" s="877"/>
      <c r="J58" s="877"/>
      <c r="K58" s="877"/>
    </row>
    <row r="59" spans="2:11" ht="15" customHeight="1">
      <c r="B59" s="867" t="s">
        <v>163</v>
      </c>
      <c r="C59" s="866"/>
      <c r="D59" s="866"/>
      <c r="E59" s="866"/>
      <c r="G59" s="882" t="s">
        <v>164</v>
      </c>
      <c r="H59" s="883"/>
      <c r="I59" s="877" t="s">
        <v>165</v>
      </c>
      <c r="J59" s="877" t="s">
        <v>161</v>
      </c>
      <c r="K59" s="877" t="s">
        <v>166</v>
      </c>
    </row>
    <row r="60" spans="2:11" ht="15" customHeight="1">
      <c r="B60" s="866" t="s">
        <v>167</v>
      </c>
      <c r="C60" s="866"/>
      <c r="D60" s="866"/>
      <c r="E60" s="866"/>
      <c r="G60" s="882"/>
      <c r="H60" s="883"/>
      <c r="I60" s="877"/>
      <c r="J60" s="877"/>
      <c r="K60" s="877"/>
    </row>
    <row r="61" spans="2:11" ht="15" customHeight="1">
      <c r="B61" s="868" t="s">
        <v>168</v>
      </c>
      <c r="C61" s="866"/>
      <c r="D61" s="866"/>
      <c r="E61" s="866"/>
      <c r="G61" s="882" t="s">
        <v>169</v>
      </c>
      <c r="H61" s="887"/>
      <c r="I61" s="877" t="s">
        <v>170</v>
      </c>
      <c r="J61" s="877" t="s">
        <v>171</v>
      </c>
      <c r="K61" s="877" t="s">
        <v>172</v>
      </c>
    </row>
    <row r="62" spans="2:11" ht="15" customHeight="1">
      <c r="B62" s="868" t="s">
        <v>173</v>
      </c>
      <c r="C62" s="866"/>
      <c r="D62" s="866"/>
      <c r="E62" s="866"/>
      <c r="G62" s="882"/>
      <c r="H62" s="887"/>
      <c r="I62" s="877"/>
      <c r="J62" s="877"/>
      <c r="K62" s="877"/>
    </row>
    <row r="63" spans="2:11" ht="15" customHeight="1">
      <c r="B63" s="861"/>
      <c r="C63" s="861"/>
      <c r="D63" s="861"/>
      <c r="E63" s="861"/>
      <c r="G63" s="882" t="s">
        <v>174</v>
      </c>
      <c r="H63" s="879"/>
      <c r="I63" s="877" t="s">
        <v>175</v>
      </c>
      <c r="J63" s="877" t="s">
        <v>176</v>
      </c>
      <c r="K63" s="877" t="s">
        <v>177</v>
      </c>
    </row>
    <row r="64" spans="2:11" ht="15" customHeight="1">
      <c r="B64" s="861"/>
      <c r="C64" s="861"/>
      <c r="D64" s="861"/>
      <c r="E64" s="861"/>
      <c r="G64" s="882"/>
      <c r="H64" s="879"/>
      <c r="I64" s="877"/>
      <c r="J64" s="877"/>
      <c r="K64" s="877"/>
    </row>
    <row r="65" spans="2:11" ht="15" customHeight="1">
      <c r="B65" s="861"/>
      <c r="C65" s="861"/>
      <c r="D65" s="861"/>
      <c r="E65" s="861"/>
      <c r="G65" s="882" t="s">
        <v>178</v>
      </c>
      <c r="H65" s="887"/>
      <c r="I65" s="877" t="s">
        <v>179</v>
      </c>
      <c r="J65" s="877" t="s">
        <v>180</v>
      </c>
      <c r="K65" s="877" t="s">
        <v>181</v>
      </c>
    </row>
    <row r="66" spans="2:11" ht="15" customHeight="1">
      <c r="B66" s="861"/>
      <c r="C66" s="861"/>
      <c r="D66" s="861"/>
      <c r="E66" s="861"/>
      <c r="G66" s="882"/>
      <c r="H66" s="887"/>
      <c r="I66" s="877"/>
      <c r="J66" s="877"/>
      <c r="K66" s="877"/>
    </row>
    <row r="67" spans="2:11" ht="15" customHeight="1">
      <c r="B67" s="861"/>
      <c r="C67" s="861"/>
      <c r="D67" s="861"/>
      <c r="E67" s="861"/>
      <c r="G67" s="882" t="s">
        <v>182</v>
      </c>
      <c r="H67" s="879"/>
      <c r="I67" s="877" t="s">
        <v>183</v>
      </c>
      <c r="J67" s="877" t="s">
        <v>184</v>
      </c>
      <c r="K67" s="877" t="s">
        <v>185</v>
      </c>
    </row>
    <row r="68" spans="2:11" ht="15" customHeight="1">
      <c r="B68" s="861"/>
      <c r="C68" s="861"/>
      <c r="D68" s="861"/>
      <c r="E68" s="861"/>
      <c r="G68" s="882"/>
      <c r="H68" s="879"/>
      <c r="I68" s="877"/>
      <c r="J68" s="877"/>
      <c r="K68" s="877"/>
    </row>
    <row r="69" spans="2:11" ht="15" customHeight="1">
      <c r="G69" s="371"/>
      <c r="H69" s="391"/>
      <c r="I69" s="392"/>
      <c r="J69" s="393"/>
      <c r="K69" s="393"/>
    </row>
    <row r="70" spans="2:11" ht="15" customHeight="1">
      <c r="B70" s="376" t="s">
        <v>186</v>
      </c>
      <c r="C70" s="376"/>
      <c r="D70" s="376"/>
      <c r="E70" s="377"/>
      <c r="G70" s="367" t="s">
        <v>187</v>
      </c>
      <c r="H70" s="367"/>
      <c r="I70" s="367"/>
      <c r="J70" s="367"/>
      <c r="K70" s="367"/>
    </row>
    <row r="71" spans="2:11" s="23" customFormat="1" ht="3.95" customHeight="1">
      <c r="B71" s="381"/>
      <c r="C71" s="381"/>
      <c r="D71" s="381"/>
      <c r="E71" s="381"/>
      <c r="F71" s="372"/>
      <c r="G71" s="36"/>
      <c r="H71" s="36"/>
      <c r="I71" s="36"/>
      <c r="J71" s="36"/>
      <c r="K71" s="36"/>
    </row>
    <row r="72" spans="2:11" ht="15" customHeight="1" thickBot="1">
      <c r="B72" s="390" t="s">
        <v>188</v>
      </c>
      <c r="C72" s="395" t="s">
        <v>189</v>
      </c>
      <c r="D72" s="395"/>
      <c r="E72" s="395" t="s">
        <v>190</v>
      </c>
      <c r="G72" s="389"/>
      <c r="H72" s="390" t="s">
        <v>92</v>
      </c>
      <c r="I72" s="390" t="s">
        <v>93</v>
      </c>
      <c r="J72" s="390" t="s">
        <v>94</v>
      </c>
      <c r="K72" s="390" t="s">
        <v>95</v>
      </c>
    </row>
    <row r="73" spans="2:11" ht="29.25" customHeight="1">
      <c r="B73" s="726" t="s">
        <v>191</v>
      </c>
      <c r="C73" s="862" t="s">
        <v>192</v>
      </c>
      <c r="D73" s="862"/>
      <c r="E73" s="391" t="s">
        <v>193</v>
      </c>
      <c r="G73" s="882" t="s">
        <v>194</v>
      </c>
      <c r="H73" s="888"/>
      <c r="I73" s="863" t="s">
        <v>195</v>
      </c>
      <c r="J73" s="863" t="s">
        <v>196</v>
      </c>
      <c r="K73" s="877" t="s">
        <v>197</v>
      </c>
    </row>
    <row r="74" spans="2:11" ht="31.5" customHeight="1">
      <c r="B74" s="726" t="s">
        <v>198</v>
      </c>
      <c r="C74" s="863" t="s">
        <v>199</v>
      </c>
      <c r="D74" s="863"/>
      <c r="E74" s="391" t="s">
        <v>200</v>
      </c>
      <c r="G74" s="882"/>
      <c r="H74" s="888"/>
      <c r="I74" s="863"/>
      <c r="J74" s="863"/>
      <c r="K74" s="877"/>
    </row>
    <row r="75" spans="2:11" ht="15" customHeight="1">
      <c r="B75" s="1" t="s">
        <v>201</v>
      </c>
      <c r="C75" s="723" t="s">
        <v>202</v>
      </c>
      <c r="E75" s="725" t="s">
        <v>203</v>
      </c>
      <c r="G75" s="882" t="s">
        <v>204</v>
      </c>
      <c r="H75" s="889"/>
      <c r="I75" s="863" t="s">
        <v>205</v>
      </c>
      <c r="J75" s="877" t="s">
        <v>206</v>
      </c>
      <c r="K75" s="877" t="s">
        <v>207</v>
      </c>
    </row>
    <row r="76" spans="2:11" ht="15" customHeight="1">
      <c r="B76" s="1" t="s">
        <v>208</v>
      </c>
      <c r="C76" s="723" t="s">
        <v>209</v>
      </c>
      <c r="E76" s="725" t="s">
        <v>210</v>
      </c>
      <c r="G76" s="882"/>
      <c r="H76" s="889"/>
      <c r="I76" s="863"/>
      <c r="J76" s="877"/>
      <c r="K76" s="877"/>
    </row>
    <row r="77" spans="2:11" ht="15" customHeight="1">
      <c r="B77" s="1" t="s">
        <v>211</v>
      </c>
      <c r="C77" s="723" t="s">
        <v>212</v>
      </c>
      <c r="E77" s="725" t="s">
        <v>213</v>
      </c>
      <c r="G77" s="882" t="s">
        <v>214</v>
      </c>
      <c r="H77" s="888"/>
      <c r="I77" s="863" t="s">
        <v>215</v>
      </c>
      <c r="J77" s="877" t="s">
        <v>216</v>
      </c>
      <c r="K77" s="877" t="s">
        <v>217</v>
      </c>
    </row>
    <row r="78" spans="2:11" ht="15" customHeight="1">
      <c r="B78" s="1" t="s">
        <v>218</v>
      </c>
      <c r="C78" s="723" t="s">
        <v>219</v>
      </c>
      <c r="E78" s="725" t="s">
        <v>220</v>
      </c>
      <c r="G78" s="882"/>
      <c r="H78" s="888"/>
      <c r="I78" s="863"/>
      <c r="J78" s="877"/>
      <c r="K78" s="877"/>
    </row>
    <row r="79" spans="2:11" ht="15" customHeight="1">
      <c r="B79" s="1" t="s">
        <v>221</v>
      </c>
      <c r="C79" s="723" t="s">
        <v>222</v>
      </c>
      <c r="E79" s="725" t="s">
        <v>223</v>
      </c>
      <c r="G79" s="882" t="s">
        <v>224</v>
      </c>
      <c r="H79" s="888"/>
      <c r="I79" s="863" t="s">
        <v>225</v>
      </c>
      <c r="J79" s="877" t="s">
        <v>226</v>
      </c>
      <c r="K79" s="877" t="s">
        <v>227</v>
      </c>
    </row>
    <row r="80" spans="2:11" ht="15" customHeight="1">
      <c r="B80" s="1" t="s">
        <v>228</v>
      </c>
      <c r="C80" s="723" t="s">
        <v>229</v>
      </c>
      <c r="E80" s="725" t="s">
        <v>230</v>
      </c>
      <c r="G80" s="882"/>
      <c r="H80" s="888"/>
      <c r="I80" s="863"/>
      <c r="J80" s="877"/>
      <c r="K80" s="877"/>
    </row>
    <row r="81" spans="2:11" ht="15" customHeight="1">
      <c r="B81" s="1" t="s">
        <v>231</v>
      </c>
      <c r="C81" s="723" t="s">
        <v>232</v>
      </c>
      <c r="E81" s="725" t="s">
        <v>233</v>
      </c>
      <c r="G81" s="882" t="s">
        <v>234</v>
      </c>
      <c r="H81" s="890"/>
      <c r="I81" s="863" t="s">
        <v>235</v>
      </c>
      <c r="J81" s="877" t="s">
        <v>236</v>
      </c>
      <c r="K81" s="877" t="s">
        <v>237</v>
      </c>
    </row>
    <row r="82" spans="2:11" ht="15" customHeight="1">
      <c r="B82" s="1" t="s">
        <v>238</v>
      </c>
      <c r="C82" s="723" t="s">
        <v>239</v>
      </c>
      <c r="E82" s="725" t="s">
        <v>240</v>
      </c>
      <c r="G82" s="882"/>
      <c r="H82" s="890"/>
      <c r="I82" s="863"/>
      <c r="J82" s="877"/>
      <c r="K82" s="877"/>
    </row>
    <row r="83" spans="2:11" ht="15" customHeight="1">
      <c r="B83" s="1" t="s">
        <v>241</v>
      </c>
      <c r="C83" s="723" t="s">
        <v>242</v>
      </c>
      <c r="E83" s="725" t="s">
        <v>243</v>
      </c>
      <c r="G83" s="882" t="s">
        <v>244</v>
      </c>
      <c r="H83" s="891"/>
      <c r="I83" s="863" t="s">
        <v>245</v>
      </c>
      <c r="J83" s="877" t="s">
        <v>246</v>
      </c>
      <c r="K83" s="877" t="s">
        <v>247</v>
      </c>
    </row>
    <row r="84" spans="2:11" ht="15" customHeight="1">
      <c r="B84" s="1" t="s">
        <v>248</v>
      </c>
      <c r="C84" s="723" t="s">
        <v>249</v>
      </c>
      <c r="E84" s="725" t="s">
        <v>250</v>
      </c>
      <c r="G84" s="882"/>
      <c r="H84" s="891"/>
      <c r="I84" s="863"/>
      <c r="J84" s="877"/>
      <c r="K84" s="877"/>
    </row>
    <row r="85" spans="2:11" ht="15" customHeight="1">
      <c r="B85" s="1" t="s">
        <v>251</v>
      </c>
      <c r="C85" s="723" t="s">
        <v>252</v>
      </c>
      <c r="E85" s="725" t="s">
        <v>253</v>
      </c>
      <c r="G85" s="882" t="s">
        <v>254</v>
      </c>
      <c r="H85" s="889"/>
      <c r="I85" s="863" t="s">
        <v>255</v>
      </c>
      <c r="J85" s="877" t="s">
        <v>256</v>
      </c>
      <c r="K85" s="877" t="s">
        <v>257</v>
      </c>
    </row>
    <row r="86" spans="2:11" ht="15" customHeight="1">
      <c r="C86" s="860"/>
      <c r="D86" s="860"/>
      <c r="E86" s="372"/>
      <c r="G86" s="882"/>
      <c r="H86" s="889"/>
      <c r="I86" s="863"/>
      <c r="J86" s="877"/>
      <c r="K86" s="877"/>
    </row>
    <row r="87" spans="2:11" ht="15" customHeight="1">
      <c r="C87" s="860"/>
      <c r="D87" s="860"/>
      <c r="E87" s="372"/>
      <c r="G87" s="882" t="s">
        <v>258</v>
      </c>
      <c r="H87" s="889"/>
      <c r="I87" s="863" t="s">
        <v>259</v>
      </c>
      <c r="J87" s="877"/>
      <c r="K87" s="877" t="s">
        <v>260</v>
      </c>
    </row>
    <row r="88" spans="2:11" ht="15" customHeight="1">
      <c r="C88" s="860"/>
      <c r="D88" s="860"/>
      <c r="E88" s="372"/>
      <c r="G88" s="882"/>
      <c r="H88" s="889"/>
      <c r="I88" s="863"/>
      <c r="J88" s="877"/>
      <c r="K88" s="877"/>
    </row>
    <row r="89" spans="2:11" ht="15" customHeight="1">
      <c r="C89" s="860"/>
      <c r="D89" s="860"/>
      <c r="E89" s="372"/>
      <c r="G89" s="882" t="s">
        <v>261</v>
      </c>
      <c r="H89" s="888"/>
      <c r="I89" s="863" t="s">
        <v>262</v>
      </c>
      <c r="J89" s="877" t="s">
        <v>263</v>
      </c>
      <c r="K89" s="877" t="s">
        <v>264</v>
      </c>
    </row>
    <row r="90" spans="2:11" ht="15" customHeight="1">
      <c r="C90" s="860"/>
      <c r="D90" s="860"/>
      <c r="E90" s="372"/>
      <c r="G90" s="882"/>
      <c r="H90" s="888"/>
      <c r="I90" s="863"/>
      <c r="J90" s="877"/>
      <c r="K90" s="877"/>
    </row>
    <row r="91" spans="2:11" ht="15" customHeight="1">
      <c r="C91" s="860"/>
      <c r="D91" s="860"/>
      <c r="E91" s="372"/>
      <c r="G91" s="882" t="s">
        <v>265</v>
      </c>
      <c r="H91" s="891"/>
      <c r="I91" s="863" t="s">
        <v>266</v>
      </c>
      <c r="J91" s="877" t="s">
        <v>267</v>
      </c>
      <c r="K91" s="877" t="s">
        <v>268</v>
      </c>
    </row>
    <row r="92" spans="2:11" ht="15" customHeight="1">
      <c r="C92" s="860"/>
      <c r="D92" s="860"/>
      <c r="E92" s="372"/>
      <c r="G92" s="882"/>
      <c r="H92" s="891"/>
      <c r="I92" s="863"/>
      <c r="J92" s="877"/>
      <c r="K92" s="877"/>
    </row>
    <row r="93" spans="2:11" ht="15" customHeight="1">
      <c r="C93" s="860"/>
      <c r="D93" s="860"/>
      <c r="E93" s="372"/>
      <c r="G93" s="882" t="s">
        <v>269</v>
      </c>
      <c r="H93" s="888"/>
      <c r="I93" s="863" t="s">
        <v>270</v>
      </c>
      <c r="J93" s="877" t="s">
        <v>271</v>
      </c>
      <c r="K93" s="877" t="s">
        <v>272</v>
      </c>
    </row>
    <row r="94" spans="2:11" ht="15" customHeight="1">
      <c r="G94" s="882"/>
      <c r="H94" s="888"/>
      <c r="I94" s="863"/>
      <c r="J94" s="877"/>
      <c r="K94" s="877"/>
    </row>
    <row r="95" spans="2:11" ht="15" customHeight="1">
      <c r="B95" s="723"/>
    </row>
    <row r="96" spans="2:11" ht="15" customHeight="1">
      <c r="B96" s="819" t="s">
        <v>273</v>
      </c>
      <c r="C96" s="815"/>
    </row>
    <row r="97" spans="2:6" ht="15" customHeight="1">
      <c r="B97" s="820" t="s">
        <v>274</v>
      </c>
      <c r="C97" s="820" t="s">
        <v>275</v>
      </c>
    </row>
    <row r="98" spans="2:6" ht="15" customHeight="1">
      <c r="B98" s="816" t="s">
        <v>276</v>
      </c>
      <c r="C98" s="815">
        <v>1.24</v>
      </c>
      <c r="E98"/>
      <c r="F98" s="724"/>
    </row>
    <row r="99" spans="2:6" ht="15" customHeight="1">
      <c r="B99" s="815" t="s">
        <v>32</v>
      </c>
      <c r="C99" s="817">
        <v>0.99860000000000004</v>
      </c>
      <c r="E99"/>
      <c r="F99" s="724"/>
    </row>
    <row r="100" spans="2:6" ht="15" customHeight="1">
      <c r="B100" s="815" t="s">
        <v>36</v>
      </c>
      <c r="C100" s="817">
        <v>6.9999999999999999E-4</v>
      </c>
      <c r="E100"/>
      <c r="F100" s="724"/>
    </row>
    <row r="101" spans="2:6" ht="15" customHeight="1">
      <c r="B101" s="818" t="s">
        <v>38</v>
      </c>
      <c r="C101" s="817">
        <v>0.74650000000000005</v>
      </c>
      <c r="E101"/>
      <c r="F101" s="724"/>
    </row>
    <row r="102" spans="2:6" ht="15" customHeight="1">
      <c r="B102" s="815" t="s">
        <v>34</v>
      </c>
      <c r="C102" s="817">
        <v>1.3100000000000001E-2</v>
      </c>
      <c r="E102"/>
      <c r="F102" s="724"/>
    </row>
    <row r="103" spans="2:6" ht="15" customHeight="1">
      <c r="E103"/>
      <c r="F103" s="724"/>
    </row>
    <row r="104" spans="2:6" ht="15" customHeight="1">
      <c r="B104" s="820" t="s">
        <v>277</v>
      </c>
      <c r="C104" s="820"/>
    </row>
    <row r="105" spans="2:6" ht="15" customHeight="1">
      <c r="B105" s="821" t="s">
        <v>278</v>
      </c>
      <c r="C105" s="822" t="s">
        <v>279</v>
      </c>
    </row>
    <row r="106" spans="2:6" ht="15" customHeight="1">
      <c r="B106" s="823" t="s">
        <v>280</v>
      </c>
      <c r="C106" s="824">
        <v>9.4E-2</v>
      </c>
    </row>
    <row r="107" spans="2:6" ht="15" customHeight="1">
      <c r="B107" s="823" t="s">
        <v>281</v>
      </c>
      <c r="C107" s="824">
        <v>8.2000000000000003E-2</v>
      </c>
    </row>
    <row r="108" spans="2:6" ht="15" customHeight="1">
      <c r="B108" s="823" t="s">
        <v>282</v>
      </c>
      <c r="C108" s="824">
        <v>5.7000000000000002E-2</v>
      </c>
    </row>
    <row r="109" spans="2:6" ht="15" customHeight="1">
      <c r="B109" s="823" t="s">
        <v>283</v>
      </c>
      <c r="C109" s="824">
        <v>4.1000000000000002E-2</v>
      </c>
    </row>
    <row r="110" spans="2:6" ht="15" customHeight="1">
      <c r="B110" s="823" t="s">
        <v>284</v>
      </c>
      <c r="C110" s="824">
        <v>3.7999999999999999E-2</v>
      </c>
    </row>
    <row r="111" spans="2:6" ht="15" customHeight="1">
      <c r="B111" s="823" t="s">
        <v>285</v>
      </c>
      <c r="C111" s="824">
        <v>2.1999999999999999E-2</v>
      </c>
    </row>
    <row r="112" spans="2:6" ht="15" customHeight="1">
      <c r="B112" s="823" t="s">
        <v>286</v>
      </c>
      <c r="C112" s="824">
        <v>1.6E-2</v>
      </c>
    </row>
    <row r="113" spans="2:3" ht="15" customHeight="1">
      <c r="B113" s="823" t="s">
        <v>287</v>
      </c>
      <c r="C113" s="824">
        <v>1.4E-2</v>
      </c>
    </row>
    <row r="114" spans="2:3" ht="15" customHeight="1">
      <c r="B114" s="823" t="s">
        <v>288</v>
      </c>
      <c r="C114" s="824">
        <v>1.2E-2</v>
      </c>
    </row>
    <row r="115" spans="2:3" ht="15" customHeight="1">
      <c r="B115" s="823" t="s">
        <v>289</v>
      </c>
      <c r="C115" s="824">
        <v>1.0999999999999999E-2</v>
      </c>
    </row>
  </sheetData>
  <mergeCells count="191">
    <mergeCell ref="J93:J94"/>
    <mergeCell ref="K91:K92"/>
    <mergeCell ref="K93:K94"/>
    <mergeCell ref="H87:H88"/>
    <mergeCell ref="H81:H82"/>
    <mergeCell ref="H83:H84"/>
    <mergeCell ref="H93:H94"/>
    <mergeCell ref="H89:H90"/>
    <mergeCell ref="H91:H92"/>
    <mergeCell ref="J91:J92"/>
    <mergeCell ref="K81:K82"/>
    <mergeCell ref="K83:K84"/>
    <mergeCell ref="K85:K86"/>
    <mergeCell ref="K87:K88"/>
    <mergeCell ref="K89:K90"/>
    <mergeCell ref="J83:J84"/>
    <mergeCell ref="I85:I86"/>
    <mergeCell ref="J85:J86"/>
    <mergeCell ref="I87:I88"/>
    <mergeCell ref="J87:J88"/>
    <mergeCell ref="I89:I90"/>
    <mergeCell ref="J89:J90"/>
    <mergeCell ref="G91:G92"/>
    <mergeCell ref="G93:G94"/>
    <mergeCell ref="I93:I94"/>
    <mergeCell ref="H65:H66"/>
    <mergeCell ref="H67:H68"/>
    <mergeCell ref="H61:H62"/>
    <mergeCell ref="H63:H64"/>
    <mergeCell ref="H77:H78"/>
    <mergeCell ref="H79:H80"/>
    <mergeCell ref="H73:H74"/>
    <mergeCell ref="H75:H76"/>
    <mergeCell ref="H85:H86"/>
    <mergeCell ref="I63:I64"/>
    <mergeCell ref="G75:G76"/>
    <mergeCell ref="G77:G78"/>
    <mergeCell ref="G79:G80"/>
    <mergeCell ref="G81:G82"/>
    <mergeCell ref="G83:G84"/>
    <mergeCell ref="G85:G86"/>
    <mergeCell ref="G87:G88"/>
    <mergeCell ref="G89:G90"/>
    <mergeCell ref="I91:I92"/>
    <mergeCell ref="I73:I74"/>
    <mergeCell ref="I83:I84"/>
    <mergeCell ref="H26:J27"/>
    <mergeCell ref="H28:J29"/>
    <mergeCell ref="H16:J17"/>
    <mergeCell ref="H18:J19"/>
    <mergeCell ref="H20:J21"/>
    <mergeCell ref="H22:J23"/>
    <mergeCell ref="H33:H34"/>
    <mergeCell ref="G33:G34"/>
    <mergeCell ref="H41:H42"/>
    <mergeCell ref="H37:H38"/>
    <mergeCell ref="H39:H40"/>
    <mergeCell ref="G35:G36"/>
    <mergeCell ref="G37:G38"/>
    <mergeCell ref="G39:G40"/>
    <mergeCell ref="G41:G42"/>
    <mergeCell ref="H49:H50"/>
    <mergeCell ref="H51:H52"/>
    <mergeCell ref="H47:H48"/>
    <mergeCell ref="H57:H58"/>
    <mergeCell ref="H59:H60"/>
    <mergeCell ref="H53:H54"/>
    <mergeCell ref="H55:H56"/>
    <mergeCell ref="K47:K48"/>
    <mergeCell ref="K49:K50"/>
    <mergeCell ref="K51:K52"/>
    <mergeCell ref="K55:K56"/>
    <mergeCell ref="K57:K58"/>
    <mergeCell ref="K59:K60"/>
    <mergeCell ref="I47:I48"/>
    <mergeCell ref="I49:I50"/>
    <mergeCell ref="I51:I52"/>
    <mergeCell ref="I53:I54"/>
    <mergeCell ref="I57:I58"/>
    <mergeCell ref="I59:I60"/>
    <mergeCell ref="J47:J48"/>
    <mergeCell ref="J49:J50"/>
    <mergeCell ref="J51:J52"/>
    <mergeCell ref="J55:J56"/>
    <mergeCell ref="J57:J58"/>
    <mergeCell ref="I75:I76"/>
    <mergeCell ref="J75:J76"/>
    <mergeCell ref="I77:I78"/>
    <mergeCell ref="J77:J78"/>
    <mergeCell ref="I79:I80"/>
    <mergeCell ref="J79:J80"/>
    <mergeCell ref="I81:I82"/>
    <mergeCell ref="J81:J82"/>
    <mergeCell ref="I61:I62"/>
    <mergeCell ref="J73:J74"/>
    <mergeCell ref="I65:I66"/>
    <mergeCell ref="I67:I68"/>
    <mergeCell ref="G47:G48"/>
    <mergeCell ref="G49:G50"/>
    <mergeCell ref="G51:G52"/>
    <mergeCell ref="G53:G54"/>
    <mergeCell ref="G73:G74"/>
    <mergeCell ref="G55:G56"/>
    <mergeCell ref="G57:G58"/>
    <mergeCell ref="G59:G60"/>
    <mergeCell ref="G61:G62"/>
    <mergeCell ref="G63:G64"/>
    <mergeCell ref="G65:G66"/>
    <mergeCell ref="G67:G68"/>
    <mergeCell ref="K73:K74"/>
    <mergeCell ref="K75:K76"/>
    <mergeCell ref="K77:K78"/>
    <mergeCell ref="K79:K80"/>
    <mergeCell ref="K65:K66"/>
    <mergeCell ref="K67:K68"/>
    <mergeCell ref="J59:J60"/>
    <mergeCell ref="J61:J62"/>
    <mergeCell ref="J63:J64"/>
    <mergeCell ref="J65:J66"/>
    <mergeCell ref="J67:J68"/>
    <mergeCell ref="K61:K62"/>
    <mergeCell ref="K63:K64"/>
    <mergeCell ref="C33:E33"/>
    <mergeCell ref="C34:E34"/>
    <mergeCell ref="C35:E35"/>
    <mergeCell ref="C36:E36"/>
    <mergeCell ref="C37:E37"/>
    <mergeCell ref="C38:E38"/>
    <mergeCell ref="K41:K42"/>
    <mergeCell ref="K39:K40"/>
    <mergeCell ref="K37:K38"/>
    <mergeCell ref="K35:K36"/>
    <mergeCell ref="K33:K34"/>
    <mergeCell ref="J41:J42"/>
    <mergeCell ref="J39:J40"/>
    <mergeCell ref="J37:J38"/>
    <mergeCell ref="J35:J36"/>
    <mergeCell ref="J33:J34"/>
    <mergeCell ref="I41:I42"/>
    <mergeCell ref="I39:I40"/>
    <mergeCell ref="I37:I38"/>
    <mergeCell ref="I35:I36"/>
    <mergeCell ref="I33:I34"/>
    <mergeCell ref="H35:H36"/>
    <mergeCell ref="C39:E39"/>
    <mergeCell ref="C41:E41"/>
    <mergeCell ref="D27:E27"/>
    <mergeCell ref="D23:E23"/>
    <mergeCell ref="D24:E24"/>
    <mergeCell ref="D19:E19"/>
    <mergeCell ref="D15:E15"/>
    <mergeCell ref="D16:E16"/>
    <mergeCell ref="D17:E17"/>
    <mergeCell ref="D18:E18"/>
    <mergeCell ref="D20:E20"/>
    <mergeCell ref="D21:E21"/>
    <mergeCell ref="D22:E22"/>
    <mergeCell ref="D25:E25"/>
    <mergeCell ref="D26:E26"/>
    <mergeCell ref="C90:D90"/>
    <mergeCell ref="C91:D91"/>
    <mergeCell ref="C92:D92"/>
    <mergeCell ref="C93:D93"/>
    <mergeCell ref="B47:E47"/>
    <mergeCell ref="B48:E48"/>
    <mergeCell ref="B49:E49"/>
    <mergeCell ref="B50:E50"/>
    <mergeCell ref="B51:E51"/>
    <mergeCell ref="B52:E52"/>
    <mergeCell ref="B53:E53"/>
    <mergeCell ref="B54:E54"/>
    <mergeCell ref="B55:E55"/>
    <mergeCell ref="B56:E56"/>
    <mergeCell ref="B58:E58"/>
    <mergeCell ref="B59:E59"/>
    <mergeCell ref="B60:E60"/>
    <mergeCell ref="B61:E61"/>
    <mergeCell ref="B62:E62"/>
    <mergeCell ref="B63:E63"/>
    <mergeCell ref="B64:E64"/>
    <mergeCell ref="C42:E42"/>
    <mergeCell ref="C89:D89"/>
    <mergeCell ref="C86:D86"/>
    <mergeCell ref="C87:D87"/>
    <mergeCell ref="C88:D88"/>
    <mergeCell ref="B65:E65"/>
    <mergeCell ref="B66:E66"/>
    <mergeCell ref="B67:E67"/>
    <mergeCell ref="B68:E68"/>
    <mergeCell ref="C73:D73"/>
    <mergeCell ref="C74:D74"/>
  </mergeCells>
  <dataValidations count="1">
    <dataValidation type="list" allowBlank="1" showInputMessage="1" showErrorMessage="1" sqref="C33:E33" xr:uid="{00000000-0002-0000-0300-000000000000}">
      <formula1>"Energy, Materials, Industrials, Consumer Discrecionary, Consumer Staples, Health Care, Financials, Information Technology, Communication Services, Utilities, Real Estate"</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BP70"/>
  <sheetViews>
    <sheetView showGridLines="0" zoomScale="66" zoomScaleNormal="100" workbookViewId="0">
      <selection activeCell="H42" sqref="H42"/>
    </sheetView>
  </sheetViews>
  <sheetFormatPr defaultColWidth="9" defaultRowHeight="15" customHeight="1" outlineLevelCol="1"/>
  <cols>
    <col min="1" max="1" width="2.125" style="97" customWidth="1"/>
    <col min="2" max="2" width="19.375" style="97" customWidth="1"/>
    <col min="3" max="3" width="2.375" style="23" customWidth="1"/>
    <col min="4" max="6" width="9.625" style="97" hidden="1" customWidth="1" outlineLevel="1"/>
    <col min="7" max="7" width="1" style="97" hidden="1" customWidth="1" outlineLevel="1"/>
    <col min="8" max="8" width="11.625" style="97" customWidth="1" collapsed="1"/>
    <col min="9" max="9" width="1.625" style="23" customWidth="1"/>
    <col min="10" max="13" width="9.625" style="97" hidden="1" customWidth="1" outlineLevel="1"/>
    <col min="14" max="14" width="11.625" style="97" customWidth="1" collapsed="1"/>
    <col min="15" max="15" width="1.625" style="23" customWidth="1"/>
    <col min="16" max="19" width="9.625" style="97" hidden="1" customWidth="1" outlineLevel="1"/>
    <col min="20" max="20" width="11.625" style="97" customWidth="1" collapsed="1"/>
    <col min="21" max="21" width="1.625" style="23" customWidth="1"/>
    <col min="22" max="25" width="9.625" style="97" hidden="1" customWidth="1" outlineLevel="1"/>
    <col min="26" max="26" width="11.625" style="97" customWidth="1" collapsed="1"/>
    <col min="27" max="27" width="1.625" style="23" customWidth="1"/>
    <col min="28" max="31" width="9.625" style="97" hidden="1" customWidth="1" outlineLevel="1"/>
    <col min="32" max="32" width="11.625" style="97" customWidth="1" collapsed="1"/>
    <col min="33" max="33" width="1.625" style="23" customWidth="1"/>
    <col min="34" max="37" width="9.625" style="97" hidden="1" customWidth="1" outlineLevel="1"/>
    <col min="38" max="38" width="11.625" style="97" customWidth="1" collapsed="1"/>
    <col min="39" max="39" width="1.625" style="23" customWidth="1"/>
    <col min="40" max="43" width="9.625" style="97" hidden="1" customWidth="1" outlineLevel="1"/>
    <col min="44" max="44" width="11.625" style="97" customWidth="1" collapsed="1"/>
    <col min="45" max="45" width="1.625" style="23" customWidth="1"/>
    <col min="46" max="46" width="11.625" style="97" customWidth="1"/>
    <col min="47" max="47" width="1.625" style="23" customWidth="1"/>
    <col min="48" max="48" width="11.625" style="105" customWidth="1"/>
    <col min="49" max="49" width="1.625" style="23" customWidth="1"/>
    <col min="50" max="50" width="11.625" style="97" customWidth="1"/>
    <col min="51" max="51" width="1.625" style="97" customWidth="1"/>
    <col min="52" max="52" width="36" style="97" bestFit="1" customWidth="1"/>
    <col min="53" max="62" width="9" style="97"/>
    <col min="63" max="63" width="15.5" style="97" customWidth="1"/>
    <col min="64" max="64" width="9" style="97"/>
    <col min="65" max="65" width="9.625" style="97" customWidth="1"/>
    <col min="66" max="79" width="9" style="97"/>
    <col min="80" max="80" width="16.375" style="97" customWidth="1"/>
    <col min="81" max="86" width="10" style="97" bestFit="1" customWidth="1"/>
    <col min="87" max="16384" width="9" style="97"/>
  </cols>
  <sheetData>
    <row r="1" spans="1:59" s="573" customFormat="1" ht="15" customHeight="1"/>
    <row r="2" spans="1:59" s="573" customFormat="1" ht="15" customHeight="1"/>
    <row r="3" spans="1:59" s="573" customFormat="1" ht="15" customHeight="1"/>
    <row r="4" spans="1:59" s="573" customFormat="1" ht="15" customHeight="1"/>
    <row r="5" spans="1:59" s="282" customFormat="1" ht="3.95" customHeight="1">
      <c r="C5" s="36"/>
      <c r="I5" s="36"/>
      <c r="O5" s="36"/>
      <c r="U5" s="36"/>
      <c r="AA5" s="36"/>
      <c r="AG5" s="36"/>
      <c r="AM5" s="36"/>
      <c r="AS5" s="36"/>
      <c r="AU5" s="36"/>
      <c r="AV5" s="283"/>
      <c r="AW5" s="36"/>
    </row>
    <row r="7" spans="1:59" s="41" customFormat="1" ht="15" customHeight="1">
      <c r="A7" s="44" t="s">
        <v>41</v>
      </c>
      <c r="B7" s="161" t="s">
        <v>290</v>
      </c>
      <c r="C7" s="18"/>
      <c r="D7" s="200">
        <f>F7</f>
        <v>2020</v>
      </c>
      <c r="E7" s="200">
        <f>F7</f>
        <v>2020</v>
      </c>
      <c r="F7" s="200">
        <v>2020</v>
      </c>
      <c r="G7" s="200">
        <f>F7</f>
        <v>2020</v>
      </c>
      <c r="H7" s="200">
        <f>F7</f>
        <v>2020</v>
      </c>
      <c r="I7" s="18"/>
      <c r="J7" s="200">
        <f>L7</f>
        <v>2021</v>
      </c>
      <c r="K7" s="200">
        <f>L7</f>
        <v>2021</v>
      </c>
      <c r="L7" s="200">
        <v>2021</v>
      </c>
      <c r="M7" s="200">
        <f>L7</f>
        <v>2021</v>
      </c>
      <c r="N7" s="200">
        <f>L7</f>
        <v>2021</v>
      </c>
      <c r="O7" s="169"/>
      <c r="P7" s="200">
        <f>R7</f>
        <v>2022</v>
      </c>
      <c r="Q7" s="200">
        <f>R7</f>
        <v>2022</v>
      </c>
      <c r="R7" s="200">
        <v>2022</v>
      </c>
      <c r="S7" s="200">
        <f>R7</f>
        <v>2022</v>
      </c>
      <c r="T7" s="200">
        <f>R7</f>
        <v>2022</v>
      </c>
      <c r="U7" s="169"/>
      <c r="V7" s="200">
        <f>X7</f>
        <v>2023</v>
      </c>
      <c r="W7" s="200">
        <f>X7</f>
        <v>2023</v>
      </c>
      <c r="X7" s="200">
        <v>2023</v>
      </c>
      <c r="Y7" s="200">
        <f>X7</f>
        <v>2023</v>
      </c>
      <c r="Z7" s="200">
        <f>X7</f>
        <v>2023</v>
      </c>
      <c r="AA7" s="170"/>
      <c r="AB7" s="200">
        <f>AD7</f>
        <v>2024</v>
      </c>
      <c r="AC7" s="200">
        <f>AD7</f>
        <v>2024</v>
      </c>
      <c r="AD7" s="200">
        <v>2024</v>
      </c>
      <c r="AE7" s="200">
        <f>AD7</f>
        <v>2024</v>
      </c>
      <c r="AF7" s="200">
        <f>AD7</f>
        <v>2024</v>
      </c>
      <c r="AG7" s="170"/>
      <c r="AH7" s="200">
        <f>AJ7</f>
        <v>2025</v>
      </c>
      <c r="AI7" s="200">
        <f>AJ7</f>
        <v>2025</v>
      </c>
      <c r="AJ7" s="201">
        <v>2025</v>
      </c>
      <c r="AK7" s="200">
        <f>AJ7</f>
        <v>2025</v>
      </c>
      <c r="AL7" s="200">
        <f>AJ7</f>
        <v>2025</v>
      </c>
      <c r="AM7" s="171"/>
      <c r="AN7" s="200">
        <f>AP7</f>
        <v>2025</v>
      </c>
      <c r="AO7" s="200">
        <f>AP7</f>
        <v>2025</v>
      </c>
      <c r="AP7" s="201">
        <v>2025</v>
      </c>
      <c r="AQ7" s="200">
        <f>AP7</f>
        <v>2025</v>
      </c>
      <c r="AR7" s="200">
        <f>AP7</f>
        <v>2025</v>
      </c>
      <c r="AS7" s="18"/>
      <c r="AT7" s="162"/>
      <c r="AU7" s="18"/>
      <c r="AV7" s="163"/>
      <c r="AW7" s="18"/>
      <c r="AX7" s="163"/>
      <c r="AY7" s="19"/>
      <c r="AZ7" s="164" t="s">
        <v>291</v>
      </c>
      <c r="BA7" s="164"/>
      <c r="BB7" s="164"/>
      <c r="BC7" s="164"/>
      <c r="BD7" s="164"/>
      <c r="BE7" s="164"/>
      <c r="BF7" s="164"/>
      <c r="BG7" s="164"/>
    </row>
    <row r="8" spans="1:59" s="41" customFormat="1" ht="15" customHeight="1">
      <c r="B8" s="164"/>
      <c r="C8" s="18"/>
      <c r="D8" s="893">
        <v>2020</v>
      </c>
      <c r="E8" s="893"/>
      <c r="F8" s="893"/>
      <c r="G8" s="893"/>
      <c r="H8" s="893"/>
      <c r="I8" s="169"/>
      <c r="J8" s="893">
        <f>D8+1</f>
        <v>2021</v>
      </c>
      <c r="K8" s="893"/>
      <c r="L8" s="893"/>
      <c r="M8" s="893"/>
      <c r="N8" s="893"/>
      <c r="O8" s="169"/>
      <c r="P8" s="893">
        <f>J8+1</f>
        <v>2022</v>
      </c>
      <c r="Q8" s="893"/>
      <c r="R8" s="893"/>
      <c r="S8" s="893"/>
      <c r="T8" s="893"/>
      <c r="U8" s="169"/>
      <c r="V8" s="893">
        <f>P8+1</f>
        <v>2023</v>
      </c>
      <c r="W8" s="893"/>
      <c r="X8" s="893"/>
      <c r="Y8" s="893"/>
      <c r="Z8" s="893"/>
      <c r="AA8" s="169"/>
      <c r="AB8" s="893">
        <f>V8+1</f>
        <v>2024</v>
      </c>
      <c r="AC8" s="893"/>
      <c r="AD8" s="893"/>
      <c r="AE8" s="893"/>
      <c r="AF8" s="893"/>
      <c r="AG8" s="169"/>
      <c r="AH8" s="892">
        <f>AB8+1</f>
        <v>2025</v>
      </c>
      <c r="AI8" s="892"/>
      <c r="AJ8" s="892"/>
      <c r="AK8" s="892"/>
      <c r="AL8" s="892"/>
      <c r="AM8" s="169"/>
      <c r="AN8" s="892">
        <f>AH8+1</f>
        <v>2026</v>
      </c>
      <c r="AO8" s="892"/>
      <c r="AP8" s="892"/>
      <c r="AQ8" s="892"/>
      <c r="AR8" s="892"/>
      <c r="AS8" s="171"/>
      <c r="AT8" s="166">
        <f>AN8+1</f>
        <v>2027</v>
      </c>
      <c r="AU8" s="167"/>
      <c r="AV8" s="166">
        <f>+AT8+1</f>
        <v>2028</v>
      </c>
      <c r="AW8" s="167"/>
      <c r="AX8" s="166">
        <f>+AV8+1</f>
        <v>2029</v>
      </c>
      <c r="AY8" s="548"/>
      <c r="AZ8" s="164"/>
      <c r="BA8" s="164"/>
      <c r="BB8" s="164"/>
      <c r="BC8" s="164"/>
      <c r="BD8" s="164"/>
      <c r="BE8" s="164"/>
      <c r="BF8" s="164"/>
      <c r="BG8" s="164"/>
    </row>
    <row r="9" spans="1:59" s="41" customFormat="1" ht="15" customHeight="1">
      <c r="B9" s="164"/>
      <c r="C9" s="18"/>
      <c r="D9" s="168" t="s">
        <v>292</v>
      </c>
      <c r="E9" s="168" t="s">
        <v>293</v>
      </c>
      <c r="F9" s="168" t="s">
        <v>294</v>
      </c>
      <c r="G9" s="168" t="s">
        <v>295</v>
      </c>
      <c r="H9" s="168" t="s">
        <v>296</v>
      </c>
      <c r="I9" s="18"/>
      <c r="J9" s="168" t="s">
        <v>292</v>
      </c>
      <c r="K9" s="168" t="s">
        <v>293</v>
      </c>
      <c r="L9" s="168" t="s">
        <v>294</v>
      </c>
      <c r="M9" s="168" t="s">
        <v>295</v>
      </c>
      <c r="N9" s="168" t="s">
        <v>296</v>
      </c>
      <c r="O9" s="165"/>
      <c r="P9" s="168" t="s">
        <v>292</v>
      </c>
      <c r="Q9" s="168" t="s">
        <v>293</v>
      </c>
      <c r="R9" s="168" t="s">
        <v>294</v>
      </c>
      <c r="S9" s="168" t="s">
        <v>295</v>
      </c>
      <c r="T9" s="168" t="s">
        <v>296</v>
      </c>
      <c r="U9" s="165"/>
      <c r="V9" s="168" t="s">
        <v>292</v>
      </c>
      <c r="W9" s="168" t="s">
        <v>293</v>
      </c>
      <c r="X9" s="168" t="s">
        <v>294</v>
      </c>
      <c r="Y9" s="168" t="s">
        <v>295</v>
      </c>
      <c r="Z9" s="168" t="s">
        <v>296</v>
      </c>
      <c r="AA9" s="165"/>
      <c r="AB9" s="168" t="s">
        <v>292</v>
      </c>
      <c r="AC9" s="168" t="s">
        <v>293</v>
      </c>
      <c r="AD9" s="168" t="s">
        <v>294</v>
      </c>
      <c r="AE9" s="168" t="s">
        <v>295</v>
      </c>
      <c r="AF9" s="168" t="s">
        <v>296</v>
      </c>
      <c r="AG9" s="165"/>
      <c r="AH9" s="168" t="s">
        <v>292</v>
      </c>
      <c r="AI9" s="168" t="s">
        <v>293</v>
      </c>
      <c r="AJ9" s="168" t="s">
        <v>294</v>
      </c>
      <c r="AK9" s="168" t="s">
        <v>295</v>
      </c>
      <c r="AL9" s="168" t="s">
        <v>296</v>
      </c>
      <c r="AM9" s="165"/>
      <c r="AN9" s="168" t="s">
        <v>292</v>
      </c>
      <c r="AO9" s="168" t="s">
        <v>293</v>
      </c>
      <c r="AP9" s="168" t="s">
        <v>294</v>
      </c>
      <c r="AQ9" s="168" t="s">
        <v>295</v>
      </c>
      <c r="AR9" s="168" t="s">
        <v>296</v>
      </c>
      <c r="AS9" s="165"/>
      <c r="AT9" s="168" t="s">
        <v>296</v>
      </c>
      <c r="AU9" s="165"/>
      <c r="AV9" s="168" t="s">
        <v>296</v>
      </c>
      <c r="AW9" s="165"/>
      <c r="AX9" s="168" t="s">
        <v>296</v>
      </c>
      <c r="AY9" s="549"/>
      <c r="AZ9" s="164"/>
      <c r="BA9" s="164"/>
      <c r="BB9" s="164"/>
      <c r="BC9" s="164"/>
      <c r="BD9" s="164"/>
      <c r="BE9" s="164"/>
      <c r="BF9" s="164"/>
      <c r="BG9" s="164"/>
    </row>
    <row r="10" spans="1:59" s="41" customFormat="1" ht="3.95" customHeight="1">
      <c r="A10" s="43"/>
      <c r="B10" s="176"/>
      <c r="C10" s="35"/>
      <c r="D10" s="177"/>
      <c r="E10" s="177"/>
      <c r="F10" s="177"/>
      <c r="G10" s="177"/>
      <c r="H10" s="177"/>
      <c r="I10" s="35"/>
      <c r="J10" s="177"/>
      <c r="K10" s="177"/>
      <c r="L10" s="177"/>
      <c r="M10" s="177"/>
      <c r="N10" s="177"/>
      <c r="O10" s="178"/>
      <c r="P10" s="177"/>
      <c r="Q10" s="177"/>
      <c r="R10" s="177"/>
      <c r="S10" s="177"/>
      <c r="T10" s="177"/>
      <c r="U10" s="178"/>
      <c r="V10" s="177"/>
      <c r="W10" s="177"/>
      <c r="X10" s="177"/>
      <c r="Y10" s="177"/>
      <c r="Z10" s="177"/>
      <c r="AA10" s="178"/>
      <c r="AB10" s="177"/>
      <c r="AC10" s="177"/>
      <c r="AD10" s="177"/>
      <c r="AE10" s="177"/>
      <c r="AF10" s="177"/>
      <c r="AG10" s="178"/>
      <c r="AH10" s="177"/>
      <c r="AI10" s="177"/>
      <c r="AJ10" s="177"/>
      <c r="AK10" s="177"/>
      <c r="AL10" s="179"/>
      <c r="AM10" s="180"/>
      <c r="AN10" s="179"/>
      <c r="AO10" s="179"/>
      <c r="AP10" s="179"/>
      <c r="AQ10" s="179"/>
      <c r="AR10" s="179"/>
      <c r="AS10" s="180"/>
      <c r="AT10" s="179"/>
      <c r="AU10" s="180"/>
      <c r="AV10" s="179"/>
      <c r="AW10" s="180"/>
      <c r="AX10" s="179"/>
      <c r="AY10" s="34"/>
      <c r="AZ10" s="176"/>
      <c r="BA10" s="176"/>
      <c r="BB10" s="176"/>
      <c r="BC10" s="176"/>
      <c r="BD10" s="176"/>
      <c r="BE10" s="176"/>
      <c r="BF10" s="176"/>
      <c r="BG10" s="176"/>
    </row>
    <row r="11" spans="1:59" s="41" customFormat="1" ht="3.95" customHeight="1">
      <c r="A11" s="43"/>
      <c r="B11" s="172"/>
      <c r="C11" s="19"/>
      <c r="D11" s="173"/>
      <c r="E11" s="173"/>
      <c r="F11" s="173"/>
      <c r="G11" s="173"/>
      <c r="H11" s="173"/>
      <c r="I11" s="19"/>
      <c r="J11" s="173"/>
      <c r="K11" s="173"/>
      <c r="L11" s="173"/>
      <c r="M11" s="173"/>
      <c r="N11" s="173"/>
      <c r="O11" s="174"/>
      <c r="P11" s="173"/>
      <c r="Q11" s="173"/>
      <c r="R11" s="173"/>
      <c r="S11" s="173"/>
      <c r="T11" s="173"/>
      <c r="U11" s="174"/>
      <c r="V11" s="173"/>
      <c r="W11" s="173"/>
      <c r="X11" s="173"/>
      <c r="Y11" s="173"/>
      <c r="Z11" s="173"/>
      <c r="AA11" s="174"/>
      <c r="AB11" s="173"/>
      <c r="AC11" s="173"/>
      <c r="AD11" s="173"/>
      <c r="AE11" s="173"/>
      <c r="AF11" s="173"/>
      <c r="AG11" s="202"/>
      <c r="AH11" s="173"/>
      <c r="AI11" s="173"/>
      <c r="AJ11" s="173"/>
      <c r="AK11" s="173"/>
      <c r="AL11" s="175"/>
      <c r="AM11" s="34"/>
      <c r="AN11" s="175"/>
      <c r="AO11" s="175"/>
      <c r="AP11" s="175"/>
      <c r="AQ11" s="175"/>
      <c r="AR11" s="175"/>
      <c r="AS11" s="34"/>
      <c r="AT11" s="175"/>
      <c r="AU11" s="34"/>
      <c r="AV11" s="175"/>
      <c r="AW11" s="34"/>
      <c r="AX11" s="175"/>
    </row>
    <row r="12" spans="1:59" s="54" customFormat="1" ht="15" customHeight="1">
      <c r="B12" s="45" t="s">
        <v>297</v>
      </c>
      <c r="C12" s="23"/>
      <c r="D12" s="66"/>
      <c r="E12" s="66"/>
      <c r="F12" s="66"/>
      <c r="G12" s="66"/>
      <c r="H12" s="47"/>
      <c r="I12" s="48"/>
      <c r="J12" s="66"/>
      <c r="K12" s="66"/>
      <c r="L12" s="66"/>
      <c r="M12" s="66"/>
      <c r="N12" s="47"/>
      <c r="O12" s="47"/>
      <c r="P12" s="66"/>
      <c r="Q12" s="66"/>
      <c r="R12" s="66"/>
      <c r="S12" s="66"/>
      <c r="T12" s="47"/>
      <c r="U12" s="47"/>
      <c r="V12" s="66"/>
      <c r="W12" s="66"/>
      <c r="X12" s="66"/>
      <c r="Y12" s="66"/>
      <c r="Z12" s="47"/>
      <c r="AA12" s="47"/>
      <c r="AB12" s="66"/>
      <c r="AC12" s="66"/>
      <c r="AD12" s="66"/>
      <c r="AE12" s="66"/>
      <c r="AF12" s="47"/>
      <c r="AG12" s="49"/>
      <c r="AH12" s="66"/>
      <c r="AI12" s="66"/>
      <c r="AJ12" s="68"/>
      <c r="AK12" s="68"/>
      <c r="AL12" s="47"/>
      <c r="AM12" s="51"/>
      <c r="AN12" s="68"/>
      <c r="AO12" s="68"/>
      <c r="AP12" s="68"/>
      <c r="AQ12" s="68"/>
      <c r="AR12" s="47"/>
      <c r="AS12" s="51"/>
      <c r="AT12" s="52"/>
      <c r="AU12" s="53"/>
      <c r="AV12" s="52"/>
      <c r="AW12" s="53"/>
      <c r="AX12" s="52"/>
    </row>
    <row r="13" spans="1:59" s="54" customFormat="1" ht="15" customHeight="1">
      <c r="A13" s="55"/>
      <c r="B13" s="692" t="s">
        <v>298</v>
      </c>
      <c r="C13" s="692"/>
      <c r="D13" s="25" t="s">
        <v>299</v>
      </c>
      <c r="E13" s="25"/>
      <c r="F13" s="25" t="s">
        <v>300</v>
      </c>
      <c r="G13" s="25"/>
      <c r="H13" s="694" t="str">
        <f>IS!H13</f>
        <v>26 266</v>
      </c>
      <c r="I13" s="694"/>
      <c r="J13" s="694">
        <f>IS!J13</f>
        <v>0</v>
      </c>
      <c r="K13" s="694">
        <f>IS!K13</f>
        <v>0</v>
      </c>
      <c r="L13" s="694">
        <f>IS!L13</f>
        <v>0</v>
      </c>
      <c r="M13" s="694">
        <f>IS!M13</f>
        <v>0</v>
      </c>
      <c r="N13" s="694" t="str">
        <f>IS!N13</f>
        <v>26 748</v>
      </c>
      <c r="O13" s="694"/>
      <c r="P13" s="694">
        <f>IS!P13</f>
        <v>0</v>
      </c>
      <c r="Q13" s="694">
        <f>IS!Q13</f>
        <v>0</v>
      </c>
      <c r="R13" s="694">
        <f>IS!R13</f>
        <v>0</v>
      </c>
      <c r="S13" s="694">
        <f>IS!S13</f>
        <v>0</v>
      </c>
      <c r="T13" s="694" t="str">
        <f>IS!T13</f>
        <v>26 987</v>
      </c>
      <c r="U13" s="694"/>
      <c r="V13" s="694">
        <f>IS!V13</f>
        <v>0</v>
      </c>
      <c r="W13" s="694">
        <f>IS!W13</f>
        <v>0</v>
      </c>
      <c r="X13" s="694">
        <f>IS!X13</f>
        <v>0</v>
      </c>
      <c r="Y13" s="694">
        <f>IS!Y13</f>
        <v>0</v>
      </c>
      <c r="Z13" s="694" t="str">
        <f>IS!Z13</f>
        <v>27 474</v>
      </c>
      <c r="AA13" s="694"/>
      <c r="AB13" s="694">
        <f>IS!AB13</f>
        <v>0</v>
      </c>
      <c r="AC13" s="694">
        <f>IS!AC13</f>
        <v>0</v>
      </c>
      <c r="AD13" s="694">
        <f>IS!AD13</f>
        <v>0</v>
      </c>
      <c r="AE13" s="694">
        <f>IS!AE13</f>
        <v>0</v>
      </c>
      <c r="AF13" s="694">
        <f>IS!AF13</f>
        <v>28618</v>
      </c>
      <c r="AG13" s="49"/>
      <c r="AH13" s="46"/>
      <c r="AI13" s="46"/>
      <c r="AJ13" s="50"/>
      <c r="AK13" s="50"/>
      <c r="AL13" s="47"/>
      <c r="AM13" s="51"/>
      <c r="AN13" s="50"/>
      <c r="AO13" s="50"/>
      <c r="AP13" s="50"/>
      <c r="AQ13" s="50"/>
      <c r="AR13" s="47"/>
      <c r="AS13" s="51"/>
      <c r="AT13" s="52"/>
      <c r="AU13" s="53"/>
      <c r="AV13" s="52"/>
      <c r="AW13" s="53"/>
      <c r="AX13" s="52"/>
    </row>
    <row r="14" spans="1:59" s="54" customFormat="1" ht="15" customHeight="1">
      <c r="A14" s="55"/>
      <c r="B14" s="692" t="s">
        <v>301</v>
      </c>
      <c r="C14" s="692"/>
      <c r="D14" s="25" t="s">
        <v>302</v>
      </c>
      <c r="E14" s="25"/>
      <c r="F14" s="25" t="s">
        <v>303</v>
      </c>
      <c r="G14" s="25"/>
      <c r="H14" s="694" t="str">
        <f>IS!H14</f>
        <v>11 257</v>
      </c>
      <c r="I14" s="25"/>
      <c r="J14" s="25" t="s">
        <v>304</v>
      </c>
      <c r="K14" s="25"/>
      <c r="L14" s="25" t="s">
        <v>305</v>
      </c>
      <c r="M14" s="46"/>
      <c r="N14" s="694" t="str">
        <f>IS!N14</f>
        <v>11 693</v>
      </c>
      <c r="O14" s="47"/>
      <c r="P14" s="46"/>
      <c r="Q14" s="46"/>
      <c r="R14" s="46"/>
      <c r="S14" s="46"/>
      <c r="T14" s="694" t="str">
        <f>IS!T14</f>
        <v>11 317</v>
      </c>
      <c r="U14" s="47"/>
      <c r="V14" s="46"/>
      <c r="W14" s="46"/>
      <c r="X14" s="46"/>
      <c r="Y14" s="46"/>
      <c r="Z14" s="694" t="str">
        <f>IS!Z14</f>
        <v>11 253</v>
      </c>
      <c r="AA14" s="47"/>
      <c r="AB14" s="46"/>
      <c r="AC14" s="46"/>
      <c r="AD14" s="46"/>
      <c r="AE14" s="46"/>
      <c r="AF14" s="694">
        <f>IS!AF14</f>
        <v>12682</v>
      </c>
      <c r="AG14" s="49"/>
      <c r="AH14" s="46"/>
      <c r="AI14" s="46"/>
      <c r="AJ14" s="50"/>
      <c r="AK14" s="50"/>
      <c r="AL14" s="47"/>
      <c r="AM14" s="51"/>
      <c r="AN14" s="50"/>
      <c r="AO14" s="50"/>
      <c r="AP14" s="50"/>
      <c r="AQ14" s="50"/>
      <c r="AR14" s="47"/>
      <c r="AS14" s="51"/>
      <c r="AT14" s="52"/>
      <c r="AU14" s="53"/>
      <c r="AV14" s="52"/>
      <c r="AW14" s="53"/>
      <c r="AX14" s="52"/>
    </row>
    <row r="15" spans="1:59" s="54" customFormat="1" ht="15" customHeight="1">
      <c r="A15" s="55"/>
      <c r="B15" s="692" t="s">
        <v>306</v>
      </c>
      <c r="C15" s="692"/>
      <c r="D15" s="25" t="s">
        <v>307</v>
      </c>
      <c r="E15" s="25"/>
      <c r="F15" s="25" t="s">
        <v>308</v>
      </c>
      <c r="G15" s="25"/>
      <c r="H15" s="694" t="str">
        <f>IS!H15</f>
        <v>15 995</v>
      </c>
      <c r="I15" s="25"/>
      <c r="J15" s="25" t="s">
        <v>309</v>
      </c>
      <c r="K15" s="25"/>
      <c r="L15" s="25" t="s">
        <v>310</v>
      </c>
      <c r="M15" s="46"/>
      <c r="N15" s="694" t="str">
        <f>IS!N15</f>
        <v>16 789</v>
      </c>
      <c r="O15" s="47"/>
      <c r="P15" s="46"/>
      <c r="Q15" s="46"/>
      <c r="R15" s="46"/>
      <c r="S15" s="46"/>
      <c r="T15" s="694" t="str">
        <f>IS!T15</f>
        <v>16 148</v>
      </c>
      <c r="U15" s="47"/>
      <c r="V15" s="46"/>
      <c r="W15" s="46"/>
      <c r="X15" s="46"/>
      <c r="Y15" s="46"/>
      <c r="Z15" s="694" t="str">
        <f>IS!Z15</f>
        <v>16 239</v>
      </c>
      <c r="AA15" s="47"/>
      <c r="AB15" s="46"/>
      <c r="AC15" s="46"/>
      <c r="AD15" s="46"/>
      <c r="AE15" s="46"/>
      <c r="AF15" s="694">
        <f>IS!AF15</f>
        <v>17264</v>
      </c>
      <c r="AG15" s="49"/>
      <c r="AH15" s="46"/>
      <c r="AI15" s="46"/>
      <c r="AJ15" s="50"/>
      <c r="AK15" s="50"/>
      <c r="AL15" s="47"/>
      <c r="AM15" s="51"/>
      <c r="AN15" s="50"/>
      <c r="AO15" s="50"/>
      <c r="AP15" s="50"/>
      <c r="AQ15" s="50"/>
      <c r="AR15" s="47"/>
      <c r="AS15" s="51"/>
      <c r="AT15" s="52"/>
      <c r="AU15" s="53"/>
      <c r="AV15" s="52"/>
      <c r="AW15" s="53"/>
      <c r="AX15" s="52"/>
    </row>
    <row r="16" spans="1:59" s="54" customFormat="1" ht="15" customHeight="1">
      <c r="A16" s="55"/>
      <c r="B16" s="692" t="s">
        <v>311</v>
      </c>
      <c r="C16" s="692"/>
      <c r="D16" s="25" t="s">
        <v>312</v>
      </c>
      <c r="E16" s="25"/>
      <c r="F16" s="25" t="s">
        <v>313</v>
      </c>
      <c r="G16" s="25"/>
      <c r="H16" s="694" t="str">
        <f>IS!H16</f>
        <v>11 880</v>
      </c>
      <c r="I16" s="25"/>
      <c r="J16" s="25" t="s">
        <v>314</v>
      </c>
      <c r="K16" s="25"/>
      <c r="L16" s="25" t="s">
        <v>315</v>
      </c>
      <c r="M16" s="46"/>
      <c r="N16" s="694" t="str">
        <f>IS!N16</f>
        <v>11 814</v>
      </c>
      <c r="O16" s="57"/>
      <c r="P16" s="46"/>
      <c r="Q16" s="46"/>
      <c r="R16" s="46"/>
      <c r="S16" s="46"/>
      <c r="T16" s="694" t="str">
        <f>IS!T16</f>
        <v>11 532</v>
      </c>
      <c r="U16" s="57"/>
      <c r="V16" s="46"/>
      <c r="W16" s="46"/>
      <c r="X16" s="46"/>
      <c r="Y16" s="46"/>
      <c r="Z16" s="694" t="str">
        <f>IS!Z16</f>
        <v>12 605</v>
      </c>
      <c r="AA16" s="57"/>
      <c r="AB16" s="46"/>
      <c r="AC16" s="46"/>
      <c r="AD16" s="46"/>
      <c r="AE16" s="46"/>
      <c r="AF16" s="694">
        <f>IS!AF16</f>
        <v>12479</v>
      </c>
      <c r="AG16" s="49"/>
      <c r="AH16" s="46"/>
      <c r="AI16" s="46"/>
      <c r="AJ16" s="50"/>
      <c r="AK16" s="50"/>
      <c r="AL16" s="57"/>
      <c r="AM16" s="51"/>
      <c r="AN16" s="50"/>
      <c r="AO16" s="50"/>
      <c r="AP16" s="50"/>
      <c r="AQ16" s="50"/>
      <c r="AR16" s="57"/>
      <c r="AS16" s="51"/>
      <c r="AT16" s="58"/>
      <c r="AU16" s="53"/>
      <c r="AV16" s="58"/>
      <c r="AW16" s="53"/>
      <c r="AX16" s="58"/>
    </row>
    <row r="17" spans="2:68" s="54" customFormat="1" ht="15" customHeight="1">
      <c r="B17" s="59" t="s">
        <v>316</v>
      </c>
      <c r="C17" s="23"/>
      <c r="D17" s="62">
        <f>IS!D17</f>
        <v>15651</v>
      </c>
      <c r="E17" s="62">
        <f>IS!E17</f>
        <v>16220</v>
      </c>
      <c r="F17" s="62">
        <f>IS!F17</f>
        <v>16495</v>
      </c>
      <c r="G17" s="62">
        <f>IS!G17</f>
        <v>17032</v>
      </c>
      <c r="H17" s="63">
        <f>IS!H17</f>
        <v>65398</v>
      </c>
      <c r="I17" s="96"/>
      <c r="J17" s="62">
        <f>IS!J17</f>
        <v>16258</v>
      </c>
      <c r="K17" s="62">
        <f>IS!K17</f>
        <v>17029</v>
      </c>
      <c r="L17" s="62">
        <f>IS!L17</f>
        <v>16028</v>
      </c>
      <c r="M17" s="62">
        <f>IS!M17</f>
        <v>17729</v>
      </c>
      <c r="N17" s="63">
        <f>IS!N17</f>
        <v>67044</v>
      </c>
      <c r="O17" s="52"/>
      <c r="P17" s="62">
        <f>IS!P17</f>
        <v>14964</v>
      </c>
      <c r="Q17" s="62">
        <f>IS!Q17</f>
        <v>15446</v>
      </c>
      <c r="R17" s="62">
        <f>IS!R17</f>
        <v>16583</v>
      </c>
      <c r="S17" s="62">
        <f>IS!S17</f>
        <v>18991</v>
      </c>
      <c r="T17" s="63">
        <f>IS!T17</f>
        <v>65984</v>
      </c>
      <c r="U17" s="52"/>
      <c r="V17" s="62">
        <f>IS!V17</f>
        <v>15126</v>
      </c>
      <c r="W17" s="62">
        <f>IS!W17</f>
        <v>16693</v>
      </c>
      <c r="X17" s="62">
        <f>IS!X17</f>
        <v>16878</v>
      </c>
      <c r="Y17" s="62">
        <f>IS!Y17</f>
        <v>18874</v>
      </c>
      <c r="Z17" s="63">
        <f>IS!Z17</f>
        <v>67571</v>
      </c>
      <c r="AA17" s="52"/>
      <c r="AB17" s="62">
        <f>IS!AB17</f>
        <v>17195</v>
      </c>
      <c r="AC17" s="62">
        <f>IS!AC17</f>
        <v>18122</v>
      </c>
      <c r="AD17" s="62">
        <f>IS!AD17</f>
        <v>17104</v>
      </c>
      <c r="AE17" s="62">
        <f>IS!AE17</f>
        <v>18622</v>
      </c>
      <c r="AF17" s="63">
        <f>IS!AF17</f>
        <v>71043</v>
      </c>
      <c r="AG17" s="532"/>
      <c r="AH17" s="62">
        <f>IS!AH17</f>
        <v>17963</v>
      </c>
      <c r="AI17" s="62">
        <f>IS!AI17</f>
        <v>18155</v>
      </c>
      <c r="AJ17" s="62">
        <f>IS!AJ17</f>
        <v>25000</v>
      </c>
      <c r="AK17" s="62">
        <f>IS!AK17</f>
        <v>25000</v>
      </c>
      <c r="AL17" s="63">
        <v>73852</v>
      </c>
      <c r="AM17" s="53"/>
      <c r="AN17" s="62">
        <f>IS!AN17</f>
        <v>22000</v>
      </c>
      <c r="AO17" s="62">
        <f>IS!AO17</f>
        <v>22000</v>
      </c>
      <c r="AP17" s="62">
        <f>IS!AP17</f>
        <v>22000</v>
      </c>
      <c r="AQ17" s="62">
        <f>IS!AQ17</f>
        <v>22000</v>
      </c>
      <c r="AR17" s="63">
        <v>81133</v>
      </c>
      <c r="AS17" s="53"/>
      <c r="AT17" s="63">
        <v>88855</v>
      </c>
      <c r="AU17" s="53"/>
      <c r="AV17" s="63">
        <v>94727</v>
      </c>
      <c r="AW17" s="53"/>
      <c r="AX17" s="63">
        <v>97020</v>
      </c>
    </row>
    <row r="18" spans="2:68" ht="15" customHeight="1">
      <c r="AG18" s="203"/>
    </row>
    <row r="19" spans="2:68" ht="15" customHeight="1">
      <c r="B19" s="45" t="s">
        <v>317</v>
      </c>
      <c r="AG19" s="203"/>
    </row>
    <row r="20" spans="2:68" ht="15" customHeight="1">
      <c r="B20" s="25" t="s">
        <v>318</v>
      </c>
      <c r="D20" s="46"/>
      <c r="E20" s="46"/>
      <c r="F20" s="46"/>
      <c r="G20" s="46"/>
      <c r="H20" s="692">
        <v>49012</v>
      </c>
      <c r="I20" s="25"/>
      <c r="J20" s="25" t="s">
        <v>319</v>
      </c>
      <c r="K20" s="25"/>
      <c r="L20" s="25" t="s">
        <v>320</v>
      </c>
      <c r="M20" s="25"/>
      <c r="N20" s="694" t="s">
        <v>319</v>
      </c>
      <c r="O20" s="25"/>
      <c r="P20" s="25" t="s">
        <v>321</v>
      </c>
      <c r="Q20" s="46"/>
      <c r="R20" s="46"/>
      <c r="S20" s="46"/>
      <c r="T20" s="694" t="s">
        <v>320</v>
      </c>
      <c r="U20" s="207"/>
      <c r="V20" s="206"/>
      <c r="W20" s="206"/>
      <c r="X20" s="206"/>
      <c r="Y20" s="206"/>
      <c r="Z20" s="694" t="s">
        <v>322</v>
      </c>
      <c r="AA20" s="207"/>
      <c r="AB20" s="206"/>
      <c r="AC20" s="206"/>
      <c r="AD20" s="206"/>
      <c r="AE20" s="206"/>
      <c r="AF20" s="694" t="s">
        <v>321</v>
      </c>
      <c r="AG20" s="49"/>
      <c r="AH20" s="46"/>
      <c r="AI20" s="46"/>
      <c r="AJ20" s="50"/>
      <c r="AK20" s="50"/>
      <c r="AL20" s="770">
        <v>54215.451494399997</v>
      </c>
      <c r="AM20" s="51"/>
      <c r="AN20" s="50"/>
      <c r="AO20" s="50"/>
      <c r="AP20" s="50"/>
      <c r="AQ20" s="50"/>
      <c r="AR20" s="770">
        <v>59552.032183616007</v>
      </c>
      <c r="AT20" s="786">
        <v>65063.617300774407</v>
      </c>
      <c r="AV20" s="770">
        <v>68989.345084077591</v>
      </c>
      <c r="AW20" s="53"/>
      <c r="AX20" s="786">
        <v>69310.41662647546</v>
      </c>
    </row>
    <row r="21" spans="2:68" ht="15" customHeight="1">
      <c r="B21" s="25" t="s">
        <v>323</v>
      </c>
      <c r="D21" s="46"/>
      <c r="E21" s="46"/>
      <c r="F21" s="46"/>
      <c r="G21" s="46"/>
      <c r="H21" s="692">
        <v>6334</v>
      </c>
      <c r="I21" s="25"/>
      <c r="J21" s="25" t="s">
        <v>324</v>
      </c>
      <c r="K21" s="25"/>
      <c r="L21" s="25" t="s">
        <v>325</v>
      </c>
      <c r="M21" s="25"/>
      <c r="N21" s="694" t="s">
        <v>324</v>
      </c>
      <c r="O21" s="25"/>
      <c r="P21" s="25" t="s">
        <v>326</v>
      </c>
      <c r="Q21" s="46"/>
      <c r="R21" s="46"/>
      <c r="S21" s="46"/>
      <c r="T21" s="694" t="s">
        <v>325</v>
      </c>
      <c r="U21" s="207"/>
      <c r="V21" s="206"/>
      <c r="W21" s="206"/>
      <c r="X21" s="206"/>
      <c r="Y21" s="206"/>
      <c r="Z21" s="694" t="s">
        <v>327</v>
      </c>
      <c r="AA21" s="207"/>
      <c r="AB21" s="206"/>
      <c r="AC21" s="206"/>
      <c r="AD21" s="206"/>
      <c r="AE21" s="206"/>
      <c r="AF21" s="694" t="s">
        <v>326</v>
      </c>
      <c r="AG21" s="49"/>
      <c r="AH21" s="46"/>
      <c r="AI21" s="46"/>
      <c r="AJ21" s="50"/>
      <c r="AK21" s="50"/>
      <c r="AL21" s="770">
        <v>8372.0842439352</v>
      </c>
      <c r="AM21" s="51"/>
      <c r="AN21" s="50"/>
      <c r="AO21" s="50"/>
      <c r="AP21" s="50"/>
      <c r="AQ21" s="50"/>
      <c r="AR21" s="770">
        <v>9699.0818848922372</v>
      </c>
      <c r="AT21" s="786">
        <v>11039.752883191855</v>
      </c>
      <c r="AV21" s="770">
        <v>12098.447574030872</v>
      </c>
      <c r="AW21" s="53"/>
      <c r="AX21" s="786">
        <v>12928.742696072235</v>
      </c>
    </row>
    <row r="22" spans="2:68" ht="15" customHeight="1">
      <c r="B22" s="25" t="s">
        <v>328</v>
      </c>
      <c r="D22" s="46"/>
      <c r="E22" s="46"/>
      <c r="F22" s="46"/>
      <c r="G22" s="46"/>
      <c r="H22" s="692">
        <v>5176</v>
      </c>
      <c r="I22" s="25"/>
      <c r="J22" s="25" t="s">
        <v>329</v>
      </c>
      <c r="K22" s="25"/>
      <c r="L22" s="25" t="s">
        <v>330</v>
      </c>
      <c r="M22" s="25"/>
      <c r="N22" s="694" t="s">
        <v>329</v>
      </c>
      <c r="O22" s="25"/>
      <c r="P22" s="25" t="s">
        <v>331</v>
      </c>
      <c r="Q22" s="46"/>
      <c r="R22" s="46"/>
      <c r="S22" s="46"/>
      <c r="T22" s="694" t="s">
        <v>330</v>
      </c>
      <c r="U22" s="207"/>
      <c r="V22" s="206"/>
      <c r="W22" s="206"/>
      <c r="X22" s="206"/>
      <c r="Y22" s="206"/>
      <c r="Z22" s="694" t="s">
        <v>332</v>
      </c>
      <c r="AA22" s="207"/>
      <c r="AB22" s="206"/>
      <c r="AC22" s="206"/>
      <c r="AD22" s="206"/>
      <c r="AE22" s="206"/>
      <c r="AF22" s="694" t="s">
        <v>331</v>
      </c>
      <c r="AG22" s="49"/>
      <c r="AH22" s="46"/>
      <c r="AI22" s="46"/>
      <c r="AJ22" s="50"/>
      <c r="AK22" s="50"/>
      <c r="AL22" s="786">
        <v>6553.05</v>
      </c>
      <c r="AM22" s="51"/>
      <c r="AN22" s="50"/>
      <c r="AO22" s="50"/>
      <c r="AP22" s="50"/>
      <c r="AQ22" s="50"/>
      <c r="AR22" s="786">
        <v>6880.7025000000003</v>
      </c>
      <c r="AT22" s="786">
        <v>7293.5446500000007</v>
      </c>
      <c r="AV22" s="786">
        <v>7585.2864360000012</v>
      </c>
      <c r="AW22" s="53"/>
      <c r="AX22" s="786">
        <v>7812.845029080001</v>
      </c>
      <c r="BL22" s="770"/>
      <c r="BM22" s="770"/>
      <c r="BN22" s="770"/>
      <c r="BO22" s="770"/>
      <c r="BP22" s="770"/>
    </row>
    <row r="23" spans="2:68" ht="15" customHeight="1">
      <c r="B23" s="25" t="s">
        <v>333</v>
      </c>
      <c r="D23" s="46"/>
      <c r="E23" s="46"/>
      <c r="F23" s="46"/>
      <c r="G23" s="46"/>
      <c r="H23" s="692">
        <v>3940</v>
      </c>
      <c r="I23" s="25"/>
      <c r="J23" s="25" t="s">
        <v>334</v>
      </c>
      <c r="K23" s="25"/>
      <c r="L23" s="25" t="s">
        <v>335</v>
      </c>
      <c r="M23" s="25"/>
      <c r="N23" s="694" t="s">
        <v>334</v>
      </c>
      <c r="O23" s="25"/>
      <c r="P23" s="25" t="s">
        <v>336</v>
      </c>
      <c r="Q23" s="46"/>
      <c r="R23" s="46"/>
      <c r="S23" s="46"/>
      <c r="T23" s="694" t="s">
        <v>335</v>
      </c>
      <c r="U23" s="214"/>
      <c r="V23" s="206"/>
      <c r="W23" s="206"/>
      <c r="X23" s="206"/>
      <c r="Y23" s="206"/>
      <c r="Z23" s="694" t="s">
        <v>337</v>
      </c>
      <c r="AA23" s="214"/>
      <c r="AB23" s="206"/>
      <c r="AC23" s="206"/>
      <c r="AD23" s="206"/>
      <c r="AE23" s="206"/>
      <c r="AF23" s="694" t="s">
        <v>336</v>
      </c>
      <c r="AG23" s="49"/>
      <c r="AH23" s="46"/>
      <c r="AI23" s="46"/>
      <c r="AJ23" s="50"/>
      <c r="AK23" s="50"/>
      <c r="AL23" s="786">
        <v>3228.75</v>
      </c>
      <c r="AM23" s="51"/>
      <c r="AN23" s="50"/>
      <c r="AO23" s="50"/>
      <c r="AP23" s="50"/>
      <c r="AQ23" s="50"/>
      <c r="AR23" s="786">
        <v>3519.3375000000001</v>
      </c>
      <c r="AT23" s="786">
        <v>3976.8513749999997</v>
      </c>
      <c r="AV23" s="786">
        <v>4573.3790812499992</v>
      </c>
      <c r="AW23" s="53"/>
      <c r="AX23" s="786">
        <v>5488.0548974999992</v>
      </c>
      <c r="BL23" s="770"/>
      <c r="BM23" s="770"/>
      <c r="BN23" s="770"/>
      <c r="BO23" s="770"/>
      <c r="BP23" s="770"/>
    </row>
    <row r="24" spans="2:68" ht="15" customHeight="1">
      <c r="B24" s="25" t="s">
        <v>338</v>
      </c>
      <c r="D24" s="46"/>
      <c r="E24" s="46"/>
      <c r="F24" s="46"/>
      <c r="G24" s="46"/>
      <c r="H24" s="692">
        <v>936</v>
      </c>
      <c r="I24" s="25"/>
      <c r="J24" s="25" t="s">
        <v>339</v>
      </c>
      <c r="K24" s="25"/>
      <c r="L24" s="25" t="s">
        <v>340</v>
      </c>
      <c r="M24" s="25"/>
      <c r="N24" s="694" t="s">
        <v>339</v>
      </c>
      <c r="O24" s="25"/>
      <c r="P24" s="25" t="s">
        <v>341</v>
      </c>
      <c r="Q24" s="46"/>
      <c r="R24" s="46"/>
      <c r="S24" s="46"/>
      <c r="T24" s="694" t="s">
        <v>340</v>
      </c>
      <c r="U24" s="214"/>
      <c r="V24" s="206"/>
      <c r="W24" s="206"/>
      <c r="X24" s="206"/>
      <c r="Y24" s="206"/>
      <c r="Z24" s="694" t="s">
        <v>342</v>
      </c>
      <c r="AA24" s="214"/>
      <c r="AB24" s="206"/>
      <c r="AC24" s="206"/>
      <c r="AD24" s="206"/>
      <c r="AE24" s="206"/>
      <c r="AF24" s="694" t="s">
        <v>341</v>
      </c>
      <c r="AG24" s="49"/>
      <c r="AH24" s="46"/>
      <c r="AI24" s="46"/>
      <c r="AJ24" s="50"/>
      <c r="AK24" s="50"/>
      <c r="AL24" s="786">
        <v>1482.4068</v>
      </c>
      <c r="AM24" s="51"/>
      <c r="AN24" s="50"/>
      <c r="AO24" s="50"/>
      <c r="AP24" s="50"/>
      <c r="AQ24" s="50"/>
      <c r="AR24" s="786">
        <v>1481.8138372799999</v>
      </c>
      <c r="AT24" s="786">
        <v>1481.2211117450879</v>
      </c>
      <c r="AV24" s="786">
        <v>1480.6286233003898</v>
      </c>
      <c r="AW24" s="53"/>
      <c r="AX24" s="786">
        <v>1480.0363718510696</v>
      </c>
      <c r="BL24" s="770"/>
      <c r="BM24" s="770"/>
      <c r="BN24" s="770"/>
      <c r="BO24" s="770"/>
      <c r="BP24" s="770"/>
    </row>
    <row r="25" spans="2:68" ht="15" customHeight="1">
      <c r="B25" s="59" t="s">
        <v>316</v>
      </c>
      <c r="D25" s="62">
        <f>IS!D17</f>
        <v>15651</v>
      </c>
      <c r="E25" s="62">
        <f>IS!E17</f>
        <v>16220</v>
      </c>
      <c r="F25" s="62">
        <f>IS!F17</f>
        <v>16495</v>
      </c>
      <c r="G25" s="62">
        <f>IS!G17</f>
        <v>17032</v>
      </c>
      <c r="H25" s="63">
        <f>IS!H17</f>
        <v>65398</v>
      </c>
      <c r="I25" s="96"/>
      <c r="J25" s="62">
        <f>IS!J17</f>
        <v>16258</v>
      </c>
      <c r="K25" s="62">
        <f>IS!K17</f>
        <v>17029</v>
      </c>
      <c r="L25" s="62">
        <f>IS!L17</f>
        <v>16028</v>
      </c>
      <c r="M25" s="62">
        <f>IS!M17</f>
        <v>17729</v>
      </c>
      <c r="N25" s="63">
        <f>IS!N17</f>
        <v>67044</v>
      </c>
      <c r="O25" s="52"/>
      <c r="P25" s="62">
        <f>IS!P17</f>
        <v>14964</v>
      </c>
      <c r="Q25" s="62">
        <f>IS!Q17</f>
        <v>15446</v>
      </c>
      <c r="R25" s="62">
        <f>IS!R17</f>
        <v>16583</v>
      </c>
      <c r="S25" s="62">
        <f>IS!S17</f>
        <v>18991</v>
      </c>
      <c r="T25" s="63">
        <f>IS!T17</f>
        <v>65984</v>
      </c>
      <c r="U25" s="52"/>
      <c r="V25" s="62">
        <f>IS!V17</f>
        <v>15126</v>
      </c>
      <c r="W25" s="62">
        <f>IS!W17</f>
        <v>16693</v>
      </c>
      <c r="X25" s="62">
        <f>IS!X17</f>
        <v>16878</v>
      </c>
      <c r="Y25" s="62">
        <f>IS!Y17</f>
        <v>18874</v>
      </c>
      <c r="Z25" s="63">
        <f>IS!Z17</f>
        <v>67571</v>
      </c>
      <c r="AA25" s="52"/>
      <c r="AB25" s="62">
        <f>IS!AB17</f>
        <v>17195</v>
      </c>
      <c r="AC25" s="62">
        <f>IS!AC17</f>
        <v>18122</v>
      </c>
      <c r="AD25" s="62">
        <f>IS!AD17</f>
        <v>17104</v>
      </c>
      <c r="AE25" s="62">
        <f>IS!AE17</f>
        <v>18622</v>
      </c>
      <c r="AF25" s="63">
        <f>IS!AF17</f>
        <v>71043</v>
      </c>
      <c r="AG25" s="532"/>
      <c r="AH25" s="62">
        <f>IS!AH17</f>
        <v>17963</v>
      </c>
      <c r="AI25" s="62">
        <f>IS!AI17</f>
        <v>18155</v>
      </c>
      <c r="AJ25" s="62">
        <f>IS!AJ17</f>
        <v>25000</v>
      </c>
      <c r="AK25" s="62">
        <f>IS!AK17</f>
        <v>25000</v>
      </c>
      <c r="AL25" s="63">
        <f>AL17</f>
        <v>73852</v>
      </c>
      <c r="AM25" s="53"/>
      <c r="AN25" s="62">
        <f>IS!AN17</f>
        <v>22000</v>
      </c>
      <c r="AO25" s="62">
        <f>IS!AO17</f>
        <v>22000</v>
      </c>
      <c r="AP25" s="62">
        <f>IS!AP17</f>
        <v>22000</v>
      </c>
      <c r="AQ25" s="62">
        <f>IS!AQ17</f>
        <v>22000</v>
      </c>
      <c r="AR25" s="63">
        <f>AR17</f>
        <v>81133</v>
      </c>
      <c r="AS25" s="53"/>
      <c r="AT25" s="63">
        <f>AT17</f>
        <v>88855</v>
      </c>
      <c r="AU25" s="53"/>
      <c r="AV25" s="63">
        <f>AV17</f>
        <v>94727</v>
      </c>
      <c r="AW25" s="53"/>
      <c r="AX25" s="63">
        <f>AX17</f>
        <v>97020</v>
      </c>
      <c r="BL25" s="770"/>
      <c r="BM25" s="770"/>
      <c r="BN25" s="770"/>
      <c r="BO25" s="770"/>
      <c r="BP25" s="770"/>
    </row>
    <row r="26" spans="2:68" ht="15" customHeight="1">
      <c r="AG26" s="203"/>
      <c r="BL26" s="770"/>
      <c r="BM26" s="770"/>
      <c r="BN26" s="770"/>
      <c r="BO26" s="770"/>
      <c r="BP26" s="770"/>
    </row>
    <row r="27" spans="2:68" ht="15" customHeight="1">
      <c r="B27" s="97" t="s">
        <v>343</v>
      </c>
      <c r="AG27" s="203"/>
      <c r="BL27" s="770"/>
      <c r="BM27" s="770"/>
      <c r="BN27" s="770"/>
      <c r="BO27" s="770"/>
      <c r="BP27" s="770"/>
    </row>
    <row r="28" spans="2:68" ht="15" customHeight="1">
      <c r="B28" s="56" t="s">
        <v>344</v>
      </c>
      <c r="D28" s="46"/>
      <c r="E28" s="46"/>
      <c r="F28" s="46"/>
      <c r="G28" s="46"/>
      <c r="J28" s="46"/>
      <c r="K28" s="46"/>
      <c r="L28" s="46"/>
      <c r="M28" s="46"/>
      <c r="P28" s="46"/>
      <c r="Q28" s="46"/>
      <c r="R28" s="46"/>
      <c r="S28" s="46"/>
      <c r="V28" s="46"/>
      <c r="W28" s="46"/>
      <c r="X28" s="46"/>
      <c r="Y28" s="46"/>
      <c r="AB28" s="46"/>
      <c r="AC28" s="46"/>
      <c r="AD28" s="46"/>
      <c r="AE28" s="46"/>
      <c r="AG28" s="203"/>
      <c r="AH28" s="46"/>
      <c r="AI28" s="46"/>
      <c r="AJ28" s="46"/>
      <c r="AK28" s="46"/>
      <c r="AN28" s="46"/>
      <c r="AO28" s="46"/>
      <c r="AP28" s="46"/>
      <c r="AQ28" s="46"/>
      <c r="BL28" s="770"/>
      <c r="BM28" s="770"/>
      <c r="BN28" s="770"/>
      <c r="BO28" s="770"/>
      <c r="BP28" s="770"/>
    </row>
    <row r="29" spans="2:68" ht="15" customHeight="1">
      <c r="B29" s="56" t="s">
        <v>345</v>
      </c>
      <c r="D29" s="46"/>
      <c r="E29" s="46"/>
      <c r="F29" s="46"/>
      <c r="G29" s="46"/>
      <c r="J29" s="46"/>
      <c r="K29" s="46"/>
      <c r="L29" s="46"/>
      <c r="M29" s="46"/>
      <c r="P29" s="46"/>
      <c r="Q29" s="46"/>
      <c r="R29" s="46"/>
      <c r="S29" s="46"/>
      <c r="V29" s="46"/>
      <c r="W29" s="46"/>
      <c r="X29" s="46"/>
      <c r="Y29" s="46"/>
      <c r="AB29" s="46"/>
      <c r="AC29" s="46"/>
      <c r="AD29" s="46"/>
      <c r="AE29" s="46"/>
      <c r="AG29" s="203"/>
      <c r="AH29" s="46"/>
      <c r="AI29" s="46"/>
      <c r="AJ29" s="46"/>
      <c r="AK29" s="46"/>
      <c r="AN29" s="46"/>
      <c r="AO29" s="46"/>
      <c r="AP29" s="46"/>
      <c r="AQ29" s="46"/>
    </row>
    <row r="30" spans="2:68" ht="15" customHeight="1">
      <c r="B30" s="56" t="s">
        <v>346</v>
      </c>
      <c r="D30" s="46"/>
      <c r="E30" s="46"/>
      <c r="F30" s="46"/>
      <c r="G30" s="46"/>
      <c r="J30" s="46"/>
      <c r="K30" s="46"/>
      <c r="L30" s="46"/>
      <c r="M30" s="46"/>
      <c r="P30" s="46"/>
      <c r="Q30" s="46"/>
      <c r="R30" s="46"/>
      <c r="S30" s="46"/>
      <c r="V30" s="46"/>
      <c r="W30" s="46"/>
      <c r="X30" s="46"/>
      <c r="Y30" s="46"/>
      <c r="AB30" s="46"/>
      <c r="AC30" s="46"/>
      <c r="AD30" s="46"/>
      <c r="AE30" s="46"/>
      <c r="AG30" s="203"/>
      <c r="AH30" s="46"/>
      <c r="AI30" s="46"/>
      <c r="AJ30" s="46"/>
      <c r="AK30" s="46"/>
      <c r="AN30" s="46"/>
      <c r="AO30" s="46"/>
      <c r="AP30" s="46"/>
      <c r="AQ30" s="46"/>
    </row>
    <row r="31" spans="2:68" ht="15" customHeight="1">
      <c r="B31" s="56" t="s">
        <v>347</v>
      </c>
      <c r="D31" s="46"/>
      <c r="E31" s="46"/>
      <c r="F31" s="46"/>
      <c r="G31" s="46"/>
      <c r="J31" s="46"/>
      <c r="K31" s="46"/>
      <c r="L31" s="46"/>
      <c r="M31" s="46"/>
      <c r="P31" s="46"/>
      <c r="Q31" s="46"/>
      <c r="R31" s="46"/>
      <c r="S31" s="46"/>
      <c r="V31" s="46"/>
      <c r="W31" s="46"/>
      <c r="X31" s="46"/>
      <c r="Y31" s="46"/>
      <c r="AB31" s="46"/>
      <c r="AC31" s="46"/>
      <c r="AD31" s="46"/>
      <c r="AE31" s="46"/>
      <c r="AG31" s="203"/>
      <c r="AH31" s="46"/>
      <c r="AI31" s="46"/>
      <c r="AJ31" s="46"/>
      <c r="AK31" s="46"/>
      <c r="AN31" s="46"/>
      <c r="AO31" s="46"/>
      <c r="AP31" s="46"/>
      <c r="AQ31" s="46"/>
    </row>
    <row r="32" spans="2:68" ht="15" customHeight="1">
      <c r="B32" s="56" t="s">
        <v>348</v>
      </c>
      <c r="D32" s="46"/>
      <c r="E32" s="46"/>
      <c r="F32" s="46"/>
      <c r="G32" s="46"/>
      <c r="J32" s="46"/>
      <c r="K32" s="46"/>
      <c r="L32" s="46"/>
      <c r="M32" s="46"/>
      <c r="P32" s="46"/>
      <c r="Q32" s="46"/>
      <c r="R32" s="46"/>
      <c r="S32" s="46"/>
      <c r="V32" s="46"/>
      <c r="W32" s="46"/>
      <c r="X32" s="46"/>
      <c r="Y32" s="46"/>
      <c r="AB32" s="46"/>
      <c r="AC32" s="46"/>
      <c r="AD32" s="46"/>
      <c r="AE32" s="46"/>
      <c r="AG32" s="203"/>
      <c r="AH32" s="46"/>
      <c r="AI32" s="46"/>
      <c r="AJ32" s="46"/>
      <c r="AK32" s="46"/>
      <c r="AN32" s="46"/>
      <c r="AO32" s="46"/>
      <c r="AP32" s="46"/>
      <c r="AQ32" s="46"/>
      <c r="BF32" s="770"/>
    </row>
    <row r="33" spans="1:60" ht="15" customHeight="1">
      <c r="BF33" s="770"/>
    </row>
    <row r="34" spans="1:60" ht="15" customHeight="1">
      <c r="A34" s="44" t="s">
        <v>41</v>
      </c>
      <c r="B34" s="161" t="s">
        <v>349</v>
      </c>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BF34" s="770"/>
    </row>
    <row r="35" spans="1:60" ht="15" customHeight="1">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BF35" s="770"/>
    </row>
    <row r="36" spans="1:60" ht="15" customHeight="1">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BF36" s="770"/>
    </row>
    <row r="37" spans="1:60" ht="3.95" customHeight="1">
      <c r="B37" s="176"/>
      <c r="C37" s="176"/>
      <c r="D37" s="176"/>
      <c r="E37" s="176"/>
      <c r="F37" s="176"/>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BF37" s="770"/>
    </row>
    <row r="38" spans="1:60" ht="3.95" customHeight="1">
      <c r="BF38" s="770"/>
    </row>
    <row r="39" spans="1:60" s="825" customFormat="1" ht="19.5" customHeight="1">
      <c r="B39" s="846" t="s">
        <v>350</v>
      </c>
      <c r="C39" s="826"/>
      <c r="D39" s="827"/>
      <c r="E39" s="827"/>
      <c r="F39" s="827"/>
      <c r="G39" s="827"/>
      <c r="H39" s="834" t="s">
        <v>351</v>
      </c>
      <c r="I39" s="835"/>
      <c r="J39" s="835"/>
      <c r="K39" s="835"/>
      <c r="L39" s="835"/>
      <c r="M39" s="835"/>
      <c r="N39" s="835"/>
      <c r="O39" s="835"/>
      <c r="P39" s="835"/>
      <c r="Q39" s="835"/>
      <c r="R39" s="835"/>
      <c r="S39" s="835"/>
      <c r="T39" s="835"/>
      <c r="U39" s="835"/>
      <c r="V39" s="835"/>
      <c r="W39" s="835"/>
      <c r="X39" s="835"/>
      <c r="Y39" s="835"/>
      <c r="Z39" s="835"/>
      <c r="AA39" s="835"/>
      <c r="AB39" s="835"/>
      <c r="AC39" s="835"/>
      <c r="AD39" s="835"/>
      <c r="AE39" s="835"/>
      <c r="AF39" s="835"/>
      <c r="AG39" s="835"/>
      <c r="AH39" s="835"/>
      <c r="AI39" s="835"/>
      <c r="AJ39" s="835"/>
      <c r="AK39" s="835"/>
      <c r="AL39" s="835"/>
      <c r="AM39" s="835"/>
      <c r="AN39" s="835"/>
      <c r="AO39" s="835"/>
      <c r="AP39" s="835"/>
      <c r="AQ39" s="835"/>
      <c r="AR39" s="835"/>
      <c r="AS39" s="835"/>
      <c r="AT39" s="835"/>
      <c r="AU39" s="835"/>
      <c r="AV39" s="835"/>
      <c r="AW39" s="828"/>
      <c r="AX39" s="828"/>
      <c r="BF39" s="829"/>
      <c r="BG39" s="829"/>
      <c r="BH39" s="829"/>
    </row>
    <row r="40" spans="1:60" s="825" customFormat="1" ht="19.5" customHeight="1">
      <c r="B40" s="846"/>
      <c r="C40" s="830"/>
      <c r="D40" s="827"/>
      <c r="E40" s="827"/>
      <c r="F40" s="827"/>
      <c r="G40" s="827"/>
      <c r="H40" s="836" t="s">
        <v>352</v>
      </c>
      <c r="I40" s="835"/>
      <c r="J40" s="835"/>
      <c r="K40" s="835"/>
      <c r="L40" s="835"/>
      <c r="M40" s="835"/>
      <c r="N40" s="835"/>
      <c r="O40" s="835"/>
      <c r="P40" s="835"/>
      <c r="Q40" s="835"/>
      <c r="R40" s="835"/>
      <c r="S40" s="835"/>
      <c r="T40" s="835"/>
      <c r="U40" s="835"/>
      <c r="V40" s="835"/>
      <c r="W40" s="835"/>
      <c r="X40" s="835"/>
      <c r="Y40" s="835"/>
      <c r="Z40" s="835"/>
      <c r="AA40" s="835"/>
      <c r="AB40" s="835"/>
      <c r="AC40" s="835"/>
      <c r="AD40" s="835"/>
      <c r="AE40" s="835"/>
      <c r="AF40" s="835"/>
      <c r="AG40" s="835"/>
      <c r="AH40" s="835"/>
      <c r="AI40" s="835"/>
      <c r="AJ40" s="835"/>
      <c r="AK40" s="835"/>
      <c r="AL40" s="835"/>
      <c r="AM40" s="835"/>
      <c r="AN40" s="835"/>
      <c r="AO40" s="835"/>
      <c r="AP40" s="835"/>
      <c r="AQ40" s="835"/>
      <c r="AR40" s="835"/>
      <c r="AS40" s="835"/>
      <c r="AT40" s="835"/>
      <c r="AU40" s="835"/>
      <c r="AV40" s="835"/>
      <c r="AW40" s="831"/>
      <c r="AX40" s="831"/>
    </row>
    <row r="41" spans="1:60" s="829" customFormat="1" ht="19.5" customHeight="1">
      <c r="B41" s="846" t="s">
        <v>353</v>
      </c>
      <c r="C41" s="826"/>
      <c r="D41" s="827"/>
      <c r="E41" s="827"/>
      <c r="F41" s="827"/>
      <c r="G41" s="827"/>
      <c r="H41" s="837" t="s">
        <v>354</v>
      </c>
      <c r="I41" s="838"/>
      <c r="J41" s="838"/>
      <c r="K41" s="838"/>
      <c r="L41" s="838"/>
      <c r="M41" s="838"/>
      <c r="N41" s="838"/>
      <c r="O41" s="838"/>
      <c r="P41" s="838"/>
      <c r="Q41" s="838"/>
      <c r="R41" s="838"/>
      <c r="S41" s="838"/>
      <c r="T41" s="838"/>
      <c r="U41" s="838"/>
      <c r="V41" s="838"/>
      <c r="W41" s="838"/>
      <c r="X41" s="838"/>
      <c r="Y41" s="838"/>
      <c r="Z41" s="838"/>
      <c r="AA41" s="838"/>
      <c r="AB41" s="838"/>
      <c r="AC41" s="838"/>
      <c r="AD41" s="838"/>
      <c r="AE41" s="838"/>
      <c r="AF41" s="838"/>
      <c r="AG41" s="838"/>
      <c r="AH41" s="838"/>
      <c r="AI41" s="838"/>
      <c r="AJ41" s="838"/>
      <c r="AK41" s="838"/>
      <c r="AL41" s="838"/>
      <c r="AM41" s="838"/>
      <c r="AN41" s="838"/>
      <c r="AO41" s="838"/>
      <c r="AP41" s="838"/>
      <c r="AQ41" s="838"/>
      <c r="AR41" s="838"/>
      <c r="AS41" s="838"/>
      <c r="AT41" s="838"/>
      <c r="AU41" s="838"/>
      <c r="AV41" s="838"/>
      <c r="AW41" s="828"/>
      <c r="AX41" s="828"/>
    </row>
    <row r="42" spans="1:60" s="829" customFormat="1" ht="19.5" customHeight="1">
      <c r="B42" s="846"/>
      <c r="C42" s="826"/>
      <c r="D42" s="827"/>
      <c r="E42" s="827"/>
      <c r="F42" s="827"/>
      <c r="G42" s="827"/>
      <c r="H42" s="836" t="s">
        <v>355</v>
      </c>
      <c r="I42" s="838"/>
      <c r="J42" s="838"/>
      <c r="K42" s="838"/>
      <c r="L42" s="838"/>
      <c r="M42" s="838"/>
      <c r="N42" s="838"/>
      <c r="O42" s="838"/>
      <c r="P42" s="838"/>
      <c r="Q42" s="838"/>
      <c r="R42" s="838"/>
      <c r="S42" s="838"/>
      <c r="T42" s="838"/>
      <c r="U42" s="838"/>
      <c r="V42" s="838"/>
      <c r="W42" s="838"/>
      <c r="X42" s="838"/>
      <c r="Y42" s="838"/>
      <c r="Z42" s="838"/>
      <c r="AA42" s="838"/>
      <c r="AB42" s="838"/>
      <c r="AC42" s="838"/>
      <c r="AD42" s="838"/>
      <c r="AE42" s="838"/>
      <c r="AF42" s="838"/>
      <c r="AG42" s="838"/>
      <c r="AH42" s="838"/>
      <c r="AI42" s="838"/>
      <c r="AJ42" s="838"/>
      <c r="AK42" s="838"/>
      <c r="AL42" s="838"/>
      <c r="AM42" s="838"/>
      <c r="AN42" s="838"/>
      <c r="AO42" s="838"/>
      <c r="AP42" s="838"/>
      <c r="AQ42" s="838"/>
      <c r="AR42" s="838"/>
      <c r="AS42" s="838"/>
      <c r="AT42" s="838"/>
      <c r="AU42" s="838"/>
      <c r="AV42" s="838"/>
      <c r="AW42" s="828"/>
      <c r="AX42" s="828"/>
    </row>
    <row r="43" spans="1:60" s="829" customFormat="1" ht="19.5" customHeight="1">
      <c r="B43" s="846"/>
      <c r="C43" s="826"/>
      <c r="D43" s="827"/>
      <c r="E43" s="827"/>
      <c r="F43" s="827"/>
      <c r="G43" s="827"/>
      <c r="H43" s="839" t="s">
        <v>356</v>
      </c>
      <c r="I43" s="838"/>
      <c r="J43" s="838"/>
      <c r="K43" s="838"/>
      <c r="L43" s="838"/>
      <c r="M43" s="838"/>
      <c r="N43" s="838"/>
      <c r="O43" s="838"/>
      <c r="P43" s="838"/>
      <c r="Q43" s="838"/>
      <c r="R43" s="838"/>
      <c r="S43" s="838"/>
      <c r="T43" s="838"/>
      <c r="U43" s="838"/>
      <c r="V43" s="838"/>
      <c r="W43" s="838"/>
      <c r="X43" s="838"/>
      <c r="Y43" s="838"/>
      <c r="Z43" s="838"/>
      <c r="AA43" s="838"/>
      <c r="AB43" s="838"/>
      <c r="AC43" s="838"/>
      <c r="AD43" s="838"/>
      <c r="AE43" s="838"/>
      <c r="AF43" s="838"/>
      <c r="AG43" s="838"/>
      <c r="AH43" s="838"/>
      <c r="AI43" s="838"/>
      <c r="AJ43" s="838"/>
      <c r="AK43" s="838"/>
      <c r="AL43" s="838"/>
      <c r="AM43" s="838"/>
      <c r="AN43" s="838"/>
      <c r="AO43" s="838"/>
      <c r="AP43" s="838"/>
      <c r="AQ43" s="838"/>
      <c r="AR43" s="838"/>
      <c r="AS43" s="838"/>
      <c r="AT43" s="838"/>
      <c r="AU43" s="838"/>
      <c r="AV43" s="838"/>
      <c r="AW43" s="828"/>
      <c r="AX43" s="828"/>
    </row>
    <row r="44" spans="1:60" s="829" customFormat="1" ht="19.5" customHeight="1">
      <c r="B44" s="847"/>
      <c r="C44" s="832"/>
      <c r="H44" s="840" t="s">
        <v>357</v>
      </c>
      <c r="I44" s="838"/>
      <c r="J44" s="838"/>
      <c r="K44" s="838"/>
      <c r="L44" s="838"/>
      <c r="M44" s="838"/>
      <c r="N44" s="838"/>
      <c r="O44" s="838"/>
      <c r="P44" s="838"/>
      <c r="Q44" s="838"/>
      <c r="R44" s="838"/>
      <c r="S44" s="838"/>
      <c r="T44" s="838"/>
      <c r="U44" s="838"/>
      <c r="V44" s="838"/>
      <c r="W44" s="838"/>
      <c r="X44" s="838"/>
      <c r="Y44" s="838"/>
      <c r="Z44" s="838"/>
      <c r="AA44" s="838"/>
      <c r="AB44" s="838"/>
      <c r="AC44" s="838"/>
      <c r="AD44" s="838"/>
      <c r="AE44" s="838"/>
      <c r="AF44" s="838"/>
      <c r="AG44" s="838"/>
      <c r="AH44" s="838"/>
      <c r="AI44" s="838"/>
      <c r="AJ44" s="838"/>
      <c r="AK44" s="838"/>
      <c r="AL44" s="838"/>
      <c r="AM44" s="838"/>
      <c r="AN44" s="838"/>
      <c r="AO44" s="838"/>
      <c r="AP44" s="838"/>
      <c r="AQ44" s="838"/>
      <c r="AR44" s="838"/>
      <c r="AS44" s="838"/>
      <c r="AT44" s="838"/>
      <c r="AU44" s="838"/>
      <c r="AV44" s="838"/>
      <c r="AW44" s="828"/>
      <c r="AX44" s="828"/>
    </row>
    <row r="45" spans="1:60" s="829" customFormat="1" ht="19.5" customHeight="1">
      <c r="B45" s="847"/>
      <c r="C45" s="832"/>
      <c r="H45" s="839" t="s">
        <v>358</v>
      </c>
      <c r="I45" s="838"/>
      <c r="J45" s="838"/>
      <c r="K45" s="838"/>
      <c r="L45" s="838"/>
      <c r="M45" s="838"/>
      <c r="N45" s="838"/>
      <c r="O45" s="838"/>
      <c r="P45" s="838"/>
      <c r="Q45" s="838"/>
      <c r="R45" s="838"/>
      <c r="S45" s="838"/>
      <c r="T45" s="838"/>
      <c r="U45" s="838"/>
      <c r="V45" s="838"/>
      <c r="W45" s="838"/>
      <c r="X45" s="838"/>
      <c r="Y45" s="838"/>
      <c r="Z45" s="838"/>
      <c r="AA45" s="838"/>
      <c r="AB45" s="838"/>
      <c r="AC45" s="838"/>
      <c r="AD45" s="838"/>
      <c r="AE45" s="838"/>
      <c r="AF45" s="838"/>
      <c r="AG45" s="838"/>
      <c r="AH45" s="838"/>
      <c r="AI45" s="838"/>
      <c r="AJ45" s="838"/>
      <c r="AK45" s="838"/>
      <c r="AL45" s="838"/>
      <c r="AM45" s="838"/>
      <c r="AN45" s="838"/>
      <c r="AO45" s="838"/>
      <c r="AP45" s="838"/>
      <c r="AQ45" s="838"/>
      <c r="AR45" s="838"/>
      <c r="AS45" s="838"/>
      <c r="AT45" s="838"/>
      <c r="AU45" s="838"/>
      <c r="AV45" s="838"/>
      <c r="AW45" s="828"/>
      <c r="AX45" s="828"/>
    </row>
    <row r="46" spans="1:60" s="829" customFormat="1" ht="19.5" customHeight="1">
      <c r="B46" s="847"/>
      <c r="C46" s="832"/>
      <c r="H46" s="840" t="s">
        <v>359</v>
      </c>
      <c r="I46" s="841"/>
      <c r="J46" s="841"/>
      <c r="K46" s="841"/>
      <c r="L46" s="841"/>
      <c r="M46" s="841"/>
      <c r="N46" s="841"/>
      <c r="O46" s="841"/>
      <c r="P46" s="841"/>
      <c r="Q46" s="841"/>
      <c r="R46" s="841"/>
      <c r="S46" s="841"/>
      <c r="T46" s="841"/>
      <c r="U46" s="841"/>
      <c r="V46" s="841"/>
      <c r="W46" s="841"/>
      <c r="X46" s="841"/>
      <c r="Y46" s="841"/>
      <c r="Z46" s="841"/>
      <c r="AA46" s="841"/>
      <c r="AB46" s="841"/>
      <c r="AC46" s="841"/>
      <c r="AD46" s="841"/>
      <c r="AE46" s="841"/>
      <c r="AF46" s="841"/>
      <c r="AG46" s="841"/>
      <c r="AH46" s="841"/>
      <c r="AI46" s="841"/>
      <c r="AJ46" s="841"/>
      <c r="AK46" s="841"/>
      <c r="AL46" s="841"/>
      <c r="AM46" s="841"/>
      <c r="AN46" s="841"/>
      <c r="AO46" s="841"/>
      <c r="AP46" s="841"/>
      <c r="AQ46" s="841"/>
      <c r="AR46" s="841"/>
      <c r="AS46" s="841"/>
      <c r="AT46" s="841"/>
      <c r="AU46" s="841"/>
      <c r="AV46" s="841"/>
      <c r="AW46" s="828"/>
      <c r="AX46" s="828"/>
    </row>
    <row r="47" spans="1:60" s="829" customFormat="1" ht="19.5" customHeight="1">
      <c r="B47" s="847"/>
      <c r="C47" s="832"/>
      <c r="H47" s="839" t="s">
        <v>360</v>
      </c>
      <c r="I47" s="841"/>
      <c r="J47" s="841"/>
      <c r="K47" s="841"/>
      <c r="L47" s="841"/>
      <c r="M47" s="841"/>
      <c r="N47" s="841"/>
      <c r="O47" s="841"/>
      <c r="P47" s="841"/>
      <c r="Q47" s="841"/>
      <c r="R47" s="841"/>
      <c r="S47" s="841"/>
      <c r="T47" s="841"/>
      <c r="U47" s="841"/>
      <c r="V47" s="841"/>
      <c r="W47" s="841"/>
      <c r="X47" s="841"/>
      <c r="Y47" s="841"/>
      <c r="Z47" s="841"/>
      <c r="AA47" s="841"/>
      <c r="AB47" s="841"/>
      <c r="AC47" s="841"/>
      <c r="AD47" s="841"/>
      <c r="AE47" s="841"/>
      <c r="AF47" s="841"/>
      <c r="AG47" s="841"/>
      <c r="AH47" s="841"/>
      <c r="AI47" s="841"/>
      <c r="AJ47" s="841"/>
      <c r="AK47" s="841"/>
      <c r="AL47" s="841"/>
      <c r="AM47" s="841"/>
      <c r="AN47" s="841"/>
      <c r="AO47" s="841"/>
      <c r="AP47" s="841"/>
      <c r="AQ47" s="841"/>
      <c r="AR47" s="841"/>
      <c r="AS47" s="841"/>
      <c r="AT47" s="841"/>
      <c r="AU47" s="841"/>
      <c r="AV47" s="841"/>
      <c r="AW47" s="828"/>
      <c r="AX47" s="828"/>
    </row>
    <row r="48" spans="1:60" s="829" customFormat="1" ht="19.5" customHeight="1">
      <c r="B48" s="847"/>
      <c r="C48" s="832"/>
      <c r="H48" s="840" t="s">
        <v>361</v>
      </c>
      <c r="I48" s="841"/>
      <c r="J48" s="841"/>
      <c r="K48" s="841"/>
      <c r="L48" s="841"/>
      <c r="M48" s="841"/>
      <c r="N48" s="841"/>
      <c r="O48" s="841"/>
      <c r="P48" s="841"/>
      <c r="Q48" s="841"/>
      <c r="R48" s="841"/>
      <c r="S48" s="841"/>
      <c r="T48" s="841"/>
      <c r="U48" s="841"/>
      <c r="V48" s="841"/>
      <c r="W48" s="841"/>
      <c r="X48" s="841"/>
      <c r="Y48" s="841"/>
      <c r="Z48" s="841"/>
      <c r="AA48" s="841"/>
      <c r="AB48" s="841"/>
      <c r="AC48" s="841"/>
      <c r="AD48" s="841"/>
      <c r="AE48" s="841"/>
      <c r="AF48" s="841"/>
      <c r="AG48" s="841"/>
      <c r="AH48" s="841"/>
      <c r="AI48" s="841"/>
      <c r="AJ48" s="841"/>
      <c r="AK48" s="841"/>
      <c r="AL48" s="841"/>
      <c r="AM48" s="841"/>
      <c r="AN48" s="841"/>
      <c r="AO48" s="841"/>
      <c r="AP48" s="841"/>
      <c r="AQ48" s="841"/>
      <c r="AR48" s="841"/>
      <c r="AS48" s="841"/>
      <c r="AT48" s="841"/>
      <c r="AU48" s="841"/>
      <c r="AV48" s="841"/>
      <c r="AW48" s="828"/>
      <c r="AX48" s="828"/>
    </row>
    <row r="49" spans="2:50" s="829" customFormat="1" ht="19.5" customHeight="1">
      <c r="B49" s="846" t="s">
        <v>362</v>
      </c>
      <c r="C49" s="832"/>
      <c r="H49" s="842" t="s">
        <v>363</v>
      </c>
      <c r="I49" s="841"/>
      <c r="J49" s="841"/>
      <c r="K49" s="841"/>
      <c r="L49" s="841"/>
      <c r="M49" s="841"/>
      <c r="N49" s="841"/>
      <c r="O49" s="841"/>
      <c r="P49" s="841"/>
      <c r="Q49" s="841"/>
      <c r="R49" s="841"/>
      <c r="S49" s="841"/>
      <c r="T49" s="841"/>
      <c r="U49" s="841"/>
      <c r="V49" s="841"/>
      <c r="W49" s="841"/>
      <c r="X49" s="841"/>
      <c r="Y49" s="841"/>
      <c r="Z49" s="841"/>
      <c r="AA49" s="841"/>
      <c r="AB49" s="841"/>
      <c r="AC49" s="841"/>
      <c r="AD49" s="841"/>
      <c r="AE49" s="841"/>
      <c r="AF49" s="841"/>
      <c r="AG49" s="841"/>
      <c r="AH49" s="841"/>
      <c r="AI49" s="841"/>
      <c r="AJ49" s="841"/>
      <c r="AK49" s="841"/>
      <c r="AL49" s="841"/>
      <c r="AM49" s="841"/>
      <c r="AN49" s="841"/>
      <c r="AO49" s="841"/>
      <c r="AP49" s="841"/>
      <c r="AQ49" s="841"/>
      <c r="AR49" s="841"/>
      <c r="AS49" s="841"/>
      <c r="AT49" s="841"/>
      <c r="AU49" s="841"/>
      <c r="AV49" s="841"/>
      <c r="AW49" s="828"/>
      <c r="AX49" s="828"/>
    </row>
    <row r="50" spans="2:50" s="829" customFormat="1" ht="19.5" customHeight="1">
      <c r="B50" s="848"/>
      <c r="C50" s="832"/>
      <c r="H50" s="849" t="s">
        <v>364</v>
      </c>
      <c r="I50" s="841"/>
      <c r="J50" s="841"/>
      <c r="K50" s="841"/>
      <c r="L50" s="841"/>
      <c r="M50" s="841"/>
      <c r="N50" s="841"/>
      <c r="O50" s="841"/>
      <c r="P50" s="841"/>
      <c r="Q50" s="841"/>
      <c r="R50" s="841"/>
      <c r="S50" s="841"/>
      <c r="T50" s="841"/>
      <c r="U50" s="841"/>
      <c r="V50" s="841"/>
      <c r="W50" s="841"/>
      <c r="X50" s="841"/>
      <c r="Y50" s="841"/>
      <c r="Z50" s="841"/>
      <c r="AA50" s="841"/>
      <c r="AB50" s="841"/>
      <c r="AC50" s="841"/>
      <c r="AD50" s="841"/>
      <c r="AE50" s="841"/>
      <c r="AF50" s="841"/>
      <c r="AG50" s="841"/>
      <c r="AH50" s="841"/>
      <c r="AI50" s="841"/>
      <c r="AJ50" s="841"/>
      <c r="AK50" s="841"/>
      <c r="AL50" s="841"/>
      <c r="AM50" s="841"/>
      <c r="AN50" s="841"/>
      <c r="AO50" s="841"/>
      <c r="AP50" s="841"/>
      <c r="AQ50" s="841"/>
      <c r="AR50" s="841"/>
      <c r="AS50" s="841"/>
      <c r="AT50" s="841"/>
      <c r="AU50" s="841"/>
      <c r="AV50" s="841"/>
      <c r="AW50" s="828"/>
      <c r="AX50" s="828"/>
    </row>
    <row r="51" spans="2:50" s="829" customFormat="1" ht="19.5" customHeight="1">
      <c r="B51" s="833"/>
      <c r="C51" s="825"/>
      <c r="H51" s="836" t="s">
        <v>365</v>
      </c>
      <c r="I51" s="843"/>
      <c r="J51" s="844"/>
      <c r="K51" s="844"/>
      <c r="L51" s="844"/>
      <c r="M51" s="844"/>
      <c r="N51" s="844"/>
      <c r="O51" s="843"/>
      <c r="P51" s="844"/>
      <c r="Q51" s="844"/>
      <c r="R51" s="844"/>
      <c r="S51" s="844"/>
      <c r="T51" s="844"/>
      <c r="U51" s="843"/>
      <c r="V51" s="844"/>
      <c r="W51" s="844"/>
      <c r="X51" s="844"/>
      <c r="Y51" s="844"/>
      <c r="Z51" s="844"/>
      <c r="AA51" s="843"/>
      <c r="AB51" s="844"/>
      <c r="AC51" s="844"/>
      <c r="AD51" s="844"/>
      <c r="AE51" s="844"/>
      <c r="AF51" s="844"/>
      <c r="AG51" s="843"/>
      <c r="AH51" s="844"/>
      <c r="AI51" s="844"/>
      <c r="AJ51" s="844"/>
      <c r="AK51" s="844"/>
      <c r="AL51" s="844"/>
      <c r="AM51" s="843"/>
      <c r="AN51" s="844"/>
      <c r="AO51" s="844"/>
      <c r="AP51" s="844"/>
      <c r="AQ51" s="844"/>
      <c r="AR51" s="844"/>
      <c r="AS51" s="843"/>
      <c r="AT51" s="844"/>
      <c r="AU51" s="843"/>
      <c r="AV51" s="845"/>
      <c r="AW51" s="825"/>
    </row>
    <row r="52" spans="2:50" ht="34.5" customHeight="1">
      <c r="B52" s="753"/>
      <c r="H52" s="783"/>
      <c r="I52" s="750"/>
      <c r="J52" s="751"/>
      <c r="K52" s="751"/>
      <c r="L52" s="751"/>
      <c r="M52" s="751"/>
      <c r="N52" s="751"/>
      <c r="O52" s="750"/>
      <c r="P52" s="751"/>
      <c r="Q52" s="751"/>
      <c r="R52" s="751"/>
      <c r="S52" s="751"/>
      <c r="T52" s="751"/>
      <c r="U52" s="750"/>
      <c r="V52" s="751"/>
      <c r="W52" s="751"/>
      <c r="X52" s="751"/>
      <c r="Y52" s="751"/>
      <c r="Z52" s="751"/>
      <c r="AA52" s="750"/>
      <c r="AB52" s="751"/>
      <c r="AC52" s="751"/>
      <c r="AD52" s="751"/>
      <c r="AE52" s="751"/>
      <c r="AF52" s="751"/>
      <c r="AG52" s="750"/>
      <c r="AH52" s="751"/>
      <c r="AI52" s="751"/>
      <c r="AJ52" s="751"/>
      <c r="AK52" s="751"/>
      <c r="AL52" s="751"/>
      <c r="AM52" s="750"/>
      <c r="AN52" s="751"/>
      <c r="AO52" s="751"/>
      <c r="AP52" s="751"/>
      <c r="AQ52" s="751"/>
      <c r="AR52" s="751"/>
      <c r="AS52" s="750"/>
      <c r="AT52" s="751"/>
      <c r="AU52" s="750"/>
      <c r="AV52" s="752"/>
      <c r="AW52" s="750"/>
      <c r="AX52" s="751"/>
    </row>
    <row r="54" spans="2:50" ht="15" customHeight="1">
      <c r="H54" s="205"/>
    </row>
    <row r="55" spans="2:50" ht="15" customHeight="1">
      <c r="H55" s="784"/>
    </row>
    <row r="56" spans="2:50" ht="15" customHeight="1">
      <c r="H56" s="782"/>
    </row>
    <row r="57" spans="2:50" ht="15" customHeight="1">
      <c r="H57" s="782"/>
    </row>
    <row r="58" spans="2:50" ht="15" customHeight="1">
      <c r="H58" s="782"/>
    </row>
    <row r="59" spans="2:50" ht="15" customHeight="1">
      <c r="H59" s="782"/>
    </row>
    <row r="60" spans="2:50" ht="15" customHeight="1">
      <c r="H60" s="782"/>
    </row>
    <row r="70" spans="52:52" ht="15" customHeight="1">
      <c r="AZ70" s="97" t="s">
        <v>366</v>
      </c>
    </row>
  </sheetData>
  <mergeCells count="7">
    <mergeCell ref="AN8:AR8"/>
    <mergeCell ref="D8:H8"/>
    <mergeCell ref="J8:N8"/>
    <mergeCell ref="P8:T8"/>
    <mergeCell ref="V8:Z8"/>
    <mergeCell ref="AB8:AF8"/>
    <mergeCell ref="AH8:AL8"/>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R91"/>
  <sheetViews>
    <sheetView showGridLines="0" topLeftCell="A4" zoomScale="85" zoomScaleNormal="85" workbookViewId="0">
      <selection activeCell="T46" sqref="T46"/>
    </sheetView>
  </sheetViews>
  <sheetFormatPr defaultColWidth="11.625" defaultRowHeight="15" customHeight="1"/>
  <cols>
    <col min="1" max="1" width="2.125" style="23" customWidth="1"/>
    <col min="2" max="2" width="31.125" style="23" customWidth="1"/>
    <col min="3" max="4" width="12.375" style="23" customWidth="1"/>
    <col min="5" max="5" width="16" style="23" customWidth="1"/>
    <col min="6" max="6" width="17.375" style="23" customWidth="1"/>
    <col min="7" max="18" width="12.375" style="23" customWidth="1"/>
    <col min="19" max="16384" width="11.625" style="23"/>
  </cols>
  <sheetData>
    <row r="1" spans="1:17" s="573" customFormat="1" ht="15" customHeight="1"/>
    <row r="2" spans="1:17" s="573" customFormat="1" ht="15" customHeight="1"/>
    <row r="3" spans="1:17" s="573" customFormat="1" ht="15" customHeight="1"/>
    <row r="4" spans="1:17" s="573" customFormat="1" ht="15" customHeight="1"/>
    <row r="5" spans="1:17" s="36" customFormat="1" ht="3.95" customHeight="1"/>
    <row r="7" spans="1:17" ht="15" customHeight="1">
      <c r="B7" s="583"/>
      <c r="C7" s="895" t="e" vm="1">
        <v>#VALUE!</v>
      </c>
      <c r="D7" s="894" t="e" vm="2">
        <v>#VALUE!</v>
      </c>
      <c r="E7" s="894" t="e" vm="3">
        <v>#VALUE!</v>
      </c>
      <c r="F7" s="894" t="e" vm="4">
        <v>#VALUE!</v>
      </c>
      <c r="G7" s="894" t="e" vm="5">
        <v>#VALUE!</v>
      </c>
      <c r="H7" s="894" t="e" vm="6">
        <v>#VALUE!</v>
      </c>
      <c r="I7" s="896" t="e" vm="7">
        <v>#VALUE!</v>
      </c>
      <c r="J7" s="894" t="e" vm="8">
        <v>#VALUE!</v>
      </c>
      <c r="K7" s="894" t="e" vm="9">
        <v>#VALUE!</v>
      </c>
      <c r="L7" s="894" t="e" vm="10">
        <v>#VALUE!</v>
      </c>
      <c r="M7" s="894" t="e" vm="11">
        <v>#VALUE!</v>
      </c>
      <c r="N7" s="894" t="e" vm="12">
        <v>#VALUE!</v>
      </c>
      <c r="O7" s="894" t="e" vm="13">
        <v>#VALUE!</v>
      </c>
      <c r="P7" s="894" t="e" vm="14">
        <v>#VALUE!</v>
      </c>
      <c r="Q7" s="894" t="e" vm="15">
        <v>#VALUE!</v>
      </c>
    </row>
    <row r="8" spans="1:17" ht="15" customHeight="1">
      <c r="B8" s="573"/>
      <c r="C8" s="895"/>
      <c r="D8" s="894"/>
      <c r="E8" s="894"/>
      <c r="F8" s="894"/>
      <c r="G8" s="894"/>
      <c r="H8" s="894"/>
      <c r="I8" s="896"/>
      <c r="J8" s="894"/>
      <c r="K8" s="894"/>
      <c r="L8" s="894"/>
      <c r="M8" s="894"/>
      <c r="N8" s="894"/>
      <c r="O8" s="894"/>
      <c r="P8" s="894"/>
      <c r="Q8" s="894"/>
    </row>
    <row r="9" spans="1:17" ht="15" customHeight="1">
      <c r="B9" s="573"/>
      <c r="C9" s="895"/>
      <c r="D9" s="894"/>
      <c r="E9" s="894"/>
      <c r="F9" s="894"/>
      <c r="G9" s="894"/>
      <c r="H9" s="894"/>
      <c r="I9" s="896"/>
      <c r="J9" s="894"/>
      <c r="K9" s="894"/>
      <c r="L9" s="894"/>
      <c r="M9" s="894"/>
      <c r="N9" s="894"/>
      <c r="O9" s="894"/>
      <c r="P9" s="894"/>
      <c r="Q9" s="894"/>
    </row>
    <row r="10" spans="1:17" ht="3.95" customHeight="1">
      <c r="B10" s="36"/>
      <c r="C10" s="36"/>
      <c r="D10" s="36"/>
      <c r="E10" s="36"/>
      <c r="F10" s="36"/>
      <c r="G10" s="36"/>
      <c r="H10" s="36"/>
      <c r="I10" s="36"/>
      <c r="J10" s="36"/>
      <c r="K10" s="36"/>
      <c r="L10" s="36"/>
      <c r="M10" s="36"/>
      <c r="N10" s="36"/>
      <c r="O10" s="36"/>
      <c r="P10" s="36"/>
      <c r="Q10" s="36"/>
    </row>
    <row r="11" spans="1:17" ht="3.95" customHeight="1"/>
    <row r="12" spans="1:17" ht="15" customHeight="1">
      <c r="A12" s="375" t="s">
        <v>41</v>
      </c>
      <c r="B12" s="588" t="s">
        <v>367</v>
      </c>
      <c r="C12" s="589" t="s">
        <v>368</v>
      </c>
      <c r="D12" s="589" t="s">
        <v>369</v>
      </c>
      <c r="E12" s="589" t="s">
        <v>370</v>
      </c>
      <c r="F12" s="589" t="s">
        <v>371</v>
      </c>
      <c r="G12" s="589" t="s">
        <v>372</v>
      </c>
      <c r="H12" s="589" t="s">
        <v>373</v>
      </c>
      <c r="I12" s="589" t="s">
        <v>374</v>
      </c>
      <c r="J12" s="589" t="s">
        <v>375</v>
      </c>
      <c r="K12" s="589" t="s">
        <v>376</v>
      </c>
      <c r="L12" s="730" t="s">
        <v>377</v>
      </c>
      <c r="M12" s="589" t="s">
        <v>378</v>
      </c>
      <c r="N12" s="589" t="s">
        <v>379</v>
      </c>
      <c r="O12" s="589" t="s">
        <v>380</v>
      </c>
      <c r="P12" s="589" t="s">
        <v>381</v>
      </c>
      <c r="Q12" s="589" t="s">
        <v>382</v>
      </c>
    </row>
    <row r="13" spans="1:17" ht="3.95" customHeight="1">
      <c r="A13" s="375"/>
      <c r="B13" s="587"/>
      <c r="C13" s="36"/>
      <c r="D13" s="36"/>
      <c r="E13" s="36"/>
      <c r="F13" s="36"/>
      <c r="G13" s="36"/>
      <c r="H13" s="36"/>
      <c r="I13" s="36"/>
      <c r="J13" s="36"/>
      <c r="K13" s="36"/>
      <c r="L13" s="36"/>
      <c r="M13" s="36"/>
      <c r="N13" s="36"/>
      <c r="O13" s="36"/>
      <c r="P13" s="36"/>
      <c r="Q13" s="36"/>
    </row>
    <row r="14" spans="1:17" ht="15" customHeight="1">
      <c r="B14" s="370" t="s">
        <v>383</v>
      </c>
      <c r="C14" s="574">
        <v>1.09048952426516E-2</v>
      </c>
      <c r="D14" s="574">
        <v>7.3089018676593343E-2</v>
      </c>
      <c r="E14" s="574">
        <v>-6.4517711706407743E-3</v>
      </c>
      <c r="F14" s="574">
        <v>0.44035465659224049</v>
      </c>
      <c r="G14" s="574">
        <v>0.11433224755700322</v>
      </c>
      <c r="H14" s="574">
        <v>9.885956965833631E-2</v>
      </c>
      <c r="I14" s="574">
        <v>0.11852000177991373</v>
      </c>
      <c r="J14" s="574">
        <v>7.7640579195167536E-2</v>
      </c>
      <c r="K14" s="574">
        <v>8.8537995206541709E-2</v>
      </c>
      <c r="L14" s="574">
        <v>7.7640579195167536E-2</v>
      </c>
      <c r="M14" s="574">
        <v>-1.7494692144373714E-2</v>
      </c>
      <c r="N14" s="574">
        <v>2.4062971573065806E-2</v>
      </c>
      <c r="O14" s="574">
        <v>1.1873066129380438E-2</v>
      </c>
      <c r="P14" s="574">
        <v>2.9280038526366514E-2</v>
      </c>
      <c r="Q14" s="574">
        <v>0.11597035589217364</v>
      </c>
    </row>
    <row r="15" spans="1:17" ht="15" customHeight="1">
      <c r="B15" s="370" t="s">
        <v>384</v>
      </c>
      <c r="C15" s="574">
        <v>3.8387830361387154E-2</v>
      </c>
      <c r="D15" s="574">
        <v>8.5904059201411531E-2</v>
      </c>
      <c r="E15" s="574">
        <v>5.029314418130082E-2</v>
      </c>
      <c r="F15" s="574">
        <v>0.33806390244742124</v>
      </c>
      <c r="G15" s="574">
        <v>7.1736880341007891E-2</v>
      </c>
      <c r="H15" s="574">
        <v>0.10405151323151318</v>
      </c>
      <c r="I15" s="574">
        <v>9.3570304077718269E-2</v>
      </c>
      <c r="J15" s="574">
        <v>0.15172953437332137</v>
      </c>
      <c r="K15" s="574">
        <v>0.13468728143081266</v>
      </c>
      <c r="L15" s="574">
        <v>0.13367020331356816</v>
      </c>
      <c r="M15" s="574">
        <v>4.1074049817305669E-2</v>
      </c>
      <c r="N15" s="574">
        <v>7.4364075654574702E-2</v>
      </c>
      <c r="O15" s="574">
        <v>4.0946425104584572E-2</v>
      </c>
      <c r="P15" s="574">
        <v>8.3192523824692444E-2</v>
      </c>
      <c r="Q15" s="574">
        <v>0.11218791731404809</v>
      </c>
    </row>
    <row r="16" spans="1:17" ht="15" customHeight="1">
      <c r="B16" s="370" t="s">
        <v>385</v>
      </c>
      <c r="C16" s="574">
        <v>-0.30667602010990247</v>
      </c>
      <c r="D16" s="574">
        <v>-3.4059474412172053E-2</v>
      </c>
      <c r="E16" s="574">
        <v>0.1427737226277368</v>
      </c>
      <c r="F16" s="574">
        <v>0.1085915032461684</v>
      </c>
      <c r="G16" s="574">
        <v>7.6086956521739024E-2</v>
      </c>
      <c r="H16" s="574">
        <v>9.8091372834401058E-2</v>
      </c>
      <c r="I16" s="574">
        <v>9.9233390119250586E-2</v>
      </c>
      <c r="J16" s="574">
        <v>0.18769096464426038</v>
      </c>
      <c r="K16" s="574">
        <v>0.2001902044698054</v>
      </c>
      <c r="L16" s="574">
        <v>-2.419080068143098E-2</v>
      </c>
      <c r="M16" s="574">
        <v>-0.16452742123687292</v>
      </c>
      <c r="N16" s="574">
        <v>-1.0350222477393423</v>
      </c>
      <c r="O16" s="574">
        <v>0.18134715025906667</v>
      </c>
      <c r="P16" s="574">
        <v>1.4944649446494429E-2</v>
      </c>
      <c r="Q16" s="855" t="s">
        <v>161</v>
      </c>
    </row>
    <row r="17" spans="1:17" ht="15" customHeight="1">
      <c r="B17" s="370" t="s">
        <v>386</v>
      </c>
      <c r="C17" s="574">
        <v>-0.16219525770900589</v>
      </c>
      <c r="D17" s="574">
        <v>0.11570506144553216</v>
      </c>
      <c r="E17" s="574">
        <v>0.42816091954022983</v>
      </c>
      <c r="F17" s="574">
        <v>-1.1937455680045383</v>
      </c>
      <c r="G17" s="574">
        <v>0.11228070175438587</v>
      </c>
      <c r="H17" s="574">
        <v>0.15689319738955665</v>
      </c>
      <c r="I17" s="574">
        <v>0.14106237601939609</v>
      </c>
      <c r="J17" s="574">
        <v>-0.41324200913242004</v>
      </c>
      <c r="K17" s="574">
        <v>0.29266463148713484</v>
      </c>
      <c r="L17" s="574">
        <v>-0.41324200913242004</v>
      </c>
      <c r="M17" s="574">
        <v>-0.38076416337285901</v>
      </c>
      <c r="N17" s="574">
        <v>2.7592933382407066</v>
      </c>
      <c r="O17" s="574">
        <v>5.8236272878535722E-3</v>
      </c>
      <c r="P17" s="574">
        <v>0.1319676531195344</v>
      </c>
      <c r="Q17" s="574">
        <v>0.12296707655692196</v>
      </c>
    </row>
    <row r="18" spans="1:17" ht="15" customHeight="1">
      <c r="B18" s="370" t="s">
        <v>387</v>
      </c>
      <c r="C18" s="574">
        <v>-0.12356651376146788</v>
      </c>
      <c r="D18" s="574">
        <v>8.7119573056396948E-2</v>
      </c>
      <c r="E18" s="574">
        <v>0.31071255453223467</v>
      </c>
      <c r="F18" s="574">
        <v>3.8011548238304549E-2</v>
      </c>
      <c r="G18" s="574">
        <v>8.7765957446808596E-2</v>
      </c>
      <c r="H18" s="574">
        <v>0.13444731460382542</v>
      </c>
      <c r="I18" s="574">
        <v>0.12715477293790545</v>
      </c>
      <c r="J18" s="574">
        <v>-0.13941299790356398</v>
      </c>
      <c r="K18" s="574">
        <v>0.25687338667581927</v>
      </c>
      <c r="L18" s="574">
        <v>-0.13941299790356398</v>
      </c>
      <c r="M18" s="574">
        <v>-0.26923076923076927</v>
      </c>
      <c r="N18" s="574">
        <v>8.4074492099322793</v>
      </c>
      <c r="O18" s="574">
        <v>2.2974607013301007E-2</v>
      </c>
      <c r="P18" s="574">
        <v>6.9989995215102851E-2</v>
      </c>
      <c r="Q18" s="574">
        <v>0.17002629272567926</v>
      </c>
    </row>
    <row r="19" spans="1:17" ht="15" customHeight="1">
      <c r="B19" s="370" t="s">
        <v>388</v>
      </c>
      <c r="C19" s="574">
        <v>-0.15122812650505699</v>
      </c>
      <c r="D19" s="574">
        <v>-0.17081199707388442</v>
      </c>
      <c r="E19" s="574">
        <v>0.24809523809523809</v>
      </c>
      <c r="F19" s="574">
        <v>-2.1379534520868542</v>
      </c>
      <c r="G19" s="574">
        <v>0.28275862068965518</v>
      </c>
      <c r="H19" s="574">
        <v>0.19800060978179229</v>
      </c>
      <c r="I19" s="574">
        <v>-0.16027325275880189</v>
      </c>
      <c r="J19" s="574">
        <v>-0.89928057553956853</v>
      </c>
      <c r="K19" s="574">
        <v>0.43255131964809385</v>
      </c>
      <c r="L19" s="574">
        <v>-21.857142857142861</v>
      </c>
      <c r="M19" s="574">
        <v>-0.96242774566473988</v>
      </c>
      <c r="N19" s="574">
        <v>-1.5213523131672597</v>
      </c>
      <c r="O19" s="574">
        <v>-0.2476851851851852</v>
      </c>
      <c r="P19" s="574">
        <v>0.30601092896174864</v>
      </c>
      <c r="Q19" s="574">
        <v>-5.5673009161381258E-2</v>
      </c>
    </row>
    <row r="20" spans="1:17" ht="15" customHeight="1">
      <c r="B20" s="370"/>
    </row>
    <row r="21" spans="1:17" ht="15" customHeight="1">
      <c r="A21" s="375" t="s">
        <v>41</v>
      </c>
      <c r="B21" s="588" t="s">
        <v>389</v>
      </c>
      <c r="C21" s="589" t="s">
        <v>368</v>
      </c>
      <c r="D21" s="589" t="s">
        <v>369</v>
      </c>
      <c r="E21" s="589" t="s">
        <v>370</v>
      </c>
      <c r="F21" s="589" t="str">
        <f>F12</f>
        <v>AEROVIRONMENT IN</v>
      </c>
      <c r="G21" s="589" t="str">
        <f t="shared" ref="G21:H21" si="0">G12</f>
        <v>LEONARDO DRS INC</v>
      </c>
      <c r="H21" s="589" t="str">
        <f t="shared" si="0"/>
        <v>CURTISS-WRIGHT</v>
      </c>
      <c r="I21" s="589" t="s">
        <v>374</v>
      </c>
      <c r="J21" s="589" t="s">
        <v>375</v>
      </c>
      <c r="K21" s="589" t="s">
        <v>376</v>
      </c>
      <c r="L21" s="589" t="s">
        <v>390</v>
      </c>
      <c r="M21" s="589" t="s">
        <v>378</v>
      </c>
      <c r="N21" s="589" t="s">
        <v>379</v>
      </c>
      <c r="O21" s="589" t="s">
        <v>380</v>
      </c>
      <c r="P21" s="589" t="s">
        <v>381</v>
      </c>
      <c r="Q21" s="589" t="s">
        <v>382</v>
      </c>
    </row>
    <row r="22" spans="1:17" ht="3.95" customHeight="1">
      <c r="A22" s="375"/>
      <c r="B22" s="587"/>
      <c r="C22" s="36"/>
      <c r="D22" s="36"/>
      <c r="E22" s="36"/>
      <c r="F22" s="36"/>
      <c r="G22" s="36"/>
      <c r="H22" s="36"/>
      <c r="I22" s="36"/>
      <c r="J22" s="36"/>
      <c r="K22" s="36"/>
      <c r="L22" s="36"/>
      <c r="M22" s="36"/>
      <c r="N22" s="36"/>
      <c r="O22" s="36"/>
      <c r="P22" s="36"/>
      <c r="Q22" s="36"/>
    </row>
    <row r="23" spans="1:17" ht="15" customHeight="1">
      <c r="B23" s="370" t="s">
        <v>391</v>
      </c>
      <c r="C23" s="574">
        <v>9.7546556310966648E-2</v>
      </c>
      <c r="D23" s="574">
        <v>0.19086427704426667</v>
      </c>
      <c r="E23" s="574">
        <v>0.20378719567177639</v>
      </c>
      <c r="F23" s="574">
        <v>0.3882835929112739</v>
      </c>
      <c r="G23" s="574">
        <v>0.22758194186765615</v>
      </c>
      <c r="H23" s="574">
        <v>0.36958639800409387</v>
      </c>
      <c r="I23" s="574">
        <v>0.15432978455863866</v>
      </c>
      <c r="J23" s="574">
        <v>0.18978600971048365</v>
      </c>
      <c r="K23" s="574">
        <v>0.31103633916554507</v>
      </c>
      <c r="L23" s="574">
        <v>0.25275015400862444</v>
      </c>
      <c r="M23" s="574">
        <v>0.12570437798006073</v>
      </c>
      <c r="N23" s="574">
        <v>-2.9932197784025227E-2</v>
      </c>
      <c r="O23" s="574">
        <v>0.182601080134287</v>
      </c>
      <c r="P23" s="574">
        <v>0.25903868698710431</v>
      </c>
      <c r="Q23" s="574">
        <f>((26312-9085)/26312)</f>
        <v>0.65472027972027969</v>
      </c>
    </row>
    <row r="24" spans="1:17" ht="15" customHeight="1">
      <c r="B24" s="370" t="s">
        <v>392</v>
      </c>
      <c r="C24" s="574">
        <v>9.871486282955394E-2</v>
      </c>
      <c r="D24" s="574">
        <v>8.097797815155193E-2</v>
      </c>
      <c r="E24" s="574">
        <v>0.106499646625886</v>
      </c>
      <c r="F24" s="574">
        <v>4.9711988516098059E-2</v>
      </c>
      <c r="G24" s="574">
        <v>9.0599876314162026E-2</v>
      </c>
      <c r="H24" s="574">
        <v>0.16935757494980275</v>
      </c>
      <c r="I24" s="574">
        <v>0.1005113588733339</v>
      </c>
      <c r="J24" s="574">
        <v>6.660672540909908E-2</v>
      </c>
      <c r="K24" s="574">
        <v>0.21978465679676984</v>
      </c>
      <c r="L24" s="574">
        <v>2.5521429200035205E-2</v>
      </c>
      <c r="M24" s="574">
        <v>4.6380580840918943E-2</v>
      </c>
      <c r="N24" s="574">
        <v>-0.16096636949952642</v>
      </c>
      <c r="O24" s="574">
        <v>9.2541234856225382E-2</v>
      </c>
      <c r="P24" s="574">
        <v>8.9941383352872217E-2</v>
      </c>
      <c r="Q24" s="574">
        <v>0.10204469443599878</v>
      </c>
    </row>
    <row r="25" spans="1:17" ht="15" customHeight="1">
      <c r="B25" s="370" t="s">
        <v>393</v>
      </c>
      <c r="C25" s="574">
        <v>0.10579867490674238</v>
      </c>
      <c r="D25" s="574">
        <v>0.15168841732556609</v>
      </c>
      <c r="E25" s="574">
        <v>0.13923113009555318</v>
      </c>
      <c r="F25" s="574">
        <v>7.8693521946547315E-2</v>
      </c>
      <c r="G25" s="574">
        <v>0.11873840445269018</v>
      </c>
      <c r="H25" s="574">
        <v>0.21204210498291912</v>
      </c>
      <c r="I25" s="574">
        <v>0.12095956079804267</v>
      </c>
      <c r="J25" s="574">
        <v>8.6279446142780075E-2</v>
      </c>
      <c r="K25" s="574">
        <v>0.28882269136122263</v>
      </c>
      <c r="L25" s="574">
        <v>6.2814277470942217E-2</v>
      </c>
      <c r="M25" s="574">
        <v>7.295358285072176E-2</v>
      </c>
      <c r="N25" s="574">
        <v>-9.7800257543775804E-2</v>
      </c>
      <c r="O25" s="574">
        <v>0.103043663774712</v>
      </c>
      <c r="P25" s="574">
        <v>0.15973424413980256</v>
      </c>
      <c r="Q25" s="574">
        <v>0.14193972122892798</v>
      </c>
    </row>
    <row r="26" spans="1:17" ht="15" customHeight="1">
      <c r="B26" s="370" t="s">
        <v>394</v>
      </c>
      <c r="C26" s="574">
        <v>7.5109440761229121E-2</v>
      </c>
      <c r="D26" s="574">
        <v>5.9129530084966186E-2</v>
      </c>
      <c r="E26" s="574">
        <v>0.10172300343625862</v>
      </c>
      <c r="F26" s="574">
        <v>5.3153259641712983E-2</v>
      </c>
      <c r="G26" s="574">
        <v>6.5862708719851573E-2</v>
      </c>
      <c r="H26" s="574">
        <v>0.12975119417632192</v>
      </c>
      <c r="I26" s="574">
        <v>7.9260625366753296E-2</v>
      </c>
      <c r="J26" s="574">
        <v>4.4955943175687824E-3</v>
      </c>
      <c r="K26" s="574">
        <v>0.15518169582772542</v>
      </c>
      <c r="L26" s="574">
        <v>1.4344803308985304E-2</v>
      </c>
      <c r="M26" s="574">
        <v>4.7680970957954052E-2</v>
      </c>
      <c r="N26" s="574">
        <v>-0.17852579039944674</v>
      </c>
      <c r="O26" s="574">
        <v>6.0137206247263174E-2</v>
      </c>
      <c r="P26" s="574">
        <v>7.0433763188745599E-2</v>
      </c>
      <c r="Q26" s="574">
        <v>7.4338704773487377E-2</v>
      </c>
    </row>
    <row r="27" spans="1:17" ht="15" customHeight="1">
      <c r="B27" s="370" t="s">
        <v>395</v>
      </c>
      <c r="C27" s="855" t="s">
        <v>161</v>
      </c>
      <c r="D27" s="574">
        <v>7.1911615348410909E-2</v>
      </c>
      <c r="E27" s="574">
        <v>7.0479857675529459E-2</v>
      </c>
      <c r="F27" s="574">
        <v>0.19345329851442858</v>
      </c>
      <c r="G27" s="574">
        <v>0.1280148423005566</v>
      </c>
      <c r="H27" s="574">
        <v>0.16623696930881149</v>
      </c>
      <c r="I27" s="574">
        <v>4.1977533741302704E-2</v>
      </c>
      <c r="J27" s="574">
        <v>0.12504945153749325</v>
      </c>
      <c r="K27" s="574">
        <v>4.6702557200538362E-2</v>
      </c>
      <c r="L27" s="574">
        <v>0.1883305465106046</v>
      </c>
      <c r="M27" s="574">
        <v>8.2011270047680968E-2</v>
      </c>
      <c r="N27" s="574">
        <v>7.5484462618578704E-2</v>
      </c>
      <c r="O27" s="574">
        <v>8.4367245657568243E-2</v>
      </c>
      <c r="P27" s="574">
        <v>0.14316529894490035</v>
      </c>
      <c r="Q27" s="855" t="s">
        <v>161</v>
      </c>
    </row>
    <row r="28" spans="1:17" ht="15" customHeight="1">
      <c r="B28" s="370" t="s">
        <v>396</v>
      </c>
      <c r="C28" s="574">
        <f>(1600/71043)</f>
        <v>2.2521571442647412E-2</v>
      </c>
      <c r="D28" s="574">
        <v>3.4605677101400736E-2</v>
      </c>
      <c r="E28" s="574">
        <f>(1100/Inputs!N85)</f>
        <v>2.6807691370360442E-2</v>
      </c>
      <c r="F28" s="574">
        <v>0.1005967839973476</v>
      </c>
      <c r="G28" s="574">
        <f>(92/Inputs!N107)</f>
        <v>2.8447742733457019E-2</v>
      </c>
      <c r="H28" s="574">
        <v>2.8087535380940342E-2</v>
      </c>
      <c r="I28" s="574">
        <v>9.9655878901199445E-3</v>
      </c>
      <c r="J28" s="855" t="s">
        <v>161</v>
      </c>
      <c r="K28" s="574">
        <v>4.2740577645382725E-3</v>
      </c>
      <c r="L28" s="574">
        <v>3.3550408045503258E-2</v>
      </c>
      <c r="M28" s="574">
        <f>(27/11535)</f>
        <v>2.3407022106631988E-3</v>
      </c>
      <c r="N28" s="574">
        <v>4.9703293639730771E-2</v>
      </c>
      <c r="O28" s="574">
        <f>491/13702</f>
        <v>3.5834184790541526E-2</v>
      </c>
      <c r="P28" s="574">
        <f>515/21325</f>
        <v>2.4150058616647128E-2</v>
      </c>
      <c r="Q28" s="574">
        <f>357/26312</f>
        <v>1.356795378534509E-2</v>
      </c>
    </row>
    <row r="29" spans="1:17" ht="15" customHeight="1">
      <c r="B29" s="370"/>
    </row>
    <row r="30" spans="1:17" ht="15" customHeight="1">
      <c r="A30" s="375" t="s">
        <v>41</v>
      </c>
      <c r="B30" s="588" t="s">
        <v>397</v>
      </c>
      <c r="C30" s="589" t="s">
        <v>368</v>
      </c>
      <c r="D30" s="589" t="s">
        <v>369</v>
      </c>
      <c r="E30" s="589" t="s">
        <v>370</v>
      </c>
      <c r="F30" s="589" t="str">
        <f>F12</f>
        <v>AEROVIRONMENT IN</v>
      </c>
      <c r="G30" s="589" t="str">
        <f t="shared" ref="G30:H30" si="1">G12</f>
        <v>LEONARDO DRS INC</v>
      </c>
      <c r="H30" s="589" t="str">
        <f t="shared" si="1"/>
        <v>CURTISS-WRIGHT</v>
      </c>
      <c r="I30" s="589" t="s">
        <v>374</v>
      </c>
      <c r="J30" s="589" t="s">
        <v>375</v>
      </c>
      <c r="K30" s="589" t="s">
        <v>376</v>
      </c>
      <c r="L30" s="589" t="s">
        <v>390</v>
      </c>
      <c r="M30" s="589" t="s">
        <v>378</v>
      </c>
      <c r="N30" s="589" t="s">
        <v>379</v>
      </c>
      <c r="O30" s="589" t="s">
        <v>380</v>
      </c>
      <c r="P30" s="589" t="s">
        <v>381</v>
      </c>
      <c r="Q30" s="589" t="s">
        <v>382</v>
      </c>
    </row>
    <row r="31" spans="1:17" ht="3.95" customHeight="1">
      <c r="A31" s="375"/>
      <c r="B31" s="587"/>
      <c r="C31" s="36"/>
      <c r="D31" s="36"/>
      <c r="E31" s="36"/>
      <c r="F31" s="36"/>
      <c r="G31" s="36"/>
      <c r="H31" s="36"/>
      <c r="I31" s="36"/>
      <c r="J31" s="36"/>
      <c r="K31" s="36"/>
      <c r="L31" s="36"/>
      <c r="M31" s="36"/>
      <c r="N31" s="36"/>
      <c r="O31" s="36"/>
      <c r="P31" s="36"/>
      <c r="Q31" s="36"/>
    </row>
    <row r="32" spans="1:17" ht="15" customHeight="1">
      <c r="B32" s="370" t="s">
        <v>398</v>
      </c>
      <c r="C32" s="574">
        <v>0.1924165143159853</v>
      </c>
      <c r="D32" s="574">
        <v>5.1312603161869148E-2</v>
      </c>
      <c r="E32" s="574">
        <v>7.5349276724720554E-2</v>
      </c>
      <c r="F32" s="574">
        <v>-1.0348822315266168E-2</v>
      </c>
      <c r="G32" s="574">
        <v>8.7163387705857395E-2</v>
      </c>
      <c r="H32" s="574">
        <v>0.1077014261012936</v>
      </c>
      <c r="I32" s="574">
        <v>0.12762684456764928</v>
      </c>
      <c r="J32" s="574">
        <v>-6.7902550467863212E-2</v>
      </c>
      <c r="K32" s="574">
        <v>0.19419934896438659</v>
      </c>
      <c r="L32" s="574">
        <v>7.553948754353371E-3</v>
      </c>
      <c r="M32" s="574">
        <v>4.0568133542744904E-2</v>
      </c>
      <c r="N32" s="574">
        <v>-0.22643820800895059</v>
      </c>
      <c r="O32" s="574">
        <v>5.2915002480940367E-2</v>
      </c>
      <c r="P32" s="574">
        <v>5.0265394711568906E-2</v>
      </c>
      <c r="Q32" s="574">
        <v>0.10935507597647161</v>
      </c>
    </row>
    <row r="33" spans="1:17" ht="15" customHeight="1">
      <c r="B33" s="370" t="s">
        <v>399</v>
      </c>
      <c r="C33" s="574">
        <v>0.16925982840312459</v>
      </c>
      <c r="D33" s="574">
        <v>4.29734519984456E-2</v>
      </c>
      <c r="E33" s="574">
        <v>7.4270331538679513E-2</v>
      </c>
      <c r="F33" s="574">
        <v>-2.7119992538462319E-2</v>
      </c>
      <c r="G33" s="574">
        <v>6.6192170818505341E-2</v>
      </c>
      <c r="H33" s="574">
        <v>0.12658061751727548</v>
      </c>
      <c r="I33" s="574">
        <v>9.5996155347971041E-2</v>
      </c>
      <c r="J33" s="574">
        <v>6.085369034164995E-4</v>
      </c>
      <c r="K33" s="574">
        <v>0.12084106369820656</v>
      </c>
      <c r="L33" s="574">
        <v>-5.0067738705307186E-3</v>
      </c>
      <c r="M33" s="574">
        <v>3.1992125015380831E-3</v>
      </c>
      <c r="N33" s="574">
        <v>-0.27529289548104113</v>
      </c>
      <c r="O33" s="574">
        <v>5.8129136111607943E-2</v>
      </c>
      <c r="P33" s="574">
        <v>6.4274188728859136E-2</v>
      </c>
      <c r="Q33" s="574">
        <v>0.12191793285415339</v>
      </c>
    </row>
    <row r="34" spans="1:17" ht="15" customHeight="1">
      <c r="B34" s="370" t="s">
        <v>400</v>
      </c>
      <c r="C34" s="574">
        <v>0.84453275529865124</v>
      </c>
      <c r="D34" s="574">
        <v>0.35534539920647862</v>
      </c>
      <c r="E34" s="574">
        <v>0.33910142003569488</v>
      </c>
      <c r="F34" s="574">
        <v>2.5311311447947241E-2</v>
      </c>
      <c r="G34" s="574">
        <v>0.19704102219233355</v>
      </c>
      <c r="H34" s="574">
        <v>0.34657689448030871</v>
      </c>
      <c r="I34" s="574">
        <v>0.36215359057615343</v>
      </c>
      <c r="J34" s="574">
        <v>0.15334934172393808</v>
      </c>
      <c r="K34" s="574">
        <v>0.34098976821883481</v>
      </c>
      <c r="L34" s="574">
        <v>1.9877990266639247E-2</v>
      </c>
      <c r="M34" s="574">
        <v>0.13239297203662459</v>
      </c>
      <c r="N34" s="574">
        <v>-0.30090211617907425</v>
      </c>
      <c r="O34" s="574">
        <v>0.21809425524595802</v>
      </c>
      <c r="P34" s="574">
        <v>0.6334214002642008</v>
      </c>
      <c r="Q34" s="574">
        <v>0.45042778057372923</v>
      </c>
    </row>
    <row r="35" spans="1:17" ht="15" customHeight="1">
      <c r="B35" s="370" t="s">
        <v>401</v>
      </c>
      <c r="C35" s="574">
        <v>1.1073740723195957</v>
      </c>
      <c r="D35" s="574">
        <v>0.10552309629103586</v>
      </c>
      <c r="E35" s="574">
        <v>0.2858077174623937</v>
      </c>
      <c r="F35" s="574">
        <v>4.6017685139542047E-2</v>
      </c>
      <c r="G35" s="574">
        <v>0.11458740711771608</v>
      </c>
      <c r="H35" s="574">
        <v>0.21577157962755311</v>
      </c>
      <c r="I35" s="574">
        <v>0.21737750985813353</v>
      </c>
      <c r="J35" s="574">
        <v>0.1528557279630241</v>
      </c>
      <c r="K35" s="574">
        <v>0.35858585858585856</v>
      </c>
      <c r="L35" s="574">
        <v>2.1430682825894179E-2</v>
      </c>
      <c r="M35" s="574">
        <v>0.11465923703386198</v>
      </c>
      <c r="N35" s="574">
        <v>2.7355646397547266</v>
      </c>
      <c r="O35" s="574">
        <v>0.17601332593003888</v>
      </c>
      <c r="P35" s="574">
        <v>9.7962102252413294E-2</v>
      </c>
      <c r="Q35" s="574">
        <v>0.22798675384223485</v>
      </c>
    </row>
    <row r="36" spans="1:17" ht="15" customHeight="1">
      <c r="B36" s="370" t="s">
        <v>402</v>
      </c>
      <c r="C36" s="574">
        <v>0.73055869319662881</v>
      </c>
      <c r="D36" s="574">
        <v>0.10126623991827521</v>
      </c>
      <c r="E36" s="574">
        <v>0.26501410721483271</v>
      </c>
      <c r="F36" s="574">
        <v>-1.7037839084462231E-2</v>
      </c>
      <c r="G36" s="574">
        <v>8.7259319950839825E-2</v>
      </c>
      <c r="H36" s="574">
        <v>0.17462196381529316</v>
      </c>
      <c r="I36" s="574">
        <v>0.17914766748509295</v>
      </c>
      <c r="J36" s="574">
        <v>1.041059382027151E-2</v>
      </c>
      <c r="K36" s="574">
        <v>0.30274731241177111</v>
      </c>
      <c r="L36" s="574">
        <v>8.8164655093788957E-3</v>
      </c>
      <c r="M36" s="574">
        <v>0.11589403973509933</v>
      </c>
      <c r="N36" s="574">
        <f>-11875/3941</f>
        <v>-3.013194620654656</v>
      </c>
      <c r="O36" s="574">
        <v>0.11424571228561428</v>
      </c>
      <c r="P36" s="574">
        <v>8.903929901883624E-2</v>
      </c>
      <c r="Q36" s="574">
        <v>0.17893831741865412</v>
      </c>
    </row>
    <row r="37" spans="1:17" ht="15" customHeight="1">
      <c r="B37" s="370" t="s">
        <v>403</v>
      </c>
      <c r="C37" s="574">
        <v>7.3789338809611568E-2</v>
      </c>
      <c r="D37" s="574">
        <v>3.7440452258245306E-2</v>
      </c>
      <c r="E37" s="574">
        <v>8.1238866980364699E-2</v>
      </c>
      <c r="F37" s="574">
        <v>-1.3563521955983251E-2</v>
      </c>
      <c r="G37" s="574">
        <v>5.2560148056755088E-2</v>
      </c>
      <c r="H37" s="574">
        <v>9.0802580272962896E-2</v>
      </c>
      <c r="I37" s="574">
        <v>7.2749933232440125E-2</v>
      </c>
      <c r="J37" s="574">
        <v>4.452676949381968E-3</v>
      </c>
      <c r="K37" s="574">
        <v>0.12860759493670887</v>
      </c>
      <c r="L37" s="574">
        <v>6.4445876575035003E-3</v>
      </c>
      <c r="M37" s="574">
        <v>4.4856459330143539E-2</v>
      </c>
      <c r="N37" s="574">
        <v>-7.1736502820306206E-2</v>
      </c>
      <c r="O37" s="574">
        <v>4.8712055636808645E-2</v>
      </c>
      <c r="P37" s="574">
        <v>4.0942374271686545E-2</v>
      </c>
      <c r="Q37" s="574">
        <v>5.4002376432346795E-2</v>
      </c>
    </row>
    <row r="38" spans="1:17" ht="15" customHeight="1">
      <c r="B38" s="370"/>
    </row>
    <row r="39" spans="1:17" ht="15" customHeight="1">
      <c r="A39" s="375" t="s">
        <v>41</v>
      </c>
      <c r="B39" s="588" t="s">
        <v>404</v>
      </c>
      <c r="C39" s="589" t="s">
        <v>368</v>
      </c>
      <c r="D39" s="589" t="s">
        <v>369</v>
      </c>
      <c r="E39" s="589" t="s">
        <v>370</v>
      </c>
      <c r="F39" s="589" t="str">
        <f>F30</f>
        <v>AEROVIRONMENT IN</v>
      </c>
      <c r="G39" s="589" t="str">
        <f>G30</f>
        <v>LEONARDO DRS INC</v>
      </c>
      <c r="H39" s="589" t="str">
        <f>H30</f>
        <v>CURTISS-WRIGHT</v>
      </c>
      <c r="I39" s="589" t="s">
        <v>374</v>
      </c>
      <c r="J39" s="589" t="s">
        <v>375</v>
      </c>
      <c r="K39" s="589" t="s">
        <v>376</v>
      </c>
      <c r="L39" s="589" t="s">
        <v>390</v>
      </c>
      <c r="M39" s="589" t="s">
        <v>378</v>
      </c>
      <c r="N39" s="589" t="s">
        <v>379</v>
      </c>
      <c r="O39" s="589" t="s">
        <v>380</v>
      </c>
      <c r="P39" s="589" t="s">
        <v>381</v>
      </c>
      <c r="Q39" s="589" t="s">
        <v>382</v>
      </c>
    </row>
    <row r="40" spans="1:17" ht="3.95" customHeight="1">
      <c r="A40" s="375"/>
      <c r="B40" s="587"/>
      <c r="C40" s="36"/>
      <c r="D40" s="36"/>
      <c r="E40" s="36"/>
      <c r="F40" s="36"/>
      <c r="G40" s="36"/>
      <c r="H40" s="36"/>
      <c r="I40" s="36"/>
      <c r="J40" s="36"/>
      <c r="K40" s="36"/>
      <c r="L40" s="36"/>
      <c r="M40" s="36"/>
      <c r="N40" s="36"/>
      <c r="O40" s="36"/>
      <c r="P40" s="36"/>
      <c r="Q40" s="36"/>
    </row>
    <row r="41" spans="1:17" ht="15" customHeight="1">
      <c r="B41" s="370" t="s">
        <v>405</v>
      </c>
      <c r="C41" s="575">
        <v>1.2610183771260071</v>
      </c>
      <c r="D41" s="575">
        <v>0.50927178137602491</v>
      </c>
      <c r="E41" s="575">
        <v>0.83403177479638801</v>
      </c>
      <c r="F41" s="575">
        <v>0.32788350535979099</v>
      </c>
      <c r="G41" s="575">
        <v>0.79802590993214062</v>
      </c>
      <c r="H41" s="575">
        <v>0.66490235167237277</v>
      </c>
      <c r="I41" s="575">
        <v>0.89509480993501289</v>
      </c>
      <c r="J41" s="575">
        <v>0.99045346062052497</v>
      </c>
      <c r="K41" s="575">
        <v>0.71079401611047177</v>
      </c>
      <c r="L41" s="575">
        <v>0.53916753705637899</v>
      </c>
      <c r="M41" s="575">
        <v>0.98846548188653449</v>
      </c>
      <c r="N41" s="575">
        <v>0.50582191780821917</v>
      </c>
      <c r="O41" s="575">
        <v>0.83944721368235675</v>
      </c>
      <c r="P41" s="575">
        <v>0.51565195362920246</v>
      </c>
      <c r="Q41" s="575">
        <v>0.74860350455482871</v>
      </c>
    </row>
    <row r="42" spans="1:17" ht="15" customHeight="1">
      <c r="B42" s="370" t="s">
        <v>406</v>
      </c>
      <c r="C42" s="575">
        <v>2.2365885908575747</v>
      </c>
      <c r="D42" s="575">
        <v>0.70808521087850695</v>
      </c>
      <c r="E42" s="575">
        <v>1.5420142803457346</v>
      </c>
      <c r="F42" s="575">
        <v>0.80816986962953041</v>
      </c>
      <c r="G42" s="575">
        <v>1.0040360136603539</v>
      </c>
      <c r="H42" s="575">
        <v>0.92698745242089164</v>
      </c>
      <c r="I42" s="575">
        <v>1.0967430528420714</v>
      </c>
      <c r="J42" s="575">
        <v>1.6470204952019902</v>
      </c>
      <c r="K42" s="575">
        <v>1.1458975940777298</v>
      </c>
      <c r="L42" s="575">
        <v>0.84944307393286977</v>
      </c>
      <c r="M42" s="575">
        <v>1.4692395873137181</v>
      </c>
      <c r="N42" s="575">
        <v>0.89738677603442929</v>
      </c>
      <c r="O42" s="575">
        <v>1.1922039502305752</v>
      </c>
      <c r="P42" s="575">
        <v>0.75220458553791891</v>
      </c>
      <c r="Q42" s="575">
        <v>1.0756275038835745</v>
      </c>
    </row>
    <row r="43" spans="1:17" ht="15" customHeight="1">
      <c r="B43" s="370" t="s">
        <v>407</v>
      </c>
      <c r="C43" s="575">
        <v>8.4205344585091417</v>
      </c>
      <c r="D43" s="575">
        <v>4.718974908978014</v>
      </c>
      <c r="E43" s="575">
        <v>3.3872208748013715</v>
      </c>
      <c r="F43" s="575">
        <v>6.7093226230014666</v>
      </c>
      <c r="G43" s="575">
        <v>7.6817102137767224</v>
      </c>
      <c r="H43" s="575">
        <v>6.4438472597899468</v>
      </c>
      <c r="I43" s="575">
        <v>7.8355673316708225</v>
      </c>
      <c r="J43" s="575">
        <v>10.692174581811189</v>
      </c>
      <c r="K43" s="575">
        <v>2.9932157394843961</v>
      </c>
      <c r="L43" s="575">
        <v>3.6462278328824764</v>
      </c>
      <c r="M43" s="575">
        <v>3.1187491575684056</v>
      </c>
      <c r="N43" s="575">
        <v>6.656092604047009</v>
      </c>
      <c r="O43" s="575">
        <v>4.9340350877192982</v>
      </c>
      <c r="P43" s="575">
        <v>7.7130999639119455</v>
      </c>
      <c r="Q43" s="575">
        <v>4.3114921733658456</v>
      </c>
    </row>
    <row r="44" spans="1:17" ht="15" customHeight="1">
      <c r="B44" s="370" t="s">
        <v>408</v>
      </c>
      <c r="C44" s="576">
        <v>593.75206611570252</v>
      </c>
      <c r="D44" s="576">
        <v>449.45698924731181</v>
      </c>
      <c r="E44" s="576">
        <v>417.53608247422682</v>
      </c>
      <c r="F44" s="576">
        <v>745.75549450549454</v>
      </c>
      <c r="G44" s="576">
        <f>3234000/7000</f>
        <v>462</v>
      </c>
      <c r="H44" s="576">
        <f>3121189/9000</f>
        <v>346.79877777777779</v>
      </c>
      <c r="I44" s="576">
        <v>429.68376068376068</v>
      </c>
      <c r="J44" s="576">
        <f>2780500/5600</f>
        <v>496.51785714285717</v>
      </c>
      <c r="K44" s="576">
        <v>322.64939406602593</v>
      </c>
      <c r="L44" s="576">
        <v>303.27499999999998</v>
      </c>
      <c r="M44" s="576">
        <v>262.93181818181819</v>
      </c>
      <c r="N44" s="576">
        <v>437.94767441860466</v>
      </c>
      <c r="O44" s="576">
        <v>413.58823529411762</v>
      </c>
      <c r="P44" s="576">
        <v>454.74468085106383</v>
      </c>
      <c r="Q44" s="576">
        <v>330.27684176316563</v>
      </c>
    </row>
    <row r="45" spans="1:17" ht="15" customHeight="1">
      <c r="B45" s="370" t="s">
        <v>409</v>
      </c>
      <c r="C45" s="576">
        <v>62.198347107438018</v>
      </c>
      <c r="D45" s="576">
        <v>57.596774193548384</v>
      </c>
      <c r="E45" s="576">
        <v>40.989690721649481</v>
      </c>
      <c r="F45" s="576">
        <v>-9.3825549450549453</v>
      </c>
      <c r="G45" s="576">
        <f>285000/7000</f>
        <v>40.714285714285715</v>
      </c>
      <c r="H45" s="739">
        <f>566925/9000</f>
        <v>62.991666666666667</v>
      </c>
      <c r="I45" s="576">
        <v>44.247863247863251</v>
      </c>
      <c r="J45" s="576">
        <f>114300/5600</f>
        <v>20.410714285714285</v>
      </c>
      <c r="K45" s="576">
        <v>78.39531968240702</v>
      </c>
      <c r="L45" s="576">
        <v>6.4249999999999998</v>
      </c>
      <c r="M45" s="576">
        <v>10.681818181818182</v>
      </c>
      <c r="N45" s="576">
        <v>-59.383720930232556</v>
      </c>
      <c r="O45" s="576">
        <v>35.558823529411768</v>
      </c>
      <c r="P45" s="576">
        <v>52.817129006194449</v>
      </c>
      <c r="Q45" s="576">
        <v>34.11711811397219</v>
      </c>
    </row>
    <row r="46" spans="1:17" ht="15" customHeight="1">
      <c r="B46" s="370"/>
    </row>
    <row r="47" spans="1:17" ht="15" customHeight="1">
      <c r="A47" s="375" t="s">
        <v>41</v>
      </c>
      <c r="B47" s="588" t="s">
        <v>410</v>
      </c>
      <c r="C47" s="589" t="s">
        <v>368</v>
      </c>
      <c r="D47" s="589" t="s">
        <v>369</v>
      </c>
      <c r="E47" s="589" t="s">
        <v>370</v>
      </c>
      <c r="F47" s="589" t="s">
        <v>371</v>
      </c>
      <c r="G47" s="589" t="s">
        <v>372</v>
      </c>
      <c r="H47" s="589" t="s">
        <v>373</v>
      </c>
      <c r="I47" s="589" t="s">
        <v>374</v>
      </c>
      <c r="J47" s="589" t="s">
        <v>375</v>
      </c>
      <c r="K47" s="589" t="s">
        <v>376</v>
      </c>
      <c r="L47" s="589" t="s">
        <v>390</v>
      </c>
      <c r="M47" s="589" t="s">
        <v>378</v>
      </c>
      <c r="N47" s="589" t="s">
        <v>379</v>
      </c>
      <c r="O47" s="589" t="s">
        <v>380</v>
      </c>
      <c r="P47" s="589" t="s">
        <v>381</v>
      </c>
      <c r="Q47" s="589" t="s">
        <v>382</v>
      </c>
    </row>
    <row r="48" spans="1:17" ht="3.95" customHeight="1">
      <c r="A48" s="375"/>
      <c r="B48" s="587"/>
      <c r="C48" s="36"/>
      <c r="D48" s="36"/>
      <c r="E48" s="36"/>
      <c r="F48" s="36"/>
      <c r="G48" s="36"/>
      <c r="H48" s="36"/>
      <c r="I48" s="36"/>
      <c r="J48" s="36"/>
      <c r="K48" s="36"/>
      <c r="L48" s="36"/>
      <c r="M48" s="36"/>
      <c r="N48" s="36"/>
      <c r="O48" s="36"/>
      <c r="P48" s="36"/>
      <c r="Q48" s="36"/>
    </row>
    <row r="49" spans="1:18" ht="15" customHeight="1">
      <c r="B49" s="370" t="s">
        <v>411</v>
      </c>
      <c r="C49" s="576">
        <v>15.797450030621903</v>
      </c>
      <c r="D49" s="576">
        <v>49.417487051280517</v>
      </c>
      <c r="E49" s="576">
        <v>17.528579541245897</v>
      </c>
      <c r="F49" s="576">
        <v>39.938654657309684</v>
      </c>
      <c r="G49" s="576">
        <v>22.860853432282006</v>
      </c>
      <c r="H49" s="576">
        <v>98.207240643639651</v>
      </c>
      <c r="I49" s="576">
        <v>24.490879796312136</v>
      </c>
      <c r="J49" s="576">
        <v>36.788796978960619</v>
      </c>
      <c r="K49" s="576">
        <v>38.693498251521824</v>
      </c>
      <c r="L49" s="576">
        <v>41.092902481246398</v>
      </c>
      <c r="M49" s="576">
        <v>17.084233728066383</v>
      </c>
      <c r="N49" s="576">
        <v>15.556606528867471</v>
      </c>
      <c r="O49" s="576">
        <v>22.313184468781113</v>
      </c>
      <c r="P49" s="576">
        <v>22.710616198006829</v>
      </c>
      <c r="Q49" s="739">
        <f>(1409/26312)*365</f>
        <v>19.545644572818485</v>
      </c>
    </row>
    <row r="50" spans="1:18" ht="15" customHeight="1">
      <c r="B50" s="370" t="s">
        <v>412</v>
      </c>
      <c r="C50" s="576">
        <v>18.764936128895226</v>
      </c>
      <c r="D50" s="576">
        <v>73.884130285167132</v>
      </c>
      <c r="E50" s="576">
        <v>17.075337434579012</v>
      </c>
      <c r="F50" s="576">
        <v>92.73929144443575</v>
      </c>
      <c r="G50" s="576">
        <v>50.328662930344272</v>
      </c>
      <c r="H50" s="576">
        <v>103.0977873034052</v>
      </c>
      <c r="I50" s="576">
        <v>83.76792852104397</v>
      </c>
      <c r="J50" s="576">
        <v>124.94218306107955</v>
      </c>
      <c r="K50" s="576">
        <v>133.86376755820666</v>
      </c>
      <c r="L50" s="576">
        <v>65.321247437142546</v>
      </c>
      <c r="M50" s="576">
        <v>7.4353852224524024</v>
      </c>
      <c r="N50" s="576">
        <v>414.0089452303132</v>
      </c>
      <c r="O50" s="576">
        <v>140.10754017305317</v>
      </c>
      <c r="P50" s="576">
        <v>30.845514112903228</v>
      </c>
      <c r="Q50" s="856" t="s">
        <v>161</v>
      </c>
    </row>
    <row r="51" spans="1:18" ht="15" customHeight="1">
      <c r="B51" s="370" t="s">
        <v>413</v>
      </c>
      <c r="C51" s="576">
        <v>18.97543448192916</v>
      </c>
      <c r="D51" s="576">
        <v>65.60019468165126</v>
      </c>
      <c r="E51" s="576">
        <v>27.574109162031661</v>
      </c>
      <c r="F51" s="576">
        <v>29.66133961399786</v>
      </c>
      <c r="G51" s="576">
        <v>59.672338741590821</v>
      </c>
      <c r="H51" s="576">
        <v>41.767438574012658</v>
      </c>
      <c r="I51" s="576">
        <v>25.754194650504292</v>
      </c>
      <c r="J51" s="576">
        <v>42.402314397354978</v>
      </c>
      <c r="K51" s="576">
        <v>68.665066817240728</v>
      </c>
      <c r="L51" s="576">
        <v>29.972412340739176</v>
      </c>
      <c r="M51" s="576">
        <v>23.401122710261966</v>
      </c>
      <c r="N51" s="576">
        <v>54.354493534621682</v>
      </c>
      <c r="O51" s="576">
        <v>35.825755561464149</v>
      </c>
      <c r="P51" s="576">
        <v>45.552172251242197</v>
      </c>
      <c r="Q51" s="856" t="s">
        <v>161</v>
      </c>
    </row>
    <row r="52" spans="1:18" ht="15" customHeight="1">
      <c r="B52" s="370" t="s">
        <v>414</v>
      </c>
      <c r="C52" s="576">
        <v>17.530631945652431</v>
      </c>
      <c r="D52" s="576">
        <v>53.092256012926825</v>
      </c>
      <c r="E52" s="576">
        <v>0.41911057891567438</v>
      </c>
      <c r="F52" s="576">
        <v>100.849254871135</v>
      </c>
      <c r="G52" s="576">
        <v>13.517177621035458</v>
      </c>
      <c r="H52" s="576">
        <v>144.76020607376927</v>
      </c>
      <c r="I52" s="576">
        <v>77.544488670695216</v>
      </c>
      <c r="J52" s="576">
        <v>119.32866564268517</v>
      </c>
      <c r="K52" s="576">
        <v>94.471296821397459</v>
      </c>
      <c r="L52" s="576">
        <v>76.788719785312452</v>
      </c>
      <c r="M52" s="576">
        <v>-3.0320020186938876</v>
      </c>
      <c r="N52" s="576">
        <v>400.46381222521734</v>
      </c>
      <c r="O52" s="576">
        <v>122.38511943811997</v>
      </c>
      <c r="P52" s="576">
        <v>4.088946356671741</v>
      </c>
      <c r="Q52" s="856" t="s">
        <v>161</v>
      </c>
    </row>
    <row r="53" spans="1:18" ht="15" customHeight="1">
      <c r="B53" s="370" t="s">
        <v>415</v>
      </c>
      <c r="C53" s="574">
        <v>2.8589722175825401E-2</v>
      </c>
      <c r="D53" s="574">
        <v>-8.9713991794160213E-5</v>
      </c>
      <c r="E53" s="574">
        <v>2.3777190686649713E-2</v>
      </c>
      <c r="F53" s="574">
        <v>0.80464395572010095</v>
      </c>
      <c r="G53" s="574">
        <v>0.29174397031539889</v>
      </c>
      <c r="H53" s="574">
        <v>0.28930355061879581</v>
      </c>
      <c r="I53" s="574">
        <v>0.12672806476637558</v>
      </c>
      <c r="J53" s="574">
        <v>0.33781693939938856</v>
      </c>
      <c r="K53" s="574">
        <v>0.21622846781504987</v>
      </c>
      <c r="L53" s="574">
        <v>0.69466655675542011</v>
      </c>
      <c r="M53" s="574">
        <v>-1.8497709395799117E-2</v>
      </c>
      <c r="N53" s="574">
        <v>0.27701886441780504</v>
      </c>
      <c r="O53" s="574">
        <v>0.20800739581851799</v>
      </c>
      <c r="P53" s="574">
        <v>-1.5159313152107799E-2</v>
      </c>
      <c r="Q53" s="574">
        <v>-2.5359410348098957E-3</v>
      </c>
    </row>
    <row r="54" spans="1:18" ht="15" customHeight="1">
      <c r="B54" s="370" t="s">
        <v>416</v>
      </c>
      <c r="C54" s="575">
        <v>0.99415371453015833</v>
      </c>
      <c r="D54" s="575">
        <v>1.0949831752829611</v>
      </c>
      <c r="E54" s="575">
        <v>1.0041189931350114</v>
      </c>
      <c r="F54" s="575">
        <v>-3.2307880867753401E-2</v>
      </c>
      <c r="G54" s="575">
        <v>0.92491467576791808</v>
      </c>
      <c r="H54" s="575">
        <v>1.0296596461954948</v>
      </c>
      <c r="I54" s="575">
        <v>0.85738115095913259</v>
      </c>
      <c r="J54" s="575">
        <v>0.19492440604751621</v>
      </c>
      <c r="K54" s="575">
        <v>0.79485609308022043</v>
      </c>
      <c r="L54" s="575">
        <v>1.7137931034482761</v>
      </c>
      <c r="M54" s="575">
        <v>0.73457943925233649</v>
      </c>
      <c r="N54" s="575">
        <v>1.1282338656953395</v>
      </c>
      <c r="O54" s="575">
        <v>0.79968454258675081</v>
      </c>
      <c r="P54" s="575">
        <v>1.3342022940563087</v>
      </c>
      <c r="Q54" s="575">
        <v>1.366852886405959</v>
      </c>
    </row>
    <row r="55" spans="1:18" ht="15" customHeight="1">
      <c r="B55" s="370" t="s">
        <v>417</v>
      </c>
      <c r="C55" s="574">
        <v>9.8137747561336086E-2</v>
      </c>
      <c r="D55" s="574">
        <v>8.8669523644380591E-2</v>
      </c>
      <c r="E55" s="574">
        <v>0.10693831793921965</v>
      </c>
      <c r="F55" s="574">
        <v>-1.6060890026772213E-3</v>
      </c>
      <c r="G55" s="574">
        <v>8.3797155225726658E-2</v>
      </c>
      <c r="H55" s="574">
        <v>0.17438066070334093</v>
      </c>
      <c r="I55" s="574">
        <v>8.6176544555285436E-2</v>
      </c>
      <c r="J55" s="574">
        <v>1.2983276389138645E-2</v>
      </c>
      <c r="K55" s="574">
        <v>0.17469717362045761</v>
      </c>
      <c r="L55" s="574">
        <v>4.3738449353163782E-2</v>
      </c>
      <c r="M55" s="574">
        <v>3.4070221066319899E-2</v>
      </c>
      <c r="N55" s="574">
        <v>-0.18160770930739512</v>
      </c>
      <c r="O55" s="574">
        <v>7.4003795066413663E-2</v>
      </c>
      <c r="P55" s="574">
        <v>0.12</v>
      </c>
      <c r="Q55" s="574">
        <v>0.13948008513225904</v>
      </c>
    </row>
    <row r="56" spans="1:18" ht="15" customHeight="1">
      <c r="B56" s="370"/>
    </row>
    <row r="57" spans="1:18" ht="15" customHeight="1">
      <c r="A57" s="375" t="s">
        <v>41</v>
      </c>
      <c r="B57" s="588" t="s">
        <v>418</v>
      </c>
      <c r="C57" s="589" t="s">
        <v>368</v>
      </c>
      <c r="D57" s="589" t="s">
        <v>369</v>
      </c>
      <c r="E57" s="589" t="s">
        <v>370</v>
      </c>
      <c r="F57" s="589" t="s">
        <v>371</v>
      </c>
      <c r="G57" s="589" t="s">
        <v>372</v>
      </c>
      <c r="H57" s="589" t="s">
        <v>373</v>
      </c>
      <c r="I57" s="589" t="s">
        <v>374</v>
      </c>
      <c r="J57" s="589" t="s">
        <v>375</v>
      </c>
      <c r="K57" s="589" t="s">
        <v>376</v>
      </c>
      <c r="L57" s="589" t="s">
        <v>390</v>
      </c>
      <c r="M57" s="589" t="s">
        <v>378</v>
      </c>
      <c r="N57" s="589" t="s">
        <v>379</v>
      </c>
      <c r="O57" s="589" t="s">
        <v>380</v>
      </c>
      <c r="P57" s="589" t="s">
        <v>381</v>
      </c>
      <c r="Q57" s="589" t="s">
        <v>382</v>
      </c>
    </row>
    <row r="58" spans="1:18" ht="3.95" customHeight="1">
      <c r="A58" s="375"/>
      <c r="B58" s="587"/>
      <c r="C58" s="36"/>
      <c r="D58" s="36"/>
      <c r="E58" s="36"/>
      <c r="F58" s="36"/>
      <c r="G58" s="36"/>
      <c r="H58" s="36"/>
      <c r="I58" s="36"/>
      <c r="J58" s="36"/>
      <c r="K58" s="36"/>
      <c r="L58" s="36"/>
      <c r="M58" s="36"/>
      <c r="N58" s="36"/>
      <c r="O58" s="36"/>
      <c r="P58" s="36"/>
      <c r="Q58" s="36"/>
    </row>
    <row r="59" spans="1:18" ht="15" customHeight="1">
      <c r="B59" s="370" t="s">
        <v>419</v>
      </c>
      <c r="C59" s="575">
        <v>2.6766214971714248</v>
      </c>
      <c r="D59" s="575">
        <v>3.060720763346739</v>
      </c>
      <c r="E59" s="575">
        <v>2.7694626706862917</v>
      </c>
      <c r="F59" s="575">
        <v>1.6841433871288631</v>
      </c>
      <c r="G59" s="575">
        <v>-0.60677083333333337</v>
      </c>
      <c r="H59" s="575">
        <v>1.1381676285320912</v>
      </c>
      <c r="I59" s="575">
        <v>1.49580661075481</v>
      </c>
      <c r="J59" s="575">
        <v>4.0158399333055437</v>
      </c>
      <c r="K59" s="575">
        <v>1.2928251121076233</v>
      </c>
      <c r="L59" s="575">
        <v>-6.590551181102362</v>
      </c>
      <c r="M59" s="575">
        <v>3.0402843601895735</v>
      </c>
      <c r="N59" s="575">
        <f>((1602+54356)-13801)/-9454</f>
        <v>-4.459170721387772</v>
      </c>
      <c r="O59" s="575">
        <v>1.4658385093167703</v>
      </c>
      <c r="P59" s="575">
        <v>3.4036321031048624</v>
      </c>
      <c r="Q59" s="575">
        <v>1.7953727506426735</v>
      </c>
      <c r="R59" s="814"/>
    </row>
    <row r="60" spans="1:18" ht="15" customHeight="1">
      <c r="B60" s="370" t="s">
        <v>420</v>
      </c>
      <c r="C60" s="575">
        <v>3.572347266881029</v>
      </c>
      <c r="D60" s="575">
        <v>8.3109836788707536</v>
      </c>
      <c r="E60" s="575">
        <v>5.3578786722624949</v>
      </c>
      <c r="F60" s="575">
        <v>-0.97078809977624902</v>
      </c>
      <c r="G60" s="575">
        <v>-1.2526881720430108</v>
      </c>
      <c r="H60" s="575">
        <v>1.7558333212635604</v>
      </c>
      <c r="I60" s="575">
        <v>2.8094493116395496</v>
      </c>
      <c r="J60" s="575">
        <v>688.14285714285779</v>
      </c>
      <c r="K60" s="575">
        <v>2.9754350051177072</v>
      </c>
      <c r="L60" s="575">
        <v>5.3411764705882323</v>
      </c>
      <c r="M60" s="575">
        <v>101.07692307692308</v>
      </c>
      <c r="N60" s="575">
        <v>-2.0737945492662475</v>
      </c>
      <c r="O60" s="575">
        <v>4.9953846153846158</v>
      </c>
      <c r="P60" s="575">
        <v>5.7745234774523482</v>
      </c>
      <c r="Q60" s="575">
        <v>2.5470149253731345</v>
      </c>
      <c r="R60" s="814"/>
    </row>
    <row r="61" spans="1:18" ht="15" customHeight="1">
      <c r="B61" s="370" t="s">
        <v>421</v>
      </c>
      <c r="C61" s="575">
        <v>6.769305019305019</v>
      </c>
      <c r="D61" s="575">
        <v>3.318781725888325</v>
      </c>
      <c r="E61" s="575">
        <v>7.0370370370370372</v>
      </c>
      <c r="F61" s="575">
        <v>18.64488117001828</v>
      </c>
      <c r="G61" s="575">
        <v>13.952380952380953</v>
      </c>
      <c r="H61" s="575">
        <v>11.780895495776594</v>
      </c>
      <c r="I61" s="575">
        <v>12.20356234096692</v>
      </c>
      <c r="J61" s="575">
        <v>2.4562334217506629</v>
      </c>
      <c r="K61" s="575">
        <v>8.9725274725274726</v>
      </c>
      <c r="L61" s="575">
        <v>1.9078947368421053</v>
      </c>
      <c r="M61" s="575">
        <v>5.6315789473684212</v>
      </c>
      <c r="N61" s="575">
        <v>-3.9291743119266056</v>
      </c>
      <c r="O61" s="575">
        <v>16.256410256410255</v>
      </c>
      <c r="P61" s="575">
        <v>2.8414814814814813</v>
      </c>
      <c r="Q61" s="575">
        <v>5.5705394190871367</v>
      </c>
    </row>
    <row r="62" spans="1:18" ht="15" customHeight="1">
      <c r="B62" s="370" t="s">
        <v>422</v>
      </c>
      <c r="C62" s="574">
        <v>0.77139659964624774</v>
      </c>
      <c r="D62" s="574">
        <v>0.41114638179779123</v>
      </c>
      <c r="E62" s="574">
        <v>0.54610223831858928</v>
      </c>
      <c r="F62" s="574">
        <v>6.7617937774374789E-2</v>
      </c>
      <c r="G62" s="574">
        <v>0.12491444216290212</v>
      </c>
      <c r="H62" s="574">
        <v>0.33491491777923715</v>
      </c>
      <c r="I62" s="574">
        <v>0.32609426066770519</v>
      </c>
      <c r="J62" s="574">
        <v>0.46660796830288348</v>
      </c>
      <c r="K62" s="574">
        <v>0.43252336448598139</v>
      </c>
      <c r="L62" s="574">
        <v>0.1734164070612669</v>
      </c>
      <c r="M62" s="574">
        <v>0.42572307692307698</v>
      </c>
      <c r="N62" s="574">
        <v>1.0752055952655446</v>
      </c>
      <c r="O62" s="574">
        <v>0.35465376690853712</v>
      </c>
      <c r="P62" s="574">
        <v>0.39969339261076192</v>
      </c>
      <c r="Q62" s="574">
        <v>0.46541080344984115</v>
      </c>
      <c r="R62" s="667"/>
    </row>
    <row r="63" spans="1:18" ht="15" customHeight="1">
      <c r="B63" s="370" t="s">
        <v>423</v>
      </c>
      <c r="C63" s="574">
        <v>4.2583060364997663E-2</v>
      </c>
      <c r="D63" s="574">
        <v>6.7082755432269991E-2</v>
      </c>
      <c r="E63" s="574">
        <v>0.10360948032180908</v>
      </c>
      <c r="F63" s="574">
        <v>0.16299326499821126</v>
      </c>
      <c r="G63" s="574">
        <v>6.8493150684931503E-2</v>
      </c>
      <c r="H63" s="574">
        <v>9.8117113772435677E-2</v>
      </c>
      <c r="I63" s="574">
        <v>0.17056950168602472</v>
      </c>
      <c r="J63" s="574">
        <v>1.1604868383809796E-2</v>
      </c>
      <c r="K63" s="574">
        <v>1.2388360702967444E-2</v>
      </c>
      <c r="L63" s="574">
        <v>5.3187742162733351E-2</v>
      </c>
      <c r="M63" s="574">
        <v>0.16016189650187915</v>
      </c>
      <c r="N63" s="574">
        <v>2.8628614317881267E-2</v>
      </c>
      <c r="O63" s="574">
        <v>0.10406668350593584</v>
      </c>
      <c r="P63" s="574">
        <v>9.9570420374347962E-2</v>
      </c>
      <c r="Q63" s="574">
        <v>8.6023602847946939E-2</v>
      </c>
    </row>
    <row r="64" spans="1:18" ht="15" customHeight="1">
      <c r="B64" s="370"/>
    </row>
    <row r="65" spans="1:17" ht="15" customHeight="1">
      <c r="A65" s="375" t="s">
        <v>41</v>
      </c>
      <c r="B65" s="588" t="s">
        <v>424</v>
      </c>
      <c r="C65" s="589" t="s">
        <v>368</v>
      </c>
      <c r="D65" s="589" t="s">
        <v>369</v>
      </c>
      <c r="E65" s="589" t="s">
        <v>370</v>
      </c>
      <c r="F65" s="589" t="s">
        <v>371</v>
      </c>
      <c r="G65" s="589" t="s">
        <v>372</v>
      </c>
      <c r="H65" s="589" t="s">
        <v>373</v>
      </c>
      <c r="I65" s="589" t="s">
        <v>374</v>
      </c>
      <c r="J65" s="589" t="s">
        <v>375</v>
      </c>
      <c r="K65" s="589" t="s">
        <v>376</v>
      </c>
      <c r="L65" s="589" t="s">
        <v>390</v>
      </c>
      <c r="M65" s="589" t="s">
        <v>378</v>
      </c>
      <c r="N65" s="589" t="s">
        <v>379</v>
      </c>
      <c r="O65" s="589" t="s">
        <v>380</v>
      </c>
      <c r="P65" s="589" t="s">
        <v>381</v>
      </c>
      <c r="Q65" s="589" t="s">
        <v>382</v>
      </c>
    </row>
    <row r="66" spans="1:17" ht="3.95" customHeight="1">
      <c r="A66" s="375"/>
      <c r="B66" s="587"/>
      <c r="C66" s="36"/>
      <c r="D66" s="36"/>
      <c r="E66" s="36"/>
      <c r="F66" s="36"/>
      <c r="G66" s="36"/>
      <c r="H66" s="36"/>
      <c r="I66" s="36"/>
      <c r="J66" s="36"/>
      <c r="K66" s="36"/>
      <c r="L66" s="36"/>
      <c r="M66" s="36"/>
      <c r="N66" s="36"/>
      <c r="O66" s="36"/>
      <c r="P66" s="36"/>
      <c r="Q66" s="36"/>
    </row>
    <row r="67" spans="1:17" ht="15" customHeight="1">
      <c r="B67" s="370" t="s">
        <v>425</v>
      </c>
      <c r="C67" s="575">
        <v>1.1250772399588054</v>
      </c>
      <c r="D67" s="575">
        <v>0.99289306588477444</v>
      </c>
      <c r="E67" s="575">
        <v>1.0103340883352208</v>
      </c>
      <c r="F67" s="575">
        <v>3.5229581612560334</v>
      </c>
      <c r="G67" s="575">
        <v>1.9381720430107527</v>
      </c>
      <c r="H67" s="575">
        <v>1.6876658381602045</v>
      </c>
      <c r="I67" s="575">
        <v>1.3681552962298025</v>
      </c>
      <c r="J67" s="575">
        <v>2.7232738417162428</v>
      </c>
      <c r="K67" s="575">
        <v>2.1704325371207229</v>
      </c>
      <c r="L67" s="575">
        <v>2.9393326592517695</v>
      </c>
      <c r="M67" s="575">
        <v>1.0792377131394182</v>
      </c>
      <c r="N67" s="575">
        <v>1.318506767753765</v>
      </c>
      <c r="O67" s="575">
        <v>1.6142467000455165</v>
      </c>
      <c r="P67" s="575">
        <v>1.0766409013494038</v>
      </c>
      <c r="Q67" s="575">
        <v>0.95227677847998704</v>
      </c>
    </row>
    <row r="68" spans="1:17" ht="15" customHeight="1">
      <c r="B68" s="370" t="s">
        <v>426</v>
      </c>
      <c r="C68" s="575">
        <v>0.24891864057672503</v>
      </c>
      <c r="D68" s="575">
        <v>0.32144313481815179</v>
      </c>
      <c r="E68" s="575">
        <v>0.39814552661381652</v>
      </c>
      <c r="F68" s="575">
        <v>0.82962459558204238</v>
      </c>
      <c r="G68" s="575">
        <v>0.76254480286738346</v>
      </c>
      <c r="H68" s="575">
        <v>1.113263585498582</v>
      </c>
      <c r="I68" s="575">
        <v>0.2622307001795332</v>
      </c>
      <c r="J68" s="575">
        <v>0.73282855597620333</v>
      </c>
      <c r="K68" s="575">
        <v>0.80890897353131053</v>
      </c>
      <c r="L68" s="575">
        <v>1.5058982136838559</v>
      </c>
      <c r="M68" s="575">
        <v>0.34871280508191238</v>
      </c>
      <c r="N68" s="575">
        <v>0.29996497661674115</v>
      </c>
      <c r="O68" s="575">
        <v>0.53140646335912611</v>
      </c>
      <c r="P68" s="575">
        <v>0.22101401807939211</v>
      </c>
      <c r="Q68" s="575">
        <v>0.39183276616431695</v>
      </c>
    </row>
    <row r="69" spans="1:17" ht="15" customHeight="1">
      <c r="B69" s="370" t="s">
        <v>427</v>
      </c>
      <c r="C69" s="575">
        <v>0.12785787847579816</v>
      </c>
      <c r="D69" s="575">
        <v>0.10831278277248102</v>
      </c>
      <c r="E69" s="575">
        <v>0.30811155152887881</v>
      </c>
      <c r="F69" s="575">
        <v>0.23734759904972672</v>
      </c>
      <c r="G69" s="575">
        <v>0.53584229390681004</v>
      </c>
      <c r="H69" s="575">
        <v>0.3513323624843514</v>
      </c>
      <c r="I69" s="575">
        <v>9.5208707360861761E-2</v>
      </c>
      <c r="J69" s="575">
        <v>0.17396791058229671</v>
      </c>
      <c r="K69" s="575">
        <v>0.36410587475790834</v>
      </c>
      <c r="L69" s="575">
        <v>1.1098752949106843</v>
      </c>
      <c r="M69" s="575">
        <v>0.27783350050150452</v>
      </c>
      <c r="N69" s="575">
        <v>0.27073075259070029</v>
      </c>
      <c r="O69" s="575">
        <v>0.31543013199817932</v>
      </c>
      <c r="P69" s="575">
        <v>8.0571203982706674E-2</v>
      </c>
      <c r="Q69" s="575">
        <v>0.27766974558418411</v>
      </c>
    </row>
    <row r="71" spans="1:17" ht="15" customHeight="1">
      <c r="A71" s="375" t="s">
        <v>41</v>
      </c>
      <c r="B71" s="588" t="s">
        <v>428</v>
      </c>
      <c r="C71" s="589" t="s">
        <v>368</v>
      </c>
      <c r="D71" s="589" t="s">
        <v>369</v>
      </c>
      <c r="E71" s="589" t="s">
        <v>370</v>
      </c>
      <c r="F71" s="589" t="s">
        <v>371</v>
      </c>
      <c r="G71" s="589" t="s">
        <v>372</v>
      </c>
      <c r="H71" s="589" t="s">
        <v>373</v>
      </c>
      <c r="I71" s="589" t="s">
        <v>374</v>
      </c>
      <c r="J71" s="589" t="s">
        <v>375</v>
      </c>
      <c r="K71" s="589" t="s">
        <v>376</v>
      </c>
      <c r="L71" s="589" t="s">
        <v>390</v>
      </c>
      <c r="M71" s="589" t="s">
        <v>378</v>
      </c>
      <c r="N71" s="589" t="s">
        <v>379</v>
      </c>
      <c r="O71" s="589" t="s">
        <v>380</v>
      </c>
      <c r="P71" s="589" t="s">
        <v>381</v>
      </c>
      <c r="Q71" s="589" t="s">
        <v>382</v>
      </c>
    </row>
    <row r="72" spans="1:17" ht="3.95" customHeight="1">
      <c r="A72" s="375"/>
      <c r="B72" s="587"/>
      <c r="C72" s="36"/>
      <c r="D72" s="36"/>
      <c r="E72" s="36"/>
      <c r="F72" s="36"/>
      <c r="G72" s="36"/>
      <c r="H72" s="36"/>
      <c r="I72" s="36"/>
      <c r="J72" s="36"/>
      <c r="K72" s="36"/>
      <c r="L72" s="36"/>
      <c r="M72" s="36"/>
      <c r="N72" s="36"/>
      <c r="O72" s="36"/>
      <c r="P72" s="36"/>
      <c r="Q72" s="36"/>
    </row>
    <row r="73" spans="1:17" ht="15" customHeight="1">
      <c r="B73" s="370" t="s">
        <v>429</v>
      </c>
      <c r="C73" s="574">
        <v>2.3718029925538054E-2</v>
      </c>
      <c r="D73" s="574">
        <v>4.0080259605142561E-2</v>
      </c>
      <c r="E73" s="574">
        <v>4.3062900592206271E-2</v>
      </c>
      <c r="F73" s="574">
        <v>2.7803131020548922E-2</v>
      </c>
      <c r="G73" s="574">
        <v>2.6283240568954855E-2</v>
      </c>
      <c r="H73" s="574">
        <v>1.953550393776218E-2</v>
      </c>
      <c r="I73" s="574">
        <v>1.9196915080895296E-2</v>
      </c>
      <c r="J73" s="574">
        <v>1.2479769825570941E-2</v>
      </c>
      <c r="K73" s="574">
        <v>4.3203230148048451E-2</v>
      </c>
      <c r="L73" s="574">
        <v>5.1218868256622377E-2</v>
      </c>
      <c r="M73" s="574">
        <v>3.1816211530125704E-2</v>
      </c>
      <c r="N73" s="574">
        <v>3.3525264218169794E-2</v>
      </c>
      <c r="O73" s="574">
        <v>2.6565464895635674E-2</v>
      </c>
      <c r="P73" s="574">
        <v>1.9132473622508792E-2</v>
      </c>
      <c r="Q73" s="574">
        <v>4.4200364852538768E-2</v>
      </c>
    </row>
    <row r="74" spans="1:17" ht="15.75" customHeight="1">
      <c r="B74" s="370" t="s">
        <v>430</v>
      </c>
      <c r="C74" s="574">
        <v>1.0808210391276458</v>
      </c>
      <c r="D74" s="574">
        <v>0.74152153987167735</v>
      </c>
      <c r="E74" s="574">
        <v>1.2897810218978103</v>
      </c>
      <c r="F74" s="574">
        <v>0.55651495194887557</v>
      </c>
      <c r="G74" s="574">
        <v>0.93406593406593408</v>
      </c>
      <c r="H74" s="574">
        <v>0.56632022811074889</v>
      </c>
      <c r="I74" s="574">
        <v>1.0338600451467268</v>
      </c>
      <c r="J74" s="574">
        <v>0.62862318840579712</v>
      </c>
      <c r="K74" s="574">
        <v>1.1588447653429603</v>
      </c>
      <c r="L74" s="574">
        <v>1.4441687344913152</v>
      </c>
      <c r="M74" s="574">
        <v>1.1257668711656441</v>
      </c>
      <c r="N74" s="574">
        <v>1.2145969498910676</v>
      </c>
      <c r="O74" s="574">
        <v>0.95287958115183247</v>
      </c>
      <c r="P74" s="574">
        <v>0.31652443754848719</v>
      </c>
      <c r="Q74" s="574">
        <v>1.0601640838650865</v>
      </c>
    </row>
    <row r="75" spans="1:17" ht="17.25" hidden="1" customHeight="1">
      <c r="B75" s="370" t="s">
        <v>431</v>
      </c>
      <c r="C75" s="574" t="e">
        <v>#VALUE!</v>
      </c>
      <c r="D75" s="785">
        <f>2208/2934</f>
        <v>0.75255623721881393</v>
      </c>
      <c r="E75" s="785"/>
      <c r="F75" s="785">
        <f>42.78/97.69</f>
        <v>0.43791585628006963</v>
      </c>
      <c r="G75" s="785">
        <f t="shared" ref="G75:Q75" si="2">42.78/97.69</f>
        <v>0.43791585628006963</v>
      </c>
      <c r="H75" s="785">
        <f t="shared" si="2"/>
        <v>0.43791585628006963</v>
      </c>
      <c r="I75" s="785">
        <f t="shared" si="2"/>
        <v>0.43791585628006963</v>
      </c>
      <c r="J75" s="785">
        <f t="shared" si="2"/>
        <v>0.43791585628006963</v>
      </c>
      <c r="K75" s="785">
        <f t="shared" si="2"/>
        <v>0.43791585628006963</v>
      </c>
      <c r="L75" s="785">
        <f t="shared" si="2"/>
        <v>0.43791585628006963</v>
      </c>
      <c r="M75" s="785">
        <f t="shared" si="2"/>
        <v>0.43791585628006963</v>
      </c>
      <c r="N75" s="785">
        <f t="shared" si="2"/>
        <v>0.43791585628006963</v>
      </c>
      <c r="O75" s="785">
        <f t="shared" si="2"/>
        <v>0.43791585628006963</v>
      </c>
      <c r="P75" s="785">
        <f t="shared" si="2"/>
        <v>0.43791585628006963</v>
      </c>
      <c r="Q75" s="785">
        <f t="shared" si="2"/>
        <v>0.43791585628006963</v>
      </c>
    </row>
    <row r="76" spans="1:17" ht="19.5" hidden="1" customHeight="1">
      <c r="B76" s="370" t="s">
        <v>432</v>
      </c>
      <c r="C76" s="575" t="e">
        <v>#VALUE!</v>
      </c>
      <c r="D76" s="575" t="e">
        <v>#VALUE!</v>
      </c>
      <c r="E76" s="575" t="e">
        <v>#VALUE!</v>
      </c>
      <c r="F76" s="575" t="e">
        <v>#VALUE!</v>
      </c>
      <c r="G76" s="575" t="e">
        <v>#VALUE!</v>
      </c>
      <c r="H76" s="575" t="e">
        <v>#VALUE!</v>
      </c>
      <c r="I76" s="575" t="e">
        <v>#VALUE!</v>
      </c>
      <c r="J76" s="575" t="e">
        <v>#VALUE!</v>
      </c>
      <c r="K76" s="575" t="e">
        <v>#VALUE!</v>
      </c>
      <c r="L76" s="575" t="e">
        <v>#VALUE!</v>
      </c>
      <c r="M76" s="575" t="e">
        <v>#VALUE!</v>
      </c>
      <c r="N76" s="575" t="e">
        <v>#VALUE!</v>
      </c>
      <c r="O76" s="575" t="e">
        <v>#VALUE!</v>
      </c>
      <c r="P76" s="575" t="e">
        <v>#VALUE!</v>
      </c>
      <c r="Q76" s="575" t="e">
        <v>#VALUE!</v>
      </c>
    </row>
    <row r="77" spans="1:17" ht="15" customHeight="1">
      <c r="B77" s="370" t="s">
        <v>433</v>
      </c>
      <c r="C77" s="574">
        <v>0.57271364317841078</v>
      </c>
      <c r="D77" s="574">
        <v>0.67385839966485117</v>
      </c>
      <c r="E77" s="574">
        <v>0.28350503114518444</v>
      </c>
      <c r="F77" s="574">
        <v>0</v>
      </c>
      <c r="G77" s="574">
        <v>0</v>
      </c>
      <c r="H77" s="574">
        <v>7.8194346359555314E-2</v>
      </c>
      <c r="I77" s="574">
        <v>0.41380222104706504</v>
      </c>
      <c r="J77" s="574">
        <v>0</v>
      </c>
      <c r="K77" s="574">
        <v>0.10261925411968777</v>
      </c>
      <c r="L77" s="574">
        <v>0</v>
      </c>
      <c r="M77" s="574">
        <v>0.37609090909090909</v>
      </c>
      <c r="N77" s="574">
        <v>0</v>
      </c>
      <c r="O77" s="574">
        <v>1.8261139393939394E-2</v>
      </c>
      <c r="P77" s="574">
        <v>0.5863328894806924</v>
      </c>
      <c r="Q77" s="574">
        <v>0.50737445742331289</v>
      </c>
    </row>
    <row r="78" spans="1:17" ht="15" customHeight="1">
      <c r="B78" s="370" t="s">
        <v>434</v>
      </c>
      <c r="C78" s="574">
        <v>1.3007013782749952</v>
      </c>
      <c r="D78" s="574">
        <v>0.75898840979267757</v>
      </c>
      <c r="E78" s="574">
        <v>1.4653573440756964</v>
      </c>
      <c r="F78" s="574">
        <v>7.6282423137482389E-2</v>
      </c>
      <c r="G78" s="574">
        <v>-8.6021505376344093E-2</v>
      </c>
      <c r="H78" s="574">
        <v>0.559324292728548</v>
      </c>
      <c r="I78" s="574">
        <v>0.95191619201175848</v>
      </c>
      <c r="J78" s="574">
        <v>3.6428571428571463</v>
      </c>
      <c r="K78" s="574">
        <v>0.62470303459570109</v>
      </c>
      <c r="L78" s="574">
        <v>39.870588235294115</v>
      </c>
      <c r="M78" s="574">
        <v>15.148201332692308</v>
      </c>
      <c r="N78" s="574">
        <v>1.2662787373515025</v>
      </c>
      <c r="O78" s="574">
        <v>1.6104919076923079</v>
      </c>
      <c r="P78" s="574">
        <v>0.60514737331473734</v>
      </c>
      <c r="Q78" s="574">
        <v>0.3703076263880597</v>
      </c>
    </row>
    <row r="79" spans="1:17" ht="15" customHeight="1">
      <c r="B79" s="370" t="s">
        <v>435</v>
      </c>
      <c r="C79" s="574">
        <v>0.53069420539300061</v>
      </c>
      <c r="D79" s="574">
        <v>6.2019835172510127E-2</v>
      </c>
      <c r="E79" s="574">
        <v>0.57292616226071102</v>
      </c>
      <c r="F79" s="574">
        <v>-3.1464339908952961</v>
      </c>
      <c r="G79" s="574">
        <v>0</v>
      </c>
      <c r="H79" s="574">
        <v>0.45932662716457673</v>
      </c>
      <c r="I79" s="574">
        <v>0.36502918287937741</v>
      </c>
      <c r="J79" s="574">
        <v>0.27977839335180055</v>
      </c>
      <c r="K79" s="574">
        <v>0.38520801232665641</v>
      </c>
      <c r="L79" s="574">
        <v>0.35010060362173034</v>
      </c>
      <c r="M79" s="574">
        <v>0.4758269720101781</v>
      </c>
      <c r="N79" s="574">
        <v>-6.8708609271523179E-3</v>
      </c>
      <c r="O79" s="574">
        <v>1.1065088757396451</v>
      </c>
      <c r="P79" s="574">
        <v>0.21649081672528331</v>
      </c>
      <c r="Q79" s="574">
        <v>0.15122615803814715</v>
      </c>
    </row>
    <row r="80" spans="1:17" ht="15" customHeight="1">
      <c r="B80" s="370"/>
    </row>
    <row r="81" spans="1:17" ht="15" customHeight="1">
      <c r="A81" s="375" t="s">
        <v>41</v>
      </c>
      <c r="B81" s="588" t="s">
        <v>436</v>
      </c>
      <c r="C81" s="589" t="s">
        <v>368</v>
      </c>
      <c r="D81" s="589" t="s">
        <v>369</v>
      </c>
      <c r="E81" s="589" t="s">
        <v>370</v>
      </c>
      <c r="F81" s="589" t="s">
        <v>371</v>
      </c>
      <c r="G81" s="589" t="s">
        <v>372</v>
      </c>
      <c r="H81" s="589" t="s">
        <v>373</v>
      </c>
      <c r="I81" s="589" t="s">
        <v>374</v>
      </c>
      <c r="J81" s="589" t="s">
        <v>375</v>
      </c>
      <c r="K81" s="589" t="s">
        <v>376</v>
      </c>
      <c r="L81" s="589" t="s">
        <v>390</v>
      </c>
      <c r="M81" s="589" t="s">
        <v>378</v>
      </c>
      <c r="N81" s="589" t="s">
        <v>379</v>
      </c>
      <c r="O81" s="589" t="s">
        <v>380</v>
      </c>
      <c r="P81" s="589" t="s">
        <v>381</v>
      </c>
      <c r="Q81" s="589" t="s">
        <v>382</v>
      </c>
    </row>
    <row r="82" spans="1:17" ht="3.95" customHeight="1">
      <c r="A82" s="375"/>
      <c r="B82" s="587"/>
      <c r="C82" s="36"/>
      <c r="D82" s="36"/>
      <c r="E82" s="36"/>
      <c r="F82" s="36"/>
      <c r="G82" s="36"/>
      <c r="H82" s="36"/>
      <c r="I82" s="36"/>
      <c r="J82" s="36"/>
      <c r="K82" s="36"/>
      <c r="L82" s="36"/>
      <c r="M82" s="36"/>
      <c r="N82" s="36"/>
      <c r="O82" s="36"/>
      <c r="P82" s="36"/>
      <c r="Q82" s="36"/>
    </row>
    <row r="83" spans="1:17" ht="15" customHeight="1">
      <c r="B83" s="370" t="s">
        <v>437</v>
      </c>
      <c r="C83" s="575">
        <v>4.7552855831363328</v>
      </c>
      <c r="D83" s="575">
        <v>3.8132097169468113</v>
      </c>
      <c r="E83" s="575">
        <v>4.6590000562732463</v>
      </c>
      <c r="F83" s="575">
        <v>-0.10611061911279286</v>
      </c>
      <c r="G83" s="575">
        <v>3.5887860368413382</v>
      </c>
      <c r="H83" s="575">
        <v>4.4147348441834433</v>
      </c>
      <c r="I83" s="575">
        <v>4.1186351211802217</v>
      </c>
      <c r="J83" s="575">
        <v>1.0277580071174377</v>
      </c>
      <c r="K83" s="575">
        <v>3.5427601322120958</v>
      </c>
      <c r="L83" s="575">
        <v>2.5025176233635449</v>
      </c>
      <c r="M83" s="575">
        <v>2.9752216275143648</v>
      </c>
      <c r="N83" s="575">
        <v>24.398618488820667</v>
      </c>
      <c r="O83" s="575">
        <v>3.8599162542824517</v>
      </c>
      <c r="P83" s="575">
        <v>4.8341667343588544</v>
      </c>
      <c r="Q83" s="575">
        <v>3.1574428326477868</v>
      </c>
    </row>
    <row r="84" spans="1:17" ht="15" customHeight="1">
      <c r="B84" s="370" t="s">
        <v>438</v>
      </c>
      <c r="C84" s="575">
        <v>3.606023361738639</v>
      </c>
      <c r="D84" s="575">
        <v>2.4150150658802687</v>
      </c>
      <c r="E84" s="575">
        <v>2.7828712733573786</v>
      </c>
      <c r="F84" s="575">
        <v>-1.942999758473553</v>
      </c>
      <c r="G84" s="575">
        <v>2.4631520400460847</v>
      </c>
      <c r="H84" s="575">
        <v>3.9201612510747368</v>
      </c>
      <c r="I84" s="575">
        <v>3.2011570640301525</v>
      </c>
      <c r="J84" s="575">
        <v>3.9857651245551559E-2</v>
      </c>
      <c r="K84" s="575">
        <v>2.6666229962798287</v>
      </c>
      <c r="L84" s="575">
        <v>-0.42799597180261834</v>
      </c>
      <c r="M84" s="575">
        <v>0.19683400080247707</v>
      </c>
      <c r="N84" s="575">
        <v>28.902668093958919</v>
      </c>
      <c r="O84" s="575">
        <v>2.4743052912066998</v>
      </c>
      <c r="P84" s="575">
        <v>4.0634203382594354</v>
      </c>
      <c r="Q84" s="575">
        <v>2.3057075726147325</v>
      </c>
    </row>
    <row r="86" spans="1:17" ht="15" customHeight="1">
      <c r="A86" s="375" t="s">
        <v>41</v>
      </c>
      <c r="B86" s="588" t="s">
        <v>439</v>
      </c>
      <c r="C86" s="589" t="s">
        <v>368</v>
      </c>
      <c r="D86" s="589" t="s">
        <v>369</v>
      </c>
      <c r="E86" s="589" t="s">
        <v>370</v>
      </c>
      <c r="F86" s="589" t="s">
        <v>371</v>
      </c>
      <c r="G86" s="589" t="s">
        <v>372</v>
      </c>
      <c r="H86" s="589" t="s">
        <v>373</v>
      </c>
      <c r="I86" s="589" t="s">
        <v>374</v>
      </c>
      <c r="J86" s="589" t="s">
        <v>375</v>
      </c>
      <c r="K86" s="589" t="s">
        <v>376</v>
      </c>
      <c r="L86" s="589" t="s">
        <v>390</v>
      </c>
      <c r="M86" s="589" t="s">
        <v>378</v>
      </c>
      <c r="N86" s="589" t="s">
        <v>379</v>
      </c>
      <c r="O86" s="589" t="s">
        <v>380</v>
      </c>
      <c r="P86" s="589" t="s">
        <v>381</v>
      </c>
      <c r="Q86" s="589" t="s">
        <v>382</v>
      </c>
    </row>
    <row r="87" spans="1:17" ht="3.95" customHeight="1">
      <c r="A87" s="375"/>
      <c r="B87" s="587"/>
      <c r="C87" s="36"/>
      <c r="D87" s="36"/>
      <c r="E87" s="36"/>
      <c r="F87" s="36"/>
      <c r="G87" s="36"/>
      <c r="H87" s="36"/>
      <c r="I87" s="36"/>
      <c r="J87" s="36"/>
      <c r="K87" s="36"/>
      <c r="L87" s="36"/>
      <c r="M87" s="36"/>
      <c r="N87" s="36"/>
      <c r="O87" s="36"/>
      <c r="P87" s="36"/>
      <c r="Q87" s="36"/>
    </row>
    <row r="88" spans="1:17" ht="15" customHeight="1">
      <c r="B88" s="370" t="s">
        <v>440</v>
      </c>
      <c r="C88" s="574">
        <v>3.776751993285643E-3</v>
      </c>
      <c r="D88" s="574">
        <v>8.6329855115983012E-3</v>
      </c>
      <c r="E88" s="574">
        <v>2.0408163265306367E-3</v>
      </c>
      <c r="F88" s="574">
        <v>5.526032369289835E-3</v>
      </c>
      <c r="G88" s="574">
        <v>0</v>
      </c>
      <c r="H88" s="574">
        <v>5.7662569129557362E-3</v>
      </c>
      <c r="I88" s="574">
        <v>1.3244090002848319E-2</v>
      </c>
      <c r="J88" s="574">
        <v>5.6179775280897903E-3</v>
      </c>
      <c r="K88" s="574">
        <v>4.9019607843137081E-3</v>
      </c>
      <c r="L88" s="574">
        <v>1.2751677852349097E-2</v>
      </c>
      <c r="M88" s="574">
        <v>0</v>
      </c>
      <c r="N88" s="574">
        <f>(749.2-609.5)/609.5</f>
        <v>0.22920426579163256</v>
      </c>
      <c r="O88" s="574">
        <v>1.0561921855584577E-2</v>
      </c>
      <c r="P88" s="574">
        <v>4.7418335089566277E-3</v>
      </c>
      <c r="Q88" s="574">
        <v>1.3275804845668704E-2</v>
      </c>
    </row>
    <row r="89" spans="1:17" ht="15" customHeight="1">
      <c r="B89" s="370" t="s">
        <v>441</v>
      </c>
      <c r="C89" s="574">
        <v>3.8990470560083331E-3</v>
      </c>
      <c r="D89" s="574">
        <v>5.4125690505090543E-3</v>
      </c>
      <c r="E89" s="574">
        <v>2.4614334803694589E-3</v>
      </c>
      <c r="F89" s="574">
        <v>2.6151954542075754E-2</v>
      </c>
      <c r="G89" s="574">
        <v>6.8027210884353739E-3</v>
      </c>
      <c r="H89" s="574">
        <v>6.0515399740291289E-3</v>
      </c>
      <c r="I89" s="574">
        <v>3.8351915500041914E-3</v>
      </c>
      <c r="J89" s="574">
        <v>7.1569861535695015E-3</v>
      </c>
      <c r="K89" s="574">
        <v>8.479138627187079E-3</v>
      </c>
      <c r="L89" s="574">
        <v>2.622546862624307E-2</v>
      </c>
      <c r="M89" s="574">
        <v>1.9939315127871695E-3</v>
      </c>
      <c r="N89" s="574">
        <v>6.1187365635852493E-3</v>
      </c>
      <c r="O89" s="743">
        <f>(0.27*183000000)/13702000000</f>
        <v>3.6060429134432931E-3</v>
      </c>
      <c r="P89" s="574">
        <v>1.6928487690504104E-2</v>
      </c>
      <c r="Q89" s="574">
        <v>5.472788081483734E-3</v>
      </c>
    </row>
    <row r="90" spans="1:17" ht="15" customHeight="1">
      <c r="B90" s="370" t="s">
        <v>442</v>
      </c>
      <c r="C90" s="574">
        <v>3.9730349971313826E-2</v>
      </c>
      <c r="D90" s="574">
        <v>6.1042044978348933E-2</v>
      </c>
      <c r="E90" s="574">
        <v>2.3017319963536918E-2</v>
      </c>
      <c r="F90" s="574">
        <v>-16.283004552352047</v>
      </c>
      <c r="G90" s="574">
        <v>8.1180811808118078E-2</v>
      </c>
      <c r="H90" s="574">
        <v>3.4703045335538106E-2</v>
      </c>
      <c r="I90" s="574">
        <v>4.4503891050583659E-2</v>
      </c>
      <c r="J90" s="574">
        <v>0.55124653739612184</v>
      </c>
      <c r="K90" s="574">
        <v>4.8536209553158703E-2</v>
      </c>
      <c r="L90" s="574">
        <v>0.5995975855130784</v>
      </c>
      <c r="M90" s="574">
        <v>5.8524173027989825E-2</v>
      </c>
      <c r="N90" s="574">
        <v>-3.3692052980132448E-2</v>
      </c>
      <c r="O90" s="574">
        <f>(0.27*183000000)/1014000000</f>
        <v>4.8727810650887576E-2</v>
      </c>
      <c r="P90" s="574">
        <v>0.14107073075420085</v>
      </c>
      <c r="Q90" s="574">
        <v>3.923705722070845E-2</v>
      </c>
    </row>
    <row r="91" spans="1:17" ht="15" customHeight="1">
      <c r="B91" s="370" t="s">
        <v>443</v>
      </c>
      <c r="C91" s="584">
        <v>23.114851000000002</v>
      </c>
      <c r="D91" s="584">
        <v>5.9543150000000002</v>
      </c>
      <c r="E91" s="584">
        <v>23.659765</v>
      </c>
      <c r="F91" s="584">
        <v>0.36847300000000005</v>
      </c>
      <c r="G91" s="584">
        <v>0.98207399999999989</v>
      </c>
      <c r="H91" s="584">
        <v>12.409865</v>
      </c>
      <c r="I91" s="584">
        <v>15.06</v>
      </c>
      <c r="J91" s="584">
        <v>3.534697</v>
      </c>
      <c r="K91" s="584">
        <v>5.6880319999999998</v>
      </c>
      <c r="L91" s="584">
        <v>0.123071</v>
      </c>
      <c r="M91" s="584">
        <v>12.007111</v>
      </c>
      <c r="N91" s="584">
        <v>-18.008125999999997</v>
      </c>
      <c r="O91" s="584">
        <v>5.4856540000000003</v>
      </c>
      <c r="P91" s="584">
        <v>10.541622</v>
      </c>
      <c r="Q91" s="584">
        <v>0.65</v>
      </c>
    </row>
  </sheetData>
  <mergeCells count="15">
    <mergeCell ref="C7:C9"/>
    <mergeCell ref="D7:D9"/>
    <mergeCell ref="E7:E9"/>
    <mergeCell ref="F7:F9"/>
    <mergeCell ref="J7:J9"/>
    <mergeCell ref="G7:G9"/>
    <mergeCell ref="H7:H9"/>
    <mergeCell ref="I7:I9"/>
    <mergeCell ref="P7:P9"/>
    <mergeCell ref="Q7:Q9"/>
    <mergeCell ref="K7:K9"/>
    <mergeCell ref="L7:L9"/>
    <mergeCell ref="M7:M9"/>
    <mergeCell ref="N7:N9"/>
    <mergeCell ref="O7:O9"/>
  </mergeCells>
  <conditionalFormatting sqref="C14:Q14">
    <cfRule type="colorScale" priority="119">
      <colorScale>
        <cfvo type="min"/>
        <cfvo type="num" val="0"/>
        <cfvo type="max"/>
        <color theme="4" tint="0.79998168889431442"/>
        <color theme="0"/>
        <color rgb="FF8DEB91"/>
      </colorScale>
    </cfRule>
  </conditionalFormatting>
  <conditionalFormatting sqref="C15:Q15">
    <cfRule type="colorScale" priority="70">
      <colorScale>
        <cfvo type="min"/>
        <cfvo type="num" val="0"/>
        <cfvo type="max"/>
        <color theme="4" tint="0.79998168889431442"/>
        <color theme="0"/>
        <color rgb="FF8DEB91"/>
      </colorScale>
    </cfRule>
  </conditionalFormatting>
  <conditionalFormatting sqref="C16:Q16">
    <cfRule type="colorScale" priority="49">
      <colorScale>
        <cfvo type="min"/>
        <cfvo type="num" val="0"/>
        <cfvo type="max"/>
        <color theme="4" tint="0.79998168889431442"/>
        <color theme="0"/>
        <color rgb="FF8DEB91"/>
      </colorScale>
    </cfRule>
  </conditionalFormatting>
  <conditionalFormatting sqref="C17:Q17">
    <cfRule type="colorScale" priority="120">
      <colorScale>
        <cfvo type="min"/>
        <cfvo type="num" val="0"/>
        <cfvo type="max"/>
        <color theme="4" tint="0.79998168889431442"/>
        <color theme="0"/>
        <color rgb="FF8DEB91"/>
      </colorScale>
    </cfRule>
  </conditionalFormatting>
  <conditionalFormatting sqref="C18:Q18">
    <cfRule type="colorScale" priority="121">
      <colorScale>
        <cfvo type="min"/>
        <cfvo type="num" val="0"/>
        <cfvo type="max"/>
        <color theme="4" tint="0.79998168889431442"/>
        <color theme="0"/>
        <color rgb="FF8DEB91"/>
      </colorScale>
    </cfRule>
  </conditionalFormatting>
  <conditionalFormatting sqref="C19:Q19">
    <cfRule type="colorScale" priority="122">
      <colorScale>
        <cfvo type="min"/>
        <cfvo type="num" val="0"/>
        <cfvo type="max"/>
        <color theme="4" tint="0.79998168889431442"/>
        <color theme="0"/>
        <color rgb="FF8DEB91"/>
      </colorScale>
    </cfRule>
  </conditionalFormatting>
  <conditionalFormatting sqref="C23:Q23">
    <cfRule type="colorScale" priority="123">
      <colorScale>
        <cfvo type="min"/>
        <cfvo type="percentile" val="50"/>
        <cfvo type="max"/>
        <color theme="4" tint="0.79998168889431442"/>
        <color theme="0"/>
        <color rgb="FF8DEB91"/>
      </colorScale>
    </cfRule>
  </conditionalFormatting>
  <conditionalFormatting sqref="C24:Q24">
    <cfRule type="colorScale" priority="124">
      <colorScale>
        <cfvo type="min"/>
        <cfvo type="percentile" val="50"/>
        <cfvo type="max"/>
        <color theme="4" tint="0.79998168889431442"/>
        <color theme="0"/>
        <color rgb="FF8DEB91"/>
      </colorScale>
    </cfRule>
  </conditionalFormatting>
  <conditionalFormatting sqref="C25:Q25">
    <cfRule type="colorScale" priority="125">
      <colorScale>
        <cfvo type="min"/>
        <cfvo type="percentile" val="50"/>
        <cfvo type="max"/>
        <color theme="4" tint="0.79998168889431442"/>
        <color theme="0"/>
        <color rgb="FF8DEB91"/>
      </colorScale>
    </cfRule>
  </conditionalFormatting>
  <conditionalFormatting sqref="C26:Q26">
    <cfRule type="colorScale" priority="126">
      <colorScale>
        <cfvo type="min"/>
        <cfvo type="percentile" val="50"/>
        <cfvo type="max"/>
        <color theme="4" tint="0.79998168889431442"/>
        <color theme="0"/>
        <color rgb="FF8DEB91"/>
      </colorScale>
    </cfRule>
  </conditionalFormatting>
  <conditionalFormatting sqref="C27:Q27">
    <cfRule type="colorScale" priority="127">
      <colorScale>
        <cfvo type="min"/>
        <cfvo type="percentile" val="50"/>
        <cfvo type="max"/>
        <color theme="4" tint="0.79998168889431442"/>
        <color theme="0"/>
        <color rgb="FF8DEB91"/>
      </colorScale>
    </cfRule>
  </conditionalFormatting>
  <conditionalFormatting sqref="C28:Q28">
    <cfRule type="colorScale" priority="128">
      <colorScale>
        <cfvo type="min"/>
        <cfvo type="percentile" val="50"/>
        <cfvo type="max"/>
        <color theme="4" tint="0.79998168889431442"/>
        <color theme="0"/>
        <color rgb="FF8DEB91"/>
      </colorScale>
    </cfRule>
  </conditionalFormatting>
  <conditionalFormatting sqref="C32:Q32">
    <cfRule type="colorScale" priority="129">
      <colorScale>
        <cfvo type="min"/>
        <cfvo type="percentile" val="50"/>
        <cfvo type="max"/>
        <color theme="4" tint="0.79998168889431442"/>
        <color theme="0"/>
        <color rgb="FF8DEB91"/>
      </colorScale>
    </cfRule>
  </conditionalFormatting>
  <conditionalFormatting sqref="C33:Q33">
    <cfRule type="colorScale" priority="130">
      <colorScale>
        <cfvo type="min"/>
        <cfvo type="percentile" val="50"/>
        <cfvo type="max"/>
        <color theme="4" tint="0.79998168889431442"/>
        <color theme="0"/>
        <color rgb="FF8DEB91"/>
      </colorScale>
    </cfRule>
  </conditionalFormatting>
  <conditionalFormatting sqref="C34:Q34">
    <cfRule type="colorScale" priority="131">
      <colorScale>
        <cfvo type="min"/>
        <cfvo type="percentile" val="50"/>
        <cfvo type="max"/>
        <color theme="4" tint="0.79998168889431442"/>
        <color theme="0"/>
        <color rgb="FF8DEB91"/>
      </colorScale>
    </cfRule>
  </conditionalFormatting>
  <conditionalFormatting sqref="C35:Q35">
    <cfRule type="colorScale" priority="132">
      <colorScale>
        <cfvo type="min"/>
        <cfvo type="percentile" val="50"/>
        <cfvo type="max"/>
        <color theme="4" tint="0.79998168889431442"/>
        <color theme="0"/>
        <color rgb="FF8DEB91"/>
      </colorScale>
    </cfRule>
  </conditionalFormatting>
  <conditionalFormatting sqref="C36:Q36">
    <cfRule type="colorScale" priority="133">
      <colorScale>
        <cfvo type="min"/>
        <cfvo type="percentile" val="50"/>
        <cfvo type="max"/>
        <color theme="4" tint="0.79998168889431442"/>
        <color theme="0"/>
        <color rgb="FF8DEB91"/>
      </colorScale>
    </cfRule>
  </conditionalFormatting>
  <conditionalFormatting sqref="C37:Q37">
    <cfRule type="colorScale" priority="134">
      <colorScale>
        <cfvo type="min"/>
        <cfvo type="percentile" val="50"/>
        <cfvo type="max"/>
        <color theme="4" tint="0.79998168889431442"/>
        <color theme="0"/>
        <color rgb="FF8DEB91"/>
      </colorScale>
    </cfRule>
  </conditionalFormatting>
  <conditionalFormatting sqref="C41:Q41">
    <cfRule type="colorScale" priority="135">
      <colorScale>
        <cfvo type="min"/>
        <cfvo type="percentile" val="50"/>
        <cfvo type="max"/>
        <color theme="4" tint="0.79998168889431442"/>
        <color theme="0" tint="-4.9989318521683403E-2"/>
        <color rgb="FF8DEB91"/>
      </colorScale>
    </cfRule>
  </conditionalFormatting>
  <conditionalFormatting sqref="C42:Q42">
    <cfRule type="colorScale" priority="136">
      <colorScale>
        <cfvo type="min"/>
        <cfvo type="percentile" val="50"/>
        <cfvo type="max"/>
        <color theme="4" tint="0.79998168889431442"/>
        <color theme="0" tint="-4.9989318521683403E-2"/>
        <color rgb="FF8DEB91"/>
      </colorScale>
    </cfRule>
  </conditionalFormatting>
  <conditionalFormatting sqref="C43:Q43">
    <cfRule type="colorScale" priority="137">
      <colorScale>
        <cfvo type="min"/>
        <cfvo type="percentile" val="50"/>
        <cfvo type="max"/>
        <color theme="4" tint="0.79998168889431442"/>
        <color theme="0" tint="-4.9989318521683403E-2"/>
        <color rgb="FF8DEB91"/>
      </colorScale>
    </cfRule>
  </conditionalFormatting>
  <conditionalFormatting sqref="C44:Q44">
    <cfRule type="colorScale" priority="138">
      <colorScale>
        <cfvo type="min"/>
        <cfvo type="percentile" val="50"/>
        <cfvo type="max"/>
        <color theme="4" tint="0.79998168889431442"/>
        <color theme="0"/>
        <color rgb="FF8DEB91"/>
      </colorScale>
    </cfRule>
  </conditionalFormatting>
  <conditionalFormatting sqref="C45:Q45">
    <cfRule type="colorScale" priority="139">
      <colorScale>
        <cfvo type="min"/>
        <cfvo type="percentile" val="50"/>
        <cfvo type="max"/>
        <color theme="4" tint="0.79998168889431442"/>
        <color theme="0"/>
        <color rgb="FF8DEB91"/>
      </colorScale>
    </cfRule>
  </conditionalFormatting>
  <conditionalFormatting sqref="C49:Q49">
    <cfRule type="colorScale" priority="140">
      <colorScale>
        <cfvo type="min"/>
        <cfvo type="percentile" val="50"/>
        <cfvo type="max"/>
        <color theme="4" tint="0.79998168889431442"/>
        <color theme="0"/>
        <color rgb="FF8DEB91"/>
      </colorScale>
    </cfRule>
  </conditionalFormatting>
  <conditionalFormatting sqref="C50:Q50">
    <cfRule type="colorScale" priority="141">
      <colorScale>
        <cfvo type="min"/>
        <cfvo type="percentile" val="50"/>
        <cfvo type="max"/>
        <color theme="4" tint="0.79998168889431442"/>
        <color theme="0"/>
        <color rgb="FF8DEB91"/>
      </colorScale>
    </cfRule>
  </conditionalFormatting>
  <conditionalFormatting sqref="C51:Q51">
    <cfRule type="colorScale" priority="142">
      <colorScale>
        <cfvo type="min"/>
        <cfvo type="percentile" val="50"/>
        <cfvo type="max"/>
        <color theme="4" tint="0.79998168889431442"/>
        <color theme="0"/>
        <color rgb="FF8DEB91"/>
      </colorScale>
    </cfRule>
  </conditionalFormatting>
  <conditionalFormatting sqref="C52:Q52">
    <cfRule type="colorScale" priority="143">
      <colorScale>
        <cfvo type="min"/>
        <cfvo type="percentile" val="50"/>
        <cfvo type="max"/>
        <color theme="4" tint="0.79998168889431442"/>
        <color theme="0"/>
        <color rgb="FF8DEB91"/>
      </colorScale>
    </cfRule>
  </conditionalFormatting>
  <conditionalFormatting sqref="C53:Q53">
    <cfRule type="colorScale" priority="144">
      <colorScale>
        <cfvo type="min"/>
        <cfvo type="percentile" val="50"/>
        <cfvo type="max"/>
        <color theme="4" tint="0.79998168889431442"/>
        <color theme="0"/>
        <color rgb="FF8DEB91"/>
      </colorScale>
    </cfRule>
  </conditionalFormatting>
  <conditionalFormatting sqref="C54:Q54">
    <cfRule type="colorScale" priority="145">
      <colorScale>
        <cfvo type="min"/>
        <cfvo type="percentile" val="50"/>
        <cfvo type="max"/>
        <color theme="4" tint="0.79998168889431442"/>
        <color theme="0" tint="-4.9989318521683403E-2"/>
        <color rgb="FF8DEB91"/>
      </colorScale>
    </cfRule>
  </conditionalFormatting>
  <conditionalFormatting sqref="C55:Q55">
    <cfRule type="colorScale" priority="146">
      <colorScale>
        <cfvo type="min"/>
        <cfvo type="percentile" val="50"/>
        <cfvo type="max"/>
        <color theme="4" tint="0.79998168889431442"/>
        <color theme="0"/>
        <color rgb="FF8DEB91"/>
      </colorScale>
    </cfRule>
  </conditionalFormatting>
  <conditionalFormatting sqref="C59:Q59">
    <cfRule type="colorScale" priority="147">
      <colorScale>
        <cfvo type="min"/>
        <cfvo type="percentile" val="50"/>
        <cfvo type="max"/>
        <color theme="4" tint="0.79998168889431442"/>
        <color theme="0" tint="-4.9989318521683403E-2"/>
        <color rgb="FF8DEB91"/>
      </colorScale>
    </cfRule>
  </conditionalFormatting>
  <conditionalFormatting sqref="C60:Q60">
    <cfRule type="colorScale" priority="148">
      <colorScale>
        <cfvo type="min"/>
        <cfvo type="percentile" val="50"/>
        <cfvo type="max"/>
        <color theme="4" tint="0.79998168889431442"/>
        <color theme="0" tint="-4.9989318521683403E-2"/>
        <color rgb="FF8DEB91"/>
      </colorScale>
    </cfRule>
  </conditionalFormatting>
  <conditionalFormatting sqref="C61:Q61">
    <cfRule type="colorScale" priority="149">
      <colorScale>
        <cfvo type="min"/>
        <cfvo type="percentile" val="50"/>
        <cfvo type="max"/>
        <color theme="4" tint="0.79998168889431442"/>
        <color theme="0" tint="-4.9989318521683403E-2"/>
        <color rgb="FF8DEB91"/>
      </colorScale>
    </cfRule>
  </conditionalFormatting>
  <conditionalFormatting sqref="C62:Q62">
    <cfRule type="colorScale" priority="150">
      <colorScale>
        <cfvo type="min"/>
        <cfvo type="percentile" val="50"/>
        <cfvo type="max"/>
        <color theme="4" tint="0.79998168889431442"/>
        <color theme="0"/>
        <color rgb="FF8DEB91"/>
      </colorScale>
    </cfRule>
  </conditionalFormatting>
  <conditionalFormatting sqref="C63:Q63">
    <cfRule type="colorScale" priority="151">
      <colorScale>
        <cfvo type="min"/>
        <cfvo type="percentile" val="50"/>
        <cfvo type="max"/>
        <color theme="4" tint="0.79998168889431442"/>
        <color theme="0"/>
        <color rgb="FF8DEB91"/>
      </colorScale>
    </cfRule>
  </conditionalFormatting>
  <conditionalFormatting sqref="C67:Q67">
    <cfRule type="colorScale" priority="152">
      <colorScale>
        <cfvo type="min"/>
        <cfvo type="percentile" val="50"/>
        <cfvo type="max"/>
        <color theme="4" tint="0.79998168889431442"/>
        <color theme="0" tint="-4.9989318521683403E-2"/>
        <color rgb="FF8DEB91"/>
      </colorScale>
    </cfRule>
  </conditionalFormatting>
  <conditionalFormatting sqref="C68:Q68">
    <cfRule type="colorScale" priority="153">
      <colorScale>
        <cfvo type="min"/>
        <cfvo type="percentile" val="50"/>
        <cfvo type="max"/>
        <color theme="4" tint="0.79998168889431442"/>
        <color theme="0" tint="-4.9989318521683403E-2"/>
        <color rgb="FF8DEB91"/>
      </colorScale>
    </cfRule>
  </conditionalFormatting>
  <conditionalFormatting sqref="C69:Q69">
    <cfRule type="colorScale" priority="154">
      <colorScale>
        <cfvo type="min"/>
        <cfvo type="percentile" val="50"/>
        <cfvo type="max"/>
        <color theme="4" tint="0.79998168889431442"/>
        <color theme="0" tint="-4.9989318521683403E-2"/>
        <color rgb="FF8DEB91"/>
      </colorScale>
    </cfRule>
  </conditionalFormatting>
  <conditionalFormatting sqref="C73:Q73">
    <cfRule type="colorScale" priority="155">
      <colorScale>
        <cfvo type="min"/>
        <cfvo type="percentile" val="50"/>
        <cfvo type="max"/>
        <color theme="4" tint="0.79998168889431442"/>
        <color theme="0"/>
        <color rgb="FF8DEB91"/>
      </colorScale>
    </cfRule>
  </conditionalFormatting>
  <conditionalFormatting sqref="C74:Q74">
    <cfRule type="colorScale" priority="156">
      <colorScale>
        <cfvo type="min"/>
        <cfvo type="percentile" val="50"/>
        <cfvo type="max"/>
        <color theme="4" tint="0.79998168889431442"/>
        <color theme="0"/>
        <color rgb="FF8DEB91"/>
      </colorScale>
    </cfRule>
  </conditionalFormatting>
  <conditionalFormatting sqref="C75:Q75">
    <cfRule type="colorScale" priority="157">
      <colorScale>
        <cfvo type="min"/>
        <cfvo type="percentile" val="50"/>
        <cfvo type="max"/>
        <color theme="4" tint="0.79998168889431442"/>
        <color theme="0"/>
        <color rgb="FF8DEB91"/>
      </colorScale>
    </cfRule>
  </conditionalFormatting>
  <conditionalFormatting sqref="C76:Q76">
    <cfRule type="colorScale" priority="158">
      <colorScale>
        <cfvo type="min"/>
        <cfvo type="percentile" val="50"/>
        <cfvo type="max"/>
        <color theme="4" tint="0.79998168889431442"/>
        <color theme="0" tint="-4.9989318521683403E-2"/>
        <color rgb="FF8DEB91"/>
      </colorScale>
    </cfRule>
  </conditionalFormatting>
  <conditionalFormatting sqref="C77:Q77">
    <cfRule type="colorScale" priority="159">
      <colorScale>
        <cfvo type="min"/>
        <cfvo type="percentile" val="50"/>
        <cfvo type="max"/>
        <color theme="4" tint="0.79998168889431442"/>
        <color theme="0"/>
        <color rgb="FF8DEB91"/>
      </colorScale>
    </cfRule>
  </conditionalFormatting>
  <conditionalFormatting sqref="C78:Q78">
    <cfRule type="colorScale" priority="160">
      <colorScale>
        <cfvo type="min"/>
        <cfvo type="percentile" val="50"/>
        <cfvo type="max"/>
        <color theme="4" tint="0.79998168889431442"/>
        <color theme="0"/>
        <color rgb="FF8DEB91"/>
      </colorScale>
    </cfRule>
  </conditionalFormatting>
  <conditionalFormatting sqref="C79:Q79">
    <cfRule type="colorScale" priority="161">
      <colorScale>
        <cfvo type="min"/>
        <cfvo type="percentile" val="50"/>
        <cfvo type="max"/>
        <color theme="4" tint="0.79998168889431442"/>
        <color theme="0"/>
        <color rgb="FF8DEB91"/>
      </colorScale>
    </cfRule>
  </conditionalFormatting>
  <conditionalFormatting sqref="C83:Q83">
    <cfRule type="colorScale" priority="162">
      <colorScale>
        <cfvo type="min"/>
        <cfvo type="percentile" val="50"/>
        <cfvo type="max"/>
        <color theme="4" tint="0.79998168889431442"/>
        <color theme="0" tint="-4.9989318521683403E-2"/>
        <color rgb="FF8DEB91"/>
      </colorScale>
    </cfRule>
  </conditionalFormatting>
  <conditionalFormatting sqref="C84:Q84">
    <cfRule type="colorScale" priority="163">
      <colorScale>
        <cfvo type="min"/>
        <cfvo type="percentile" val="50"/>
        <cfvo type="max"/>
        <color theme="4" tint="0.79998168889431442"/>
        <color theme="0" tint="-4.9989318521683403E-2"/>
        <color rgb="FF8DEB91"/>
      </colorScale>
    </cfRule>
  </conditionalFormatting>
  <conditionalFormatting sqref="C88:Q88">
    <cfRule type="colorScale" priority="164">
      <colorScale>
        <cfvo type="min"/>
        <cfvo type="percentile" val="50"/>
        <cfvo type="max"/>
        <color theme="4" tint="0.79998168889431442"/>
        <color theme="0"/>
        <color rgb="FF8DEB91"/>
      </colorScale>
    </cfRule>
  </conditionalFormatting>
  <conditionalFormatting sqref="C89:Q89">
    <cfRule type="colorScale" priority="165">
      <colorScale>
        <cfvo type="min"/>
        <cfvo type="percentile" val="50"/>
        <cfvo type="max"/>
        <color theme="4" tint="0.79998168889431442"/>
        <color theme="0"/>
        <color rgb="FF8DEB91"/>
      </colorScale>
    </cfRule>
  </conditionalFormatting>
  <conditionalFormatting sqref="C90:Q90">
    <cfRule type="colorScale" priority="166">
      <colorScale>
        <cfvo type="min"/>
        <cfvo type="percentile" val="50"/>
        <cfvo type="max"/>
        <color theme="4" tint="0.79998168889431442"/>
        <color theme="0"/>
        <color rgb="FF8DEB91"/>
      </colorScale>
    </cfRule>
  </conditionalFormatting>
  <conditionalFormatting sqref="C91:Q91">
    <cfRule type="colorScale" priority="167">
      <colorScale>
        <cfvo type="min"/>
        <cfvo type="percentile" val="50"/>
        <cfvo type="max"/>
        <color theme="4" tint="0.79998168889431442"/>
        <color theme="0"/>
        <color rgb="FF8DEB91"/>
      </colorScale>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39997558519241921"/>
  </sheetPr>
  <dimension ref="B1:AA63"/>
  <sheetViews>
    <sheetView showGridLines="0" zoomScale="85" zoomScaleNormal="85" workbookViewId="0">
      <selection activeCell="AC33" sqref="AC33"/>
    </sheetView>
  </sheetViews>
  <sheetFormatPr defaultColWidth="9" defaultRowHeight="15" customHeight="1"/>
  <cols>
    <col min="1" max="1" width="2.125" style="562" customWidth="1"/>
    <col min="2" max="2" width="28.125" style="562" customWidth="1"/>
    <col min="3" max="4" width="10.625" style="562" customWidth="1"/>
    <col min="5" max="5" width="8.625" style="562" customWidth="1"/>
    <col min="6" max="7" width="11.625" style="562" customWidth="1"/>
    <col min="8" max="8" width="1.625" style="562" customWidth="1"/>
    <col min="9" max="17" width="9.625" style="562" customWidth="1"/>
    <col min="18" max="18" width="1.625" style="562" customWidth="1"/>
    <col min="19" max="20" width="8.625" style="562" customWidth="1"/>
    <col min="21" max="21" width="1.625" style="562" customWidth="1"/>
    <col min="22" max="24" width="9.625" style="562" customWidth="1"/>
    <col min="25" max="25" width="1.625" style="562" customWidth="1"/>
    <col min="26" max="26" width="8.625" style="562" customWidth="1"/>
    <col min="27" max="16384" width="9" style="562"/>
  </cols>
  <sheetData>
    <row r="1" spans="2:26" s="573" customFormat="1" ht="15" customHeight="1"/>
    <row r="2" spans="2:26" s="573" customFormat="1" ht="15" customHeight="1"/>
    <row r="3" spans="2:26" s="573" customFormat="1" ht="15" customHeight="1"/>
    <row r="4" spans="2:26" s="573" customFormat="1" ht="15" customHeight="1"/>
    <row r="5" spans="2:26" s="560" customFormat="1" ht="3.95" customHeight="1">
      <c r="B5" s="36"/>
      <c r="C5" s="36"/>
      <c r="D5" s="36"/>
      <c r="E5" s="36"/>
      <c r="F5" s="36"/>
      <c r="G5" s="36"/>
      <c r="H5" s="36"/>
      <c r="I5" s="36"/>
      <c r="J5" s="36"/>
      <c r="K5" s="36"/>
      <c r="L5" s="36"/>
      <c r="M5" s="36"/>
      <c r="N5" s="36"/>
      <c r="O5" s="36"/>
      <c r="P5" s="36"/>
      <c r="Q5" s="36"/>
      <c r="R5" s="36"/>
      <c r="S5" s="36"/>
      <c r="T5" s="36"/>
      <c r="U5" s="36"/>
      <c r="V5" s="36"/>
      <c r="W5" s="36"/>
      <c r="X5" s="36"/>
      <c r="Y5" s="36"/>
      <c r="Z5" s="36"/>
    </row>
    <row r="7" spans="2:26" s="561" customFormat="1" ht="15" customHeight="1">
      <c r="B7" s="614" t="str">
        <f>"in "&amp;IF(Inputs!$R$18="k","thousands",IF(Inputs!$R$18="MLN","millions","billions")&amp;" of "&amp;Inputs!$R$17)</f>
        <v>in millions of USD</v>
      </c>
      <c r="C7" s="367"/>
      <c r="D7" s="615" t="s">
        <v>444</v>
      </c>
      <c r="E7" s="615" t="s">
        <v>445</v>
      </c>
      <c r="F7" s="615"/>
      <c r="G7" s="615"/>
      <c r="H7" s="615"/>
      <c r="I7" s="897" t="s">
        <v>446</v>
      </c>
      <c r="J7" s="897"/>
      <c r="K7" s="897"/>
      <c r="L7" s="897"/>
      <c r="M7" s="897"/>
      <c r="N7" s="897"/>
      <c r="O7" s="897"/>
      <c r="P7" s="897"/>
      <c r="Q7" s="897"/>
      <c r="R7" s="615"/>
      <c r="S7" s="615" t="s">
        <v>447</v>
      </c>
      <c r="T7" s="615" t="s">
        <v>448</v>
      </c>
      <c r="U7" s="615"/>
      <c r="V7" s="897" t="s">
        <v>449</v>
      </c>
      <c r="W7" s="897"/>
      <c r="X7" s="897"/>
      <c r="Y7" s="615"/>
      <c r="Z7" s="615" t="s">
        <v>450</v>
      </c>
    </row>
    <row r="8" spans="2:26" s="561" customFormat="1" ht="15" customHeight="1">
      <c r="B8" s="367"/>
      <c r="C8" s="367"/>
      <c r="D8" s="615" t="s">
        <v>451</v>
      </c>
      <c r="E8" s="615" t="s">
        <v>452</v>
      </c>
      <c r="F8" s="615" t="s">
        <v>453</v>
      </c>
      <c r="G8" s="615" t="s">
        <v>454</v>
      </c>
      <c r="H8" s="615"/>
      <c r="I8" s="615" t="s">
        <v>447</v>
      </c>
      <c r="J8" s="526">
        <v>2025</v>
      </c>
      <c r="K8" s="526">
        <v>2026</v>
      </c>
      <c r="L8" s="615" t="s">
        <v>447</v>
      </c>
      <c r="M8" s="615" t="s">
        <v>455</v>
      </c>
      <c r="N8" s="615" t="s">
        <v>456</v>
      </c>
      <c r="O8" s="615" t="s">
        <v>447</v>
      </c>
      <c r="P8" s="615" t="s">
        <v>455</v>
      </c>
      <c r="Q8" s="615" t="s">
        <v>456</v>
      </c>
      <c r="R8" s="615"/>
      <c r="S8" s="615" t="s">
        <v>457</v>
      </c>
      <c r="T8" s="615" t="s">
        <v>458</v>
      </c>
      <c r="U8" s="615"/>
      <c r="V8" s="615" t="s">
        <v>447</v>
      </c>
      <c r="W8" s="615" t="s">
        <v>455</v>
      </c>
      <c r="X8" s="615" t="s">
        <v>456</v>
      </c>
      <c r="Y8" s="615"/>
      <c r="Z8" s="615" t="s">
        <v>459</v>
      </c>
    </row>
    <row r="9" spans="2:26" s="561" customFormat="1" ht="15" customHeight="1">
      <c r="B9" s="367" t="s">
        <v>61</v>
      </c>
      <c r="C9" s="367" t="s">
        <v>13</v>
      </c>
      <c r="D9" s="615" t="s">
        <v>460</v>
      </c>
      <c r="E9" s="615" t="s">
        <v>461</v>
      </c>
      <c r="F9" s="615" t="s">
        <v>275</v>
      </c>
      <c r="G9" s="615" t="s">
        <v>275</v>
      </c>
      <c r="H9" s="615"/>
      <c r="I9" s="615" t="s">
        <v>462</v>
      </c>
      <c r="J9" s="615" t="s">
        <v>462</v>
      </c>
      <c r="K9" s="615" t="s">
        <v>462</v>
      </c>
      <c r="L9" s="615" t="s">
        <v>457</v>
      </c>
      <c r="M9" s="615" t="s">
        <v>457</v>
      </c>
      <c r="N9" s="615" t="s">
        <v>457</v>
      </c>
      <c r="O9" s="615" t="s">
        <v>463</v>
      </c>
      <c r="P9" s="615" t="s">
        <v>463</v>
      </c>
      <c r="Q9" s="615" t="s">
        <v>463</v>
      </c>
      <c r="R9" s="615"/>
      <c r="S9" s="615" t="s">
        <v>464</v>
      </c>
      <c r="T9" s="615" t="s">
        <v>457</v>
      </c>
      <c r="U9" s="615"/>
      <c r="V9" s="615" t="s">
        <v>459</v>
      </c>
      <c r="W9" s="615" t="s">
        <v>459</v>
      </c>
      <c r="X9" s="615" t="s">
        <v>459</v>
      </c>
      <c r="Y9" s="615"/>
      <c r="Z9" s="615" t="s">
        <v>367</v>
      </c>
    </row>
    <row r="10" spans="2:26" ht="3.95" customHeight="1">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2:26" s="23" customFormat="1" ht="15" customHeight="1">
      <c r="B11" s="23" t="s">
        <v>465</v>
      </c>
      <c r="C11" s="23" t="s">
        <v>466</v>
      </c>
      <c r="D11" s="616" t="s">
        <v>467</v>
      </c>
      <c r="E11" s="472">
        <v>0.80678568543501084</v>
      </c>
      <c r="F11" s="617">
        <v>117965.20014917439</v>
      </c>
      <c r="G11" s="617">
        <v>126737.87999999999</v>
      </c>
      <c r="I11" s="618">
        <v>1.7640704860531149</v>
      </c>
      <c r="J11" s="618">
        <v>1.7056649935576131</v>
      </c>
      <c r="K11" s="619">
        <v>1.3970490860315803</v>
      </c>
      <c r="L11" s="618">
        <v>8.4077139445402675</v>
      </c>
      <c r="M11" s="618">
        <v>9.246047164821535</v>
      </c>
      <c r="N11" s="619">
        <v>8.4985188196490462</v>
      </c>
      <c r="O11" s="618">
        <v>11.830288434612152</v>
      </c>
      <c r="P11" s="618">
        <v>11.732936832035548</v>
      </c>
      <c r="Q11" s="619">
        <v>10.586731512634289</v>
      </c>
      <c r="S11" s="480">
        <v>0.12765157841990982</v>
      </c>
      <c r="T11" s="618">
        <v>2.8467306933298251</v>
      </c>
      <c r="U11" s="620"/>
      <c r="V11" s="618">
        <v>14.824117570208349</v>
      </c>
      <c r="W11" s="618">
        <v>14.639417926718048</v>
      </c>
      <c r="X11" s="618">
        <v>13.394264412720531</v>
      </c>
      <c r="Y11" s="620"/>
      <c r="Z11" s="480">
        <v>9.6329117885116666E-2</v>
      </c>
    </row>
    <row r="12" spans="2:26" ht="12" customHeight="1">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2:26" s="563" customFormat="1" ht="15" customHeight="1">
      <c r="B13" s="367" t="s">
        <v>468</v>
      </c>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2:26" ht="3.95" customHeight="1">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2:26" ht="3.95" customHeight="1">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2:26" ht="15" customHeight="1">
      <c r="B16" s="23" t="s">
        <v>369</v>
      </c>
      <c r="C16" s="23" t="s">
        <v>469</v>
      </c>
      <c r="D16" s="616" t="s">
        <v>470</v>
      </c>
      <c r="E16" s="472">
        <v>0.98096242093513586</v>
      </c>
      <c r="F16" s="617">
        <v>211810.85870448002</v>
      </c>
      <c r="G16" s="617">
        <v>236115.87757854001</v>
      </c>
      <c r="H16" s="23"/>
      <c r="I16" s="618">
        <v>2.8243863871402768</v>
      </c>
      <c r="J16" s="618">
        <v>2.7576893212834634</v>
      </c>
      <c r="K16" s="619">
        <v>2.6023739485427599</v>
      </c>
      <c r="L16" s="618">
        <v>15.663783838300386</v>
      </c>
      <c r="M16" s="618">
        <v>17.253774748585485</v>
      </c>
      <c r="N16" s="619">
        <v>15.857596291314078</v>
      </c>
      <c r="O16" s="618">
        <v>22.040126722537106</v>
      </c>
      <c r="P16" s="618">
        <v>21.848420244151015</v>
      </c>
      <c r="Q16" s="619">
        <v>19.724509762851618</v>
      </c>
      <c r="R16" s="23"/>
      <c r="S16" s="480">
        <v>0.18031316164068947</v>
      </c>
      <c r="T16" s="618">
        <v>3.4378203611702549</v>
      </c>
      <c r="U16" s="620"/>
      <c r="V16" s="618">
        <v>26.617248714971776</v>
      </c>
      <c r="W16" s="618">
        <v>26.273558309855805</v>
      </c>
      <c r="X16" s="618">
        <v>24.023007678856757</v>
      </c>
      <c r="Y16" s="620"/>
      <c r="Z16" s="480">
        <v>9.6161488751268731E-2</v>
      </c>
    </row>
    <row r="17" spans="2:26" ht="15" customHeight="1">
      <c r="B17" s="23" t="s">
        <v>370</v>
      </c>
      <c r="C17" s="23" t="s">
        <v>471</v>
      </c>
      <c r="D17" s="616" t="s">
        <v>472</v>
      </c>
      <c r="E17" s="472">
        <v>0.95467478660210647</v>
      </c>
      <c r="F17" s="617">
        <v>82048.14417545998</v>
      </c>
      <c r="G17" s="617">
        <v>87252.14497958</v>
      </c>
      <c r="H17" s="23"/>
      <c r="I17" s="618">
        <v>2.1543207570079752</v>
      </c>
      <c r="J17" s="618">
        <v>2.0682640042073746</v>
      </c>
      <c r="K17" s="619">
        <v>1.9686896198412371</v>
      </c>
      <c r="L17" s="618">
        <v>16.133902547999259</v>
      </c>
      <c r="M17" s="618">
        <v>14.901841545582716</v>
      </c>
      <c r="N17" s="619">
        <v>13.717812275698451</v>
      </c>
      <c r="O17" s="618">
        <v>21.944704471725352</v>
      </c>
      <c r="P17" s="618">
        <v>19.634137802286283</v>
      </c>
      <c r="Q17" s="619">
        <v>17.881919718728927</v>
      </c>
      <c r="R17" s="23"/>
      <c r="S17" s="480">
        <v>0.13352756722056244</v>
      </c>
      <c r="T17" s="618">
        <v>3.1062245078914703</v>
      </c>
      <c r="U17" s="620"/>
      <c r="V17" s="618">
        <v>23.917185542516993</v>
      </c>
      <c r="W17" s="618">
        <v>22.485103912156749</v>
      </c>
      <c r="X17" s="618">
        <v>20.218625279393795</v>
      </c>
      <c r="Y17" s="620"/>
      <c r="Z17" s="480">
        <v>7.606479752658446E-2</v>
      </c>
    </row>
    <row r="18" spans="2:26" ht="15" customHeight="1">
      <c r="B18" s="23" t="s">
        <v>379</v>
      </c>
      <c r="C18" s="23" t="s">
        <v>473</v>
      </c>
      <c r="D18" s="616" t="s">
        <v>474</v>
      </c>
      <c r="E18" s="472">
        <v>0.88862334665622811</v>
      </c>
      <c r="F18" s="617">
        <v>163065.40692675</v>
      </c>
      <c r="G18" s="617">
        <v>194430.70919065</v>
      </c>
      <c r="H18" s="23"/>
      <c r="I18" s="618">
        <v>2.581155617383541</v>
      </c>
      <c r="J18" s="618">
        <v>2.2595446375889212</v>
      </c>
      <c r="K18" s="619">
        <v>2.0034325605872647</v>
      </c>
      <c r="L18" s="852">
        <v>-23.3</v>
      </c>
      <c r="M18" s="618">
        <v>66.21503378022058</v>
      </c>
      <c r="N18" s="619">
        <v>25.146960347136631</v>
      </c>
      <c r="O18" s="852">
        <v>-19</v>
      </c>
      <c r="P18" s="618">
        <v>292.30938122799233</v>
      </c>
      <c r="Q18" s="619">
        <v>37.124137463756462</v>
      </c>
      <c r="R18" s="23"/>
      <c r="S18" s="480">
        <v>-0.11065089542926175</v>
      </c>
      <c r="T18" s="853" t="s">
        <v>161</v>
      </c>
      <c r="U18" s="620"/>
      <c r="V18" s="852">
        <v>-13.6</v>
      </c>
      <c r="W18" s="851">
        <v>-109.2</v>
      </c>
      <c r="X18" s="618">
        <v>61.085665311069675</v>
      </c>
      <c r="Y18" s="620"/>
      <c r="Z18" s="480">
        <v>-2.7472747528042571</v>
      </c>
    </row>
    <row r="19" spans="2:26" ht="15" customHeight="1">
      <c r="B19" s="23" t="s">
        <v>381</v>
      </c>
      <c r="C19" s="23" t="s">
        <v>475</v>
      </c>
      <c r="D19" s="616" t="s">
        <v>476</v>
      </c>
      <c r="E19" s="472">
        <v>0.98577455458317353</v>
      </c>
      <c r="F19" s="617">
        <v>53123.696944119998</v>
      </c>
      <c r="G19" s="617">
        <v>57783.62529294</v>
      </c>
      <c r="H19" s="23"/>
      <c r="I19" s="618">
        <v>2.7035804656781921</v>
      </c>
      <c r="J19" s="618">
        <v>2.6571838113993471</v>
      </c>
      <c r="K19" s="619">
        <v>2.5114371924526671</v>
      </c>
      <c r="L19" s="618">
        <v>15.465032381163308</v>
      </c>
      <c r="M19" s="618">
        <v>14.862893044768782</v>
      </c>
      <c r="N19" s="619">
        <v>13.67875608607434</v>
      </c>
      <c r="O19" s="618">
        <v>23.277274989252259</v>
      </c>
      <c r="P19" s="618">
        <v>17.232125637199733</v>
      </c>
      <c r="Q19" s="619">
        <v>15.797047546168198</v>
      </c>
      <c r="R19" s="23"/>
      <c r="S19" s="480">
        <v>0.17481893338750476</v>
      </c>
      <c r="T19" s="618">
        <v>3.5448154657293496</v>
      </c>
      <c r="U19" s="620"/>
      <c r="V19" s="618">
        <v>26.709283718184377</v>
      </c>
      <c r="W19" s="850">
        <v>26.891885245527842</v>
      </c>
      <c r="X19" s="618">
        <v>21.769033032694985</v>
      </c>
      <c r="Y19" s="620"/>
      <c r="Z19" s="480">
        <v>0.15039291487801476</v>
      </c>
    </row>
    <row r="20" spans="2:26" ht="15" customHeight="1">
      <c r="B20" s="23" t="s">
        <v>374</v>
      </c>
      <c r="C20" s="23" t="s">
        <v>477</v>
      </c>
      <c r="D20" s="616" t="s">
        <v>478</v>
      </c>
      <c r="E20" s="472">
        <v>0.98300926767217878</v>
      </c>
      <c r="F20" s="617">
        <v>87175.362275359992</v>
      </c>
      <c r="G20" s="617">
        <v>87303.124253079994</v>
      </c>
      <c r="H20" s="23"/>
      <c r="I20" s="618">
        <v>1.7365807541439737</v>
      </c>
      <c r="J20" s="618">
        <v>1.7066012107032036</v>
      </c>
      <c r="K20" s="619">
        <v>1.6382031872153417</v>
      </c>
      <c r="L20" s="618">
        <v>14.356705188797894</v>
      </c>
      <c r="M20" s="618">
        <v>14.071950938762601</v>
      </c>
      <c r="N20" s="619">
        <v>12.992350404227397</v>
      </c>
      <c r="O20" s="618">
        <v>16.863651584523854</v>
      </c>
      <c r="P20" s="618">
        <v>16.562166738768155</v>
      </c>
      <c r="Q20" s="619">
        <v>15.144697681205979</v>
      </c>
      <c r="R20" s="23"/>
      <c r="S20" s="480">
        <v>0.12095956079804268</v>
      </c>
      <c r="T20" s="618">
        <v>1.7462588390067424</v>
      </c>
      <c r="U20" s="620"/>
      <c r="V20" s="618">
        <v>21.335135162838959</v>
      </c>
      <c r="W20" s="618">
        <v>21.108858122756548</v>
      </c>
      <c r="X20" s="618">
        <v>19.114679327587076</v>
      </c>
      <c r="Y20" s="620"/>
      <c r="Z20" s="480">
        <v>8.0851038592559599E-2</v>
      </c>
    </row>
    <row r="21" spans="2:26" ht="15" customHeight="1">
      <c r="B21" s="23"/>
      <c r="C21" s="23"/>
      <c r="D21" s="23"/>
      <c r="E21" s="23"/>
      <c r="F21" s="23"/>
      <c r="G21" s="23"/>
      <c r="H21" s="23"/>
      <c r="I21" s="23"/>
      <c r="J21" s="23"/>
      <c r="K21" s="620"/>
      <c r="L21" s="23"/>
      <c r="M21" s="23"/>
      <c r="N21" s="620"/>
      <c r="O21" s="23"/>
      <c r="P21" s="23"/>
      <c r="Q21" s="620"/>
      <c r="R21" s="23"/>
      <c r="S21" s="23"/>
      <c r="T21" s="23"/>
      <c r="U21" s="620"/>
      <c r="V21" s="23"/>
      <c r="W21" s="23"/>
      <c r="X21" s="23"/>
      <c r="Y21" s="620"/>
      <c r="Z21" s="23"/>
    </row>
    <row r="22" spans="2:26" ht="15" customHeight="1">
      <c r="B22" s="621" t="s">
        <v>479</v>
      </c>
      <c r="C22" s="622"/>
      <c r="D22" s="622"/>
      <c r="E22" s="622"/>
      <c r="F22" s="622"/>
      <c r="G22" s="622"/>
      <c r="H22" s="622"/>
      <c r="I22" s="623">
        <f>AVERAGE(I16:I20)</f>
        <v>2.4000047962707916</v>
      </c>
      <c r="J22" s="623">
        <f t="shared" ref="J22:Q22" si="0">AVERAGE(J16:J20)</f>
        <v>2.2898565970364619</v>
      </c>
      <c r="K22" s="624">
        <f t="shared" si="0"/>
        <v>2.1448273017278545</v>
      </c>
      <c r="L22" s="623">
        <f>AVERAGE(L16:L20)</f>
        <v>7.6638847912521699</v>
      </c>
      <c r="M22" s="623">
        <f t="shared" si="0"/>
        <v>25.46109881158403</v>
      </c>
      <c r="N22" s="624">
        <f t="shared" si="0"/>
        <v>16.278695080890181</v>
      </c>
      <c r="O22" s="623">
        <f t="shared" si="0"/>
        <v>13.025151553607714</v>
      </c>
      <c r="P22" s="623">
        <f t="shared" si="0"/>
        <v>73.517246330079502</v>
      </c>
      <c r="Q22" s="624">
        <f t="shared" si="0"/>
        <v>21.13446243454224</v>
      </c>
      <c r="R22" s="622"/>
      <c r="S22" s="625">
        <f>AVERAGE(S16:S20)</f>
        <v>9.9793665523507519E-2</v>
      </c>
      <c r="T22" s="623">
        <f>AVERAGE(T16:T20)</f>
        <v>2.9587797934494544</v>
      </c>
      <c r="U22" s="626"/>
      <c r="V22" s="623">
        <f t="shared" ref="V22:X22" si="1">AVERAGE(V16:V20)</f>
        <v>16.99577062770242</v>
      </c>
      <c r="W22" s="623">
        <f t="shared" si="1"/>
        <v>-2.4881188819406126</v>
      </c>
      <c r="X22" s="623">
        <f t="shared" si="1"/>
        <v>29.242202125920461</v>
      </c>
      <c r="Y22" s="626"/>
      <c r="Z22" s="625">
        <f>AVERAGE(Z16:Z20)</f>
        <v>-0.46876090261116587</v>
      </c>
    </row>
    <row r="23" spans="2:26" ht="15" customHeight="1">
      <c r="B23" s="627" t="s">
        <v>480</v>
      </c>
      <c r="C23" s="628"/>
      <c r="D23" s="628"/>
      <c r="E23" s="628"/>
      <c r="F23" s="628"/>
      <c r="G23" s="628"/>
      <c r="H23" s="628"/>
      <c r="I23" s="629">
        <f>MEDIAN(I16:I20)</f>
        <v>2.581155617383541</v>
      </c>
      <c r="J23" s="629">
        <f t="shared" ref="J23:T23" si="2">MEDIAN(J16:J20)</f>
        <v>2.2595446375889212</v>
      </c>
      <c r="K23" s="630">
        <f t="shared" si="2"/>
        <v>2.0034325605872647</v>
      </c>
      <c r="L23" s="629">
        <f>MEDIAN(L16:L20)</f>
        <v>15.465032381163308</v>
      </c>
      <c r="M23" s="629">
        <f t="shared" si="2"/>
        <v>14.901841545582716</v>
      </c>
      <c r="N23" s="630">
        <f t="shared" si="2"/>
        <v>13.717812275698451</v>
      </c>
      <c r="O23" s="629">
        <f t="shared" si="2"/>
        <v>21.944704471725352</v>
      </c>
      <c r="P23" s="629">
        <f t="shared" si="2"/>
        <v>19.634137802286283</v>
      </c>
      <c r="Q23" s="630">
        <f t="shared" si="2"/>
        <v>17.881919718728927</v>
      </c>
      <c r="R23" s="628"/>
      <c r="S23" s="631">
        <f t="shared" si="2"/>
        <v>0.13352756722056244</v>
      </c>
      <c r="T23" s="629">
        <f t="shared" si="2"/>
        <v>3.2720224345308626</v>
      </c>
      <c r="U23" s="632"/>
      <c r="V23" s="629">
        <f t="shared" ref="V23:X23" si="3">MEDIAN(V16:V20)</f>
        <v>23.917185542516993</v>
      </c>
      <c r="W23" s="629">
        <f t="shared" si="3"/>
        <v>22.485103912156749</v>
      </c>
      <c r="X23" s="629">
        <f t="shared" si="3"/>
        <v>21.769033032694985</v>
      </c>
      <c r="Y23" s="632"/>
      <c r="Z23" s="631">
        <f>MEDIAN(Z16:Z20)</f>
        <v>8.0851038592559599E-2</v>
      </c>
    </row>
    <row r="25" spans="2:26" s="563" customFormat="1" ht="15" customHeight="1">
      <c r="B25" s="367" t="s">
        <v>481</v>
      </c>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2:26" ht="3.95" customHeight="1">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2:26" ht="3.95" customHeight="1">
      <c r="B27" s="23"/>
      <c r="C27" s="23"/>
      <c r="D27" s="616"/>
      <c r="E27" s="472"/>
      <c r="F27" s="617"/>
      <c r="G27" s="617"/>
      <c r="H27" s="23"/>
      <c r="I27" s="23"/>
      <c r="J27" s="23"/>
      <c r="K27" s="23"/>
      <c r="L27" s="23"/>
      <c r="M27" s="23"/>
      <c r="N27" s="23"/>
      <c r="O27" s="23"/>
      <c r="P27" s="23"/>
      <c r="Q27" s="23"/>
      <c r="R27" s="23"/>
      <c r="S27" s="23"/>
      <c r="T27" s="23"/>
      <c r="U27" s="23"/>
      <c r="V27" s="23"/>
      <c r="W27" s="23"/>
      <c r="X27" s="23"/>
      <c r="Y27" s="23"/>
      <c r="Z27" s="23"/>
    </row>
    <row r="28" spans="2:26" ht="15" customHeight="1">
      <c r="B28" s="23" t="s">
        <v>372</v>
      </c>
      <c r="C28" s="23" t="s">
        <v>482</v>
      </c>
      <c r="D28" s="616" t="s">
        <v>483</v>
      </c>
      <c r="E28" s="472">
        <v>0.86351652808760893</v>
      </c>
      <c r="F28" s="617">
        <v>11028.163392959999</v>
      </c>
      <c r="G28" s="617">
        <v>8331.2422340499998</v>
      </c>
      <c r="H28" s="23"/>
      <c r="I28" s="618">
        <v>2.435323658009354</v>
      </c>
      <c r="J28" s="618">
        <v>2.3261584530433788</v>
      </c>
      <c r="K28" s="619">
        <v>2.1701594774811146</v>
      </c>
      <c r="L28" s="618">
        <f>8331/409</f>
        <v>20.369193154034228</v>
      </c>
      <c r="M28" s="618">
        <v>18.592749964404547</v>
      </c>
      <c r="N28" s="619">
        <v>16.086302365200979</v>
      </c>
      <c r="O28" s="618">
        <f>G28/317</f>
        <v>26.281521243059935</v>
      </c>
      <c r="P28" s="618">
        <v>23.765825707274164</v>
      </c>
      <c r="Q28" s="619">
        <v>19.798579453540874</v>
      </c>
      <c r="R28" s="23"/>
      <c r="S28" s="480">
        <f>409/3421</f>
        <v>0.11955568547208419</v>
      </c>
      <c r="T28" s="618">
        <v>0.95052083333333337</v>
      </c>
      <c r="U28" s="620"/>
      <c r="V28" s="618">
        <v>42.204988109299649</v>
      </c>
      <c r="W28" s="618">
        <v>37.625941292937561</v>
      </c>
      <c r="X28" s="618">
        <v>32.569885980389834</v>
      </c>
      <c r="Y28" s="620"/>
      <c r="Z28" s="480">
        <v>0.10689673101521624</v>
      </c>
    </row>
    <row r="29" spans="2:26" ht="15" customHeight="1">
      <c r="B29" s="23" t="s">
        <v>382</v>
      </c>
      <c r="C29" s="23" t="s">
        <v>484</v>
      </c>
      <c r="D29" s="616" t="s">
        <v>485</v>
      </c>
      <c r="E29" s="472">
        <v>0.95461462715960976</v>
      </c>
      <c r="F29" s="617">
        <v>79630.927807999993</v>
      </c>
      <c r="G29" s="617">
        <v>64013.582244999998</v>
      </c>
      <c r="H29" s="23"/>
      <c r="I29" s="618">
        <v>2.335750647485952</v>
      </c>
      <c r="J29" s="618">
        <v>2.0866891349712198</v>
      </c>
      <c r="K29" s="619">
        <v>1.9485163540596957</v>
      </c>
      <c r="L29" s="618">
        <v>15.983416290886391</v>
      </c>
      <c r="M29" s="618">
        <v>15.058476180898612</v>
      </c>
      <c r="N29" s="619">
        <v>13.939704333008839</v>
      </c>
      <c r="O29" s="618">
        <v>22.611650386789119</v>
      </c>
      <c r="P29" s="618">
        <v>19.49883201749784</v>
      </c>
      <c r="Q29" s="619">
        <v>17.80628157023644</v>
      </c>
      <c r="R29" s="23"/>
      <c r="S29" s="480">
        <v>0.14613588265343355</v>
      </c>
      <c r="T29" s="618">
        <v>2.4236503856041129</v>
      </c>
      <c r="U29" s="620"/>
      <c r="V29" s="618">
        <v>39.72112622920563</v>
      </c>
      <c r="W29" s="618">
        <v>35.649254375932664</v>
      </c>
      <c r="X29" s="618">
        <v>32.009430729981773</v>
      </c>
      <c r="Y29" s="620"/>
      <c r="Z29" s="480">
        <v>0.10428753241501831</v>
      </c>
    </row>
    <row r="30" spans="2:26" ht="15" customHeight="1">
      <c r="B30" s="23" t="s">
        <v>376</v>
      </c>
      <c r="C30" s="23" t="s">
        <v>486</v>
      </c>
      <c r="D30" s="616" t="s">
        <v>487</v>
      </c>
      <c r="E30" s="472">
        <v>0.99265238538756084</v>
      </c>
      <c r="F30" s="617">
        <v>76686.720234059991</v>
      </c>
      <c r="G30" s="617">
        <v>78134.52</v>
      </c>
      <c r="H30" s="23"/>
      <c r="I30" s="618">
        <v>10.119740966196089</v>
      </c>
      <c r="J30" s="618">
        <v>9.586034885581693</v>
      </c>
      <c r="K30" s="619">
        <v>8.6583570698992087</v>
      </c>
      <c r="L30" s="618">
        <v>35.116638202247195</v>
      </c>
      <c r="M30" s="618">
        <v>33.348066581306021</v>
      </c>
      <c r="N30" s="619">
        <v>29.037767823960888</v>
      </c>
      <c r="O30" s="618">
        <v>41.649530916844348</v>
      </c>
      <c r="P30" s="618">
        <v>37.877894124490979</v>
      </c>
      <c r="Q30" s="619">
        <v>32.436869079518438</v>
      </c>
      <c r="R30" s="23"/>
      <c r="S30" s="480">
        <v>0.2881751068514441</v>
      </c>
      <c r="T30" s="618">
        <v>1.5372197309417039</v>
      </c>
      <c r="U30" s="620"/>
      <c r="V30" s="618">
        <v>33.155659805553995</v>
      </c>
      <c r="W30" s="618">
        <v>51.826009031921366</v>
      </c>
      <c r="X30" s="618">
        <v>44.029920002580688</v>
      </c>
      <c r="Y30" s="620"/>
      <c r="Z30" s="480">
        <v>0.1544702575288206</v>
      </c>
    </row>
    <row r="31" spans="2:26" ht="15" customHeight="1">
      <c r="B31" s="23" t="s">
        <v>380</v>
      </c>
      <c r="C31" s="23" t="s">
        <v>488</v>
      </c>
      <c r="D31" s="616" t="s">
        <v>489</v>
      </c>
      <c r="E31" s="472">
        <v>0.91916757940854332</v>
      </c>
      <c r="F31" s="617">
        <v>14901.526767899999</v>
      </c>
      <c r="G31" s="617">
        <v>16437.053039999999</v>
      </c>
      <c r="H31" s="23"/>
      <c r="I31" s="618">
        <v>1.1688986659081211</v>
      </c>
      <c r="J31" s="618">
        <v>1.1076647796824326</v>
      </c>
      <c r="K31" s="619">
        <v>1.0589562701176962</v>
      </c>
      <c r="L31" s="618">
        <v>9.7145703546099291</v>
      </c>
      <c r="M31" s="618">
        <v>9.3666632849691176</v>
      </c>
      <c r="N31" s="619">
        <v>8.7588821741269278</v>
      </c>
      <c r="O31" s="618">
        <v>13.595577369727046</v>
      </c>
      <c r="P31" s="618">
        <v>11.606448976133313</v>
      </c>
      <c r="Q31" s="619">
        <v>10.767098807808201</v>
      </c>
      <c r="R31" s="23"/>
      <c r="S31" s="480">
        <v>0.1203242781965581</v>
      </c>
      <c r="T31" s="618">
        <v>2.8205659075224294</v>
      </c>
      <c r="U31" s="620"/>
      <c r="V31" s="618">
        <v>14.792212318863598</v>
      </c>
      <c r="W31" s="618">
        <v>13.558140967078627</v>
      </c>
      <c r="X31" s="618">
        <v>12.53018857927265</v>
      </c>
      <c r="Y31" s="620"/>
      <c r="Z31" s="480">
        <v>6.5471123885106897E-2</v>
      </c>
    </row>
    <row r="32" spans="2:26" ht="15" customHeight="1">
      <c r="B32" s="23" t="s">
        <v>378</v>
      </c>
      <c r="C32" s="23" t="s">
        <v>490</v>
      </c>
      <c r="D32" s="616" t="s">
        <v>491</v>
      </c>
      <c r="E32" s="472">
        <v>0.93706079006618004</v>
      </c>
      <c r="F32" s="617">
        <v>10796.27480703</v>
      </c>
      <c r="G32" s="617">
        <v>12040.950523539999</v>
      </c>
      <c r="H32" s="23"/>
      <c r="I32" s="618">
        <v>1.040794409502982</v>
      </c>
      <c r="J32" s="618">
        <v>1.0063547335089393</v>
      </c>
      <c r="K32" s="619">
        <v>0.96283313863942577</v>
      </c>
      <c r="L32" s="618">
        <v>15.088910430501253</v>
      </c>
      <c r="M32" s="618">
        <v>12.357297335324303</v>
      </c>
      <c r="N32" s="619">
        <v>11.139745141585713</v>
      </c>
      <c r="O32" s="618">
        <v>25.619043667106382</v>
      </c>
      <c r="P32" s="618">
        <v>18.615664899359096</v>
      </c>
      <c r="Q32" s="619">
        <v>16.115154612354303</v>
      </c>
      <c r="R32" s="23"/>
      <c r="S32" s="480">
        <v>6.8977439709568669E-2</v>
      </c>
      <c r="T32" s="618">
        <v>3.4466824644549763</v>
      </c>
      <c r="U32" s="620"/>
      <c r="V32" s="618">
        <v>22.870071826275765</v>
      </c>
      <c r="W32" s="618">
        <v>18.481497529865909</v>
      </c>
      <c r="X32" s="618">
        <v>16.15201317595811</v>
      </c>
      <c r="Y32" s="620"/>
      <c r="Z32" s="480">
        <v>0.13353754147431873</v>
      </c>
    </row>
    <row r="33" spans="2:27" ht="15" customHeight="1">
      <c r="B33" s="23"/>
      <c r="C33" s="23"/>
      <c r="D33" s="23"/>
      <c r="E33" s="23"/>
      <c r="F33" s="23"/>
      <c r="G33" s="23"/>
      <c r="H33" s="23"/>
      <c r="I33" s="23"/>
      <c r="J33" s="23"/>
      <c r="K33" s="620"/>
      <c r="L33" s="23"/>
      <c r="M33" s="23"/>
      <c r="N33" s="620"/>
      <c r="O33" s="23"/>
      <c r="P33" s="23"/>
      <c r="Q33" s="620"/>
      <c r="R33" s="23"/>
      <c r="S33" s="23"/>
      <c r="T33" s="23"/>
      <c r="U33" s="620"/>
      <c r="V33" s="23"/>
      <c r="W33" s="23"/>
      <c r="X33" s="23"/>
      <c r="Y33" s="620"/>
      <c r="Z33" s="23"/>
      <c r="AA33" s="23"/>
    </row>
    <row r="34" spans="2:27" ht="15" customHeight="1">
      <c r="B34" s="621" t="s">
        <v>479</v>
      </c>
      <c r="C34" s="622"/>
      <c r="D34" s="622"/>
      <c r="E34" s="622"/>
      <c r="F34" s="622"/>
      <c r="G34" s="622"/>
      <c r="H34" s="622"/>
      <c r="I34" s="623">
        <f>AVERAGE(I28:I32)</f>
        <v>3.4201016694204993</v>
      </c>
      <c r="J34" s="623">
        <f t="shared" ref="J34:K34" si="4">AVERAGE(J28:J32)</f>
        <v>3.2225803973575324</v>
      </c>
      <c r="K34" s="624">
        <f t="shared" si="4"/>
        <v>2.9597644620394279</v>
      </c>
      <c r="L34" s="623">
        <f>AVERAGE(L28:L32)</f>
        <v>19.254545686455799</v>
      </c>
      <c r="M34" s="623">
        <f t="shared" ref="M34:Q34" si="5">AVERAGE(M28:M32)</f>
        <v>17.744650669380523</v>
      </c>
      <c r="N34" s="624">
        <f t="shared" si="5"/>
        <v>15.792480367576667</v>
      </c>
      <c r="O34" s="623">
        <f t="shared" si="5"/>
        <v>25.951464716705363</v>
      </c>
      <c r="P34" s="623">
        <f t="shared" si="5"/>
        <v>22.272933144951075</v>
      </c>
      <c r="Q34" s="624">
        <f t="shared" si="5"/>
        <v>19.384796704691649</v>
      </c>
      <c r="R34" s="622"/>
      <c r="S34" s="625">
        <f>AVERAGE(S28:S32)</f>
        <v>0.14863367857661774</v>
      </c>
      <c r="T34" s="623">
        <f>AVERAGE(T28:T32)</f>
        <v>2.2357278643713112</v>
      </c>
      <c r="U34" s="626"/>
      <c r="V34" s="623">
        <f t="shared" ref="V34:X34" si="6">AVERAGE(V28:V32)</f>
        <v>30.548811657839725</v>
      </c>
      <c r="W34" s="623">
        <f t="shared" si="6"/>
        <v>31.428168639547227</v>
      </c>
      <c r="X34" s="623">
        <f t="shared" si="6"/>
        <v>27.458287693636613</v>
      </c>
      <c r="Y34" s="626"/>
      <c r="Z34" s="625">
        <f>AVERAGE(Z28:Z32)</f>
        <v>0.11293263726369615</v>
      </c>
      <c r="AA34" s="23"/>
    </row>
    <row r="35" spans="2:27" ht="15" customHeight="1">
      <c r="B35" s="627" t="s">
        <v>480</v>
      </c>
      <c r="C35" s="628"/>
      <c r="D35" s="628"/>
      <c r="E35" s="628"/>
      <c r="F35" s="628"/>
      <c r="G35" s="628"/>
      <c r="H35" s="628"/>
      <c r="I35" s="629">
        <f>MEDIAN(I28:I32)</f>
        <v>2.335750647485952</v>
      </c>
      <c r="J35" s="629">
        <f t="shared" ref="J35:K35" si="7">MEDIAN(J28:J32)</f>
        <v>2.0866891349712198</v>
      </c>
      <c r="K35" s="630">
        <f t="shared" si="7"/>
        <v>1.9485163540596957</v>
      </c>
      <c r="L35" s="629">
        <f>MEDIAN(L28:L32)</f>
        <v>15.983416290886391</v>
      </c>
      <c r="M35" s="629">
        <f t="shared" ref="M35:Q35" si="8">MEDIAN(M28:M32)</f>
        <v>15.058476180898612</v>
      </c>
      <c r="N35" s="630">
        <f t="shared" si="8"/>
        <v>13.939704333008839</v>
      </c>
      <c r="O35" s="629">
        <f t="shared" si="8"/>
        <v>25.619043667106382</v>
      </c>
      <c r="P35" s="629">
        <f t="shared" si="8"/>
        <v>19.49883201749784</v>
      </c>
      <c r="Q35" s="630">
        <f t="shared" si="8"/>
        <v>17.80628157023644</v>
      </c>
      <c r="R35" s="628"/>
      <c r="S35" s="631">
        <f t="shared" ref="S35:T35" si="9">MEDIAN(S28:S32)</f>
        <v>0.1203242781965581</v>
      </c>
      <c r="T35" s="629">
        <f t="shared" si="9"/>
        <v>2.4236503856041129</v>
      </c>
      <c r="U35" s="632"/>
      <c r="V35" s="629">
        <f t="shared" ref="V35:X35" si="10">MEDIAN(V28:V32)</f>
        <v>33.155659805553995</v>
      </c>
      <c r="W35" s="629">
        <f t="shared" si="10"/>
        <v>35.649254375932664</v>
      </c>
      <c r="X35" s="629">
        <f t="shared" si="10"/>
        <v>32.009430729981773</v>
      </c>
      <c r="Y35" s="632"/>
      <c r="Z35" s="631">
        <f>MEDIAN(Z28:Z32)</f>
        <v>0.10689673101521624</v>
      </c>
      <c r="AA35" s="23"/>
    </row>
    <row r="37" spans="2:27" s="563" customFormat="1" ht="15" customHeight="1">
      <c r="B37" s="742" t="s">
        <v>492</v>
      </c>
      <c r="C37" s="32"/>
      <c r="D37" s="32"/>
      <c r="E37" s="32"/>
      <c r="F37" s="32"/>
      <c r="G37" s="32"/>
      <c r="H37" s="32"/>
      <c r="I37" s="32"/>
      <c r="J37" s="32"/>
      <c r="K37" s="32"/>
      <c r="L37" s="32"/>
      <c r="M37" s="32"/>
      <c r="N37" s="32"/>
      <c r="O37" s="32"/>
      <c r="P37" s="32"/>
      <c r="Q37" s="32"/>
      <c r="R37" s="32"/>
      <c r="S37" s="32"/>
      <c r="T37" s="32"/>
      <c r="U37" s="32"/>
      <c r="V37" s="32"/>
      <c r="W37" s="32"/>
      <c r="X37" s="32"/>
      <c r="Y37" s="32"/>
      <c r="Z37" s="32"/>
      <c r="AA37" s="415"/>
    </row>
    <row r="38" spans="2:27" ht="3.95" customHeight="1">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23"/>
    </row>
    <row r="39" spans="2:27" ht="3.95"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row>
    <row r="40" spans="2:27" ht="15" customHeight="1">
      <c r="B40" s="23" t="s">
        <v>390</v>
      </c>
      <c r="C40" s="23" t="s">
        <v>493</v>
      </c>
      <c r="D40" s="616" t="s">
        <v>494</v>
      </c>
      <c r="E40" s="472">
        <v>0.97983234114931361</v>
      </c>
      <c r="F40" s="617">
        <v>13633.531765</v>
      </c>
      <c r="G40" s="617">
        <v>7226.4240000000009</v>
      </c>
      <c r="H40" s="23"/>
      <c r="I40" s="618">
        <v>5.9569895309537557</v>
      </c>
      <c r="J40" s="618">
        <v>5.5151513301351942</v>
      </c>
      <c r="K40" s="619">
        <v>4.675351726050188</v>
      </c>
      <c r="L40" s="618">
        <v>88.019780755176626</v>
      </c>
      <c r="M40" s="618">
        <v>60.799240384615317</v>
      </c>
      <c r="N40" s="619">
        <v>44.41173661106226</v>
      </c>
      <c r="O40" s="618">
        <v>281.18381322957202</v>
      </c>
      <c r="P40" s="618">
        <v>217.66337349397591</v>
      </c>
      <c r="Q40" s="619">
        <v>85.780851280312035</v>
      </c>
      <c r="R40" s="23"/>
      <c r="S40" s="480">
        <v>6.7677850136015169E-2</v>
      </c>
      <c r="T40" s="618">
        <v>3.6929133858267718</v>
      </c>
      <c r="U40" s="620"/>
      <c r="V40" s="618">
        <v>725.33145529922899</v>
      </c>
      <c r="W40" s="618">
        <v>162.55552360796469</v>
      </c>
      <c r="X40" s="618">
        <v>115.01560657642456</v>
      </c>
      <c r="Y40" s="620"/>
      <c r="Z40" s="480">
        <v>0.35575083638565785</v>
      </c>
      <c r="AA40" s="23"/>
    </row>
    <row r="41" spans="2:27" ht="15" customHeight="1">
      <c r="B41" s="23" t="s">
        <v>375</v>
      </c>
      <c r="C41" s="23" t="s">
        <v>495</v>
      </c>
      <c r="D41" s="616" t="s">
        <v>496</v>
      </c>
      <c r="E41" s="472">
        <v>0.87851440472058318</v>
      </c>
      <c r="F41" s="617">
        <v>2708.1007208999995</v>
      </c>
      <c r="G41" s="617">
        <v>3163.7206070499997</v>
      </c>
      <c r="H41" s="23"/>
      <c r="I41" s="618">
        <v>1.1378243506743391</v>
      </c>
      <c r="J41" s="618">
        <v>1.162876059343527</v>
      </c>
      <c r="K41" s="619">
        <v>1.0998889608712277</v>
      </c>
      <c r="L41" s="618">
        <v>9.4608869828050235</v>
      </c>
      <c r="M41" s="618">
        <v>10.018114651836605</v>
      </c>
      <c r="N41" s="619">
        <v>8.9929522656338818</v>
      </c>
      <c r="O41" s="618">
        <v>12.594429168192674</v>
      </c>
      <c r="P41" s="618">
        <v>12.334193399805066</v>
      </c>
      <c r="Q41" s="619">
        <v>10.871892120446734</v>
      </c>
      <c r="R41" s="23"/>
      <c r="S41" s="480">
        <v>0.12026613918360006</v>
      </c>
      <c r="T41" s="618">
        <v>4.4180908711963314</v>
      </c>
      <c r="U41" s="620"/>
      <c r="V41" s="618">
        <v>21.521007654117437</v>
      </c>
      <c r="W41" s="618">
        <v>20.310755406749998</v>
      </c>
      <c r="X41" s="618">
        <v>17.032080005660376</v>
      </c>
      <c r="Y41" s="620"/>
      <c r="Z41" s="480">
        <v>0.16899760737108793</v>
      </c>
      <c r="AA41" s="23"/>
    </row>
    <row r="42" spans="2:27" ht="15" customHeight="1">
      <c r="B42" s="23" t="s">
        <v>371</v>
      </c>
      <c r="C42" s="23" t="s">
        <v>497</v>
      </c>
      <c r="D42" s="616" t="s">
        <v>498</v>
      </c>
      <c r="E42" s="472">
        <v>0.95785738425143641</v>
      </c>
      <c r="F42" s="617">
        <v>13908.61625985</v>
      </c>
      <c r="G42" s="617">
        <v>13129.798261</v>
      </c>
      <c r="H42" s="23"/>
      <c r="I42" s="618">
        <v>12.092057855814041</v>
      </c>
      <c r="J42" s="618">
        <v>16.680702888359537</v>
      </c>
      <c r="K42" s="619">
        <v>6.5876815291215456</v>
      </c>
      <c r="L42" s="618">
        <v>106.46760724769302</v>
      </c>
      <c r="M42" s="618">
        <v>93.952044801431128</v>
      </c>
      <c r="N42" s="619">
        <v>42.607932449575657</v>
      </c>
      <c r="O42" s="853" t="s">
        <v>161</v>
      </c>
      <c r="P42" s="618">
        <v>214.14553738634049</v>
      </c>
      <c r="Q42" s="854" t="s">
        <v>161</v>
      </c>
      <c r="R42" s="23"/>
      <c r="S42" s="480">
        <v>0.11357499401374077</v>
      </c>
      <c r="T42" s="618">
        <v>9.7102063267288496</v>
      </c>
      <c r="U42" s="620"/>
      <c r="V42" s="853" t="s">
        <v>161</v>
      </c>
      <c r="W42" s="618">
        <v>235.68932446261383</v>
      </c>
      <c r="X42" s="618">
        <v>206.51249086636972</v>
      </c>
      <c r="Y42" s="620"/>
      <c r="Z42" s="480">
        <v>0.58653194964843114</v>
      </c>
      <c r="AA42" s="23"/>
    </row>
    <row r="43" spans="2:27" ht="15" customHeight="1">
      <c r="B43" s="23" t="s">
        <v>373</v>
      </c>
      <c r="C43" s="23" t="s">
        <v>499</v>
      </c>
      <c r="D43" s="616" t="s">
        <v>500</v>
      </c>
      <c r="E43" s="472">
        <v>0.97521085511614847</v>
      </c>
      <c r="F43" s="617">
        <v>19393.67626448</v>
      </c>
      <c r="G43" s="617">
        <v>19202.915814150001</v>
      </c>
      <c r="H43" s="23"/>
      <c r="I43" s="618">
        <v>5.8094674538156958</v>
      </c>
      <c r="J43" s="618">
        <v>5.6079187600642477</v>
      </c>
      <c r="K43" s="619">
        <v>5.2565723357810095</v>
      </c>
      <c r="L43" s="618">
        <v>26.512705253174232</v>
      </c>
      <c r="M43" s="618">
        <v>25.258685714107202</v>
      </c>
      <c r="N43" s="619">
        <v>23.389666034287455</v>
      </c>
      <c r="O43" s="618">
        <v>31.550165231956981</v>
      </c>
      <c r="P43" s="618">
        <v>30.051511446244135</v>
      </c>
      <c r="Q43" s="619">
        <v>27.511340707951291</v>
      </c>
      <c r="R43" s="23"/>
      <c r="S43" s="480">
        <v>0.21912013121030557</v>
      </c>
      <c r="T43" s="618">
        <v>1.6113683219312451</v>
      </c>
      <c r="U43" s="620"/>
      <c r="V43" s="618">
        <v>41.272545859875727</v>
      </c>
      <c r="W43" s="618">
        <v>39.730962897782334</v>
      </c>
      <c r="X43" s="618">
        <v>36.505743556668236</v>
      </c>
      <c r="Y43" s="620"/>
      <c r="Z43" s="480">
        <v>9.2788527654596775E-2</v>
      </c>
      <c r="AA43" s="23"/>
    </row>
    <row r="44" spans="2:27" ht="15" customHeight="1">
      <c r="B44" s="23"/>
      <c r="C44" s="23"/>
      <c r="D44" s="23"/>
      <c r="E44" s="23"/>
      <c r="F44" s="23"/>
      <c r="G44" s="23"/>
      <c r="H44" s="23"/>
      <c r="I44" s="23"/>
      <c r="J44" s="23"/>
      <c r="K44" s="733"/>
      <c r="L44" s="732"/>
      <c r="M44" s="732"/>
      <c r="N44" s="733"/>
      <c r="O44" s="732"/>
      <c r="P44" s="732"/>
      <c r="Q44" s="733"/>
      <c r="R44" s="732"/>
      <c r="S44" s="732"/>
      <c r="T44" s="732"/>
      <c r="U44" s="733"/>
      <c r="V44" s="732"/>
      <c r="W44" s="732"/>
      <c r="X44" s="732"/>
      <c r="Y44" s="733"/>
      <c r="Z44" s="732"/>
      <c r="AA44" s="23"/>
    </row>
    <row r="45" spans="2:27" ht="15" customHeight="1">
      <c r="B45" s="621" t="s">
        <v>479</v>
      </c>
      <c r="C45" s="622"/>
      <c r="D45" s="622"/>
      <c r="E45" s="622"/>
      <c r="F45" s="622"/>
      <c r="G45" s="622"/>
      <c r="H45" s="622"/>
      <c r="I45" s="623">
        <f t="shared" ref="I45:Q45" si="11">AVERAGE(I40:I44)</f>
        <v>6.2490847978144579</v>
      </c>
      <c r="J45" s="623">
        <f t="shared" si="11"/>
        <v>7.2416622594756266</v>
      </c>
      <c r="K45" s="731">
        <f t="shared" si="11"/>
        <v>4.4048736379559923</v>
      </c>
      <c r="L45" s="736">
        <f t="shared" si="11"/>
        <v>57.61524505971223</v>
      </c>
      <c r="M45" s="736">
        <f t="shared" si="11"/>
        <v>47.507021387997561</v>
      </c>
      <c r="N45" s="731">
        <f t="shared" si="11"/>
        <v>29.850571840139814</v>
      </c>
      <c r="O45" s="736">
        <f t="shared" si="11"/>
        <v>108.44280254324057</v>
      </c>
      <c r="P45" s="736">
        <f t="shared" si="11"/>
        <v>118.5486539315914</v>
      </c>
      <c r="Q45" s="731">
        <f t="shared" si="11"/>
        <v>41.388028036236683</v>
      </c>
      <c r="R45" s="734"/>
      <c r="S45" s="735">
        <f>AVERAGE(S40:S44)</f>
        <v>0.13015977863591541</v>
      </c>
      <c r="T45" s="736">
        <f>AVERAGE(T40:T44)</f>
        <v>4.8581447264207993</v>
      </c>
      <c r="U45" s="737"/>
      <c r="V45" s="736">
        <f>AVERAGE(V40:V44)</f>
        <v>262.70833627107407</v>
      </c>
      <c r="W45" s="736">
        <f>AVERAGE(W40:W44)</f>
        <v>114.57164159377771</v>
      </c>
      <c r="X45" s="736">
        <f>AVERAGE(X40:X44)</f>
        <v>93.766480251280711</v>
      </c>
      <c r="Y45" s="737"/>
      <c r="Z45" s="738">
        <f>AVERAGE(Z40:Z44)</f>
        <v>0.30101723026494343</v>
      </c>
      <c r="AA45" s="23"/>
    </row>
    <row r="46" spans="2:27" ht="15" customHeight="1">
      <c r="B46" s="627" t="s">
        <v>480</v>
      </c>
      <c r="C46" s="628"/>
      <c r="D46" s="628"/>
      <c r="E46" s="628"/>
      <c r="F46" s="628"/>
      <c r="G46" s="628"/>
      <c r="H46" s="628"/>
      <c r="I46" s="629">
        <f t="shared" ref="I46:Q46" si="12">MEDIAN(I40:I44)</f>
        <v>5.8832284923847258</v>
      </c>
      <c r="J46" s="629">
        <f t="shared" si="12"/>
        <v>5.5615350450997205</v>
      </c>
      <c r="K46" s="630">
        <f t="shared" si="12"/>
        <v>4.9659620309155983</v>
      </c>
      <c r="L46" s="629">
        <f t="shared" si="12"/>
        <v>57.266243004175429</v>
      </c>
      <c r="M46" s="629">
        <f t="shared" si="12"/>
        <v>43.028963049361259</v>
      </c>
      <c r="N46" s="630">
        <f t="shared" si="12"/>
        <v>32.998799241931557</v>
      </c>
      <c r="O46" s="629">
        <f t="shared" si="12"/>
        <v>31.550165231956981</v>
      </c>
      <c r="P46" s="629">
        <f t="shared" si="12"/>
        <v>122.09852441629231</v>
      </c>
      <c r="Q46" s="630">
        <f t="shared" si="12"/>
        <v>27.511340707951291</v>
      </c>
      <c r="R46" s="628"/>
      <c r="S46" s="631">
        <f>MEDIAN(S40:S44)</f>
        <v>0.11692056659867042</v>
      </c>
      <c r="T46" s="629">
        <f>MEDIAN(T40:T44)</f>
        <v>4.0555021285115513</v>
      </c>
      <c r="U46" s="632"/>
      <c r="V46" s="629">
        <f>MEDIAN(V40:V44)</f>
        <v>41.272545859875727</v>
      </c>
      <c r="W46" s="629">
        <f>MEDIAN(W40:W44)</f>
        <v>101.1432432528735</v>
      </c>
      <c r="X46" s="629">
        <f>MEDIAN(X40:X44)</f>
        <v>75.760675066546398</v>
      </c>
      <c r="Y46" s="632"/>
      <c r="Z46" s="634">
        <f>MEDIAN(Z40:Z44)</f>
        <v>0.26237422187837289</v>
      </c>
      <c r="AA46" s="23"/>
    </row>
    <row r="47" spans="2:27" ht="15" customHeight="1">
      <c r="B47" s="23"/>
      <c r="C47" s="23"/>
      <c r="D47" s="23"/>
      <c r="E47" s="23"/>
      <c r="F47" s="23"/>
      <c r="G47" s="23"/>
      <c r="H47" s="23"/>
      <c r="I47" s="23"/>
      <c r="J47" s="635"/>
      <c r="K47" s="23"/>
      <c r="L47" s="23"/>
      <c r="M47" s="23"/>
      <c r="N47" s="23"/>
      <c r="O47" s="23"/>
      <c r="P47" s="23"/>
      <c r="Q47" s="23"/>
      <c r="R47" s="23"/>
      <c r="S47" s="23"/>
      <c r="T47" s="23"/>
      <c r="U47" s="23"/>
      <c r="V47" s="23"/>
      <c r="W47" s="23"/>
      <c r="X47" s="23"/>
      <c r="Y47" s="23"/>
      <c r="Z47" s="23"/>
      <c r="AA47" s="23"/>
    </row>
    <row r="48" spans="2:27" ht="15" customHeight="1">
      <c r="B48" s="367" t="s">
        <v>501</v>
      </c>
      <c r="C48" s="32"/>
      <c r="D48" s="32"/>
      <c r="E48" s="32"/>
      <c r="F48" s="32"/>
      <c r="G48" s="32"/>
      <c r="H48" s="32"/>
      <c r="I48" s="32"/>
      <c r="J48" s="636"/>
      <c r="K48" s="32"/>
      <c r="L48" s="32"/>
      <c r="M48" s="32"/>
      <c r="N48" s="32"/>
      <c r="O48" s="32"/>
      <c r="P48" s="32"/>
      <c r="Q48" s="32"/>
      <c r="R48" s="32"/>
      <c r="S48" s="32"/>
      <c r="T48" s="32"/>
      <c r="U48" s="32"/>
      <c r="V48" s="32"/>
      <c r="W48" s="32"/>
      <c r="X48" s="32"/>
      <c r="Y48" s="32"/>
      <c r="Z48" s="32"/>
      <c r="AA48" s="23"/>
    </row>
    <row r="49" spans="2:27" s="563" customFormat="1" ht="15" customHeight="1">
      <c r="B49" s="36"/>
      <c r="C49" s="36"/>
      <c r="D49" s="36"/>
      <c r="E49" s="36"/>
      <c r="F49" s="36"/>
      <c r="G49" s="36"/>
      <c r="H49" s="36"/>
      <c r="I49" s="36"/>
      <c r="J49" s="637"/>
      <c r="K49" s="36"/>
      <c r="L49" s="36"/>
      <c r="M49" s="36"/>
      <c r="N49" s="36"/>
      <c r="O49" s="36"/>
      <c r="P49" s="36"/>
      <c r="Q49" s="36"/>
      <c r="R49" s="36"/>
      <c r="S49" s="36"/>
      <c r="T49" s="36"/>
      <c r="U49" s="36"/>
      <c r="V49" s="36"/>
      <c r="W49" s="36"/>
      <c r="X49" s="36"/>
      <c r="Y49" s="36"/>
      <c r="Z49" s="36"/>
      <c r="AA49" s="415"/>
    </row>
    <row r="50" spans="2:27" ht="3.95" customHeight="1">
      <c r="B50" s="23"/>
      <c r="C50" s="23"/>
      <c r="D50" s="23"/>
      <c r="E50" s="23"/>
      <c r="F50" s="23"/>
      <c r="G50" s="23"/>
      <c r="H50" s="23"/>
      <c r="I50" s="23"/>
      <c r="J50" s="635"/>
      <c r="K50" s="23"/>
      <c r="L50" s="23"/>
      <c r="M50" s="23"/>
      <c r="N50" s="23"/>
      <c r="O50" s="23"/>
      <c r="P50" s="23"/>
      <c r="Q50" s="23"/>
      <c r="R50" s="23"/>
      <c r="S50" s="23"/>
      <c r="T50" s="23"/>
      <c r="U50" s="23"/>
      <c r="V50" s="23"/>
      <c r="W50" s="23"/>
      <c r="X50" s="23"/>
      <c r="Y50" s="23"/>
      <c r="Z50" s="23"/>
      <c r="AA50" s="23"/>
    </row>
    <row r="51" spans="2:27" ht="15" customHeight="1">
      <c r="B51" s="621" t="s">
        <v>479</v>
      </c>
      <c r="C51" s="622"/>
      <c r="D51" s="622"/>
      <c r="E51" s="622"/>
      <c r="F51" s="622"/>
      <c r="G51" s="622"/>
      <c r="H51" s="622"/>
      <c r="I51" s="623">
        <f t="shared" ref="I51:Q51" si="13">AVERAGE(I40:I44,I28:I33,I16:I20)</f>
        <v>3.8640622514081637</v>
      </c>
      <c r="J51" s="623">
        <f t="shared" si="13"/>
        <v>4.0377738578480349</v>
      </c>
      <c r="K51" s="624">
        <f t="shared" si="13"/>
        <v>3.0816038121900271</v>
      </c>
      <c r="L51" s="623">
        <f t="shared" si="13"/>
        <v>26.075223759099195</v>
      </c>
      <c r="M51" s="623">
        <f t="shared" si="13"/>
        <v>29.004059496915215</v>
      </c>
      <c r="N51" s="624">
        <f t="shared" si="13"/>
        <v>19.98272604306382</v>
      </c>
      <c r="O51" s="623">
        <f t="shared" si="13"/>
        <v>40.016268383175927</v>
      </c>
      <c r="P51" s="623">
        <f t="shared" si="13"/>
        <v>68.081822364394185</v>
      </c>
      <c r="Q51" s="623">
        <f t="shared" si="13"/>
        <v>25.135413831144579</v>
      </c>
      <c r="R51" s="622"/>
      <c r="S51" s="625">
        <f>AVERAGE(S40:S44,S28:S33,S16:S20)</f>
        <v>0.12591255964602055</v>
      </c>
      <c r="T51" s="623">
        <f>AVERAGE(T40:T44,T28:T33,T16:T20)</f>
        <v>3.2651028770259667</v>
      </c>
      <c r="U51" s="626"/>
      <c r="V51" s="623">
        <f>AVERAGE(V40:V44,V28:V33,V16:V20)</f>
        <v>78.911378480071761</v>
      </c>
      <c r="W51" s="623">
        <f>AVERAGE(W40:W44,W28:W33,W16:W20)</f>
        <v>43.07048679736743</v>
      </c>
      <c r="X51" s="623">
        <f>AVERAGE(X40:X44,X28:X33,X16:X20)</f>
        <v>47.040597864493442</v>
      </c>
      <c r="Y51" s="626"/>
      <c r="Z51" s="633">
        <f>AVERAGE(Z40:Z44,Z28:Z33,Z16:Z20)</f>
        <v>-4.1076600405541078E-2</v>
      </c>
      <c r="AA51" s="23"/>
    </row>
    <row r="52" spans="2:27" ht="15" customHeight="1">
      <c r="B52" s="627" t="s">
        <v>480</v>
      </c>
      <c r="C52" s="628"/>
      <c r="D52" s="628"/>
      <c r="E52" s="628"/>
      <c r="F52" s="628"/>
      <c r="G52" s="628"/>
      <c r="H52" s="628"/>
      <c r="I52" s="629">
        <f t="shared" ref="I52:Q52" si="14">MEDIAN(I40:I44,I28:I32,I16:I20)</f>
        <v>2.5082396376964473</v>
      </c>
      <c r="J52" s="629">
        <f t="shared" si="14"/>
        <v>2.2928515453161502</v>
      </c>
      <c r="K52" s="630">
        <f t="shared" si="14"/>
        <v>2.0867960190341899</v>
      </c>
      <c r="L52" s="629">
        <f t="shared" si="14"/>
        <v>15.823600064593389</v>
      </c>
      <c r="M52" s="629">
        <f t="shared" si="14"/>
        <v>16.156125464742047</v>
      </c>
      <c r="N52" s="630">
        <f t="shared" si="14"/>
        <v>14.898650312161458</v>
      </c>
      <c r="O52" s="629">
        <f t="shared" si="14"/>
        <v>22.611650386789119</v>
      </c>
      <c r="P52" s="629">
        <f t="shared" si="14"/>
        <v>20.741279023218649</v>
      </c>
      <c r="Q52" s="629">
        <f t="shared" si="14"/>
        <v>17.881919718728927</v>
      </c>
      <c r="R52" s="628"/>
      <c r="S52" s="631">
        <f>MEDIAN(S40:S44,S28:S32,S16:S20)</f>
        <v>0.12064191949730038</v>
      </c>
      <c r="T52" s="629">
        <f>MEDIAN(T40:T44,T28:T32,T16:T20)</f>
        <v>3.1062245078914703</v>
      </c>
      <c r="U52" s="632"/>
      <c r="V52" s="629">
        <f>MEDIAN(V40:V44,V28:V32,V16:V20)</f>
        <v>26.617248714971776</v>
      </c>
      <c r="W52" s="629">
        <f>MEDIAN(W40:W44,W28:W32,W16:W20)</f>
        <v>26.582721777691823</v>
      </c>
      <c r="X52" s="629">
        <f>MEDIAN(X40:X44,X28:X32,X16:X20)</f>
        <v>28.016219204419265</v>
      </c>
      <c r="Y52" s="632"/>
      <c r="Z52" s="634">
        <f>MEDIAN(Z40:Z44,Z28:Z32,Z16:Z20)</f>
        <v>0.10559213171511728</v>
      </c>
      <c r="AA52" s="23"/>
    </row>
    <row r="53" spans="2:27" ht="15" customHeight="1">
      <c r="B53" s="23"/>
      <c r="C53" s="23"/>
      <c r="D53" s="23"/>
      <c r="E53" s="23"/>
      <c r="F53" s="23"/>
      <c r="G53" s="23"/>
      <c r="H53" s="23"/>
      <c r="I53" s="23"/>
      <c r="J53" s="635"/>
      <c r="K53" s="23"/>
      <c r="L53" s="23"/>
      <c r="M53" s="23"/>
      <c r="N53" s="23"/>
      <c r="O53" s="23"/>
      <c r="P53" s="23"/>
      <c r="Q53" s="23"/>
      <c r="R53" s="23"/>
      <c r="S53" s="23"/>
      <c r="T53" s="23"/>
      <c r="U53" s="23"/>
      <c r="V53" s="23"/>
      <c r="W53" s="23"/>
      <c r="X53" s="23"/>
      <c r="Y53" s="23"/>
      <c r="Z53" s="23"/>
      <c r="AA53" s="23"/>
    </row>
    <row r="54" spans="2:27" ht="15" customHeight="1">
      <c r="B54" s="621" t="s">
        <v>461</v>
      </c>
      <c r="C54" s="622"/>
      <c r="D54" s="622"/>
      <c r="E54" s="622"/>
      <c r="F54" s="622"/>
      <c r="G54" s="622"/>
      <c r="H54" s="622"/>
      <c r="I54" s="623">
        <f t="shared" ref="I54:T54" si="15">MAX(I40:I44,I28:I32,I16:I20)</f>
        <v>12.092057855814041</v>
      </c>
      <c r="J54" s="623">
        <f t="shared" si="15"/>
        <v>16.680702888359537</v>
      </c>
      <c r="K54" s="624">
        <f t="shared" si="15"/>
        <v>8.6583570698992087</v>
      </c>
      <c r="L54" s="623">
        <f t="shared" si="15"/>
        <v>106.46760724769302</v>
      </c>
      <c r="M54" s="623">
        <f t="shared" si="15"/>
        <v>93.952044801431128</v>
      </c>
      <c r="N54" s="624">
        <f t="shared" si="15"/>
        <v>44.41173661106226</v>
      </c>
      <c r="O54" s="623">
        <f t="shared" si="15"/>
        <v>281.18381322957202</v>
      </c>
      <c r="P54" s="623">
        <f t="shared" si="15"/>
        <v>292.30938122799233</v>
      </c>
      <c r="Q54" s="623">
        <f t="shared" si="15"/>
        <v>85.780851280312035</v>
      </c>
      <c r="R54" s="622"/>
      <c r="S54" s="625">
        <f t="shared" si="15"/>
        <v>0.2881751068514441</v>
      </c>
      <c r="T54" s="623">
        <f t="shared" si="15"/>
        <v>9.7102063267288496</v>
      </c>
      <c r="U54" s="626"/>
      <c r="V54" s="623">
        <f>MAX(V40:V44,V28:V32,V16:V20)</f>
        <v>725.33145529922899</v>
      </c>
      <c r="W54" s="623">
        <f>MAX(W40:W44,W28:W32,W16:W20)</f>
        <v>235.68932446261383</v>
      </c>
      <c r="X54" s="623">
        <f>MAX(X40:X44,X28:X32,X16:X20)</f>
        <v>206.51249086636972</v>
      </c>
      <c r="Y54" s="626"/>
      <c r="Z54" s="633">
        <f>MAX(Z40:Z44,Z28:Z32,Z16:Z20)</f>
        <v>0.58653194964843114</v>
      </c>
      <c r="AA54" s="23"/>
    </row>
    <row r="55" spans="2:27" ht="15" customHeight="1">
      <c r="B55" s="627" t="s">
        <v>502</v>
      </c>
      <c r="C55" s="628"/>
      <c r="D55" s="628"/>
      <c r="E55" s="628"/>
      <c r="F55" s="628"/>
      <c r="G55" s="628"/>
      <c r="H55" s="628"/>
      <c r="I55" s="629">
        <f t="shared" ref="I55:T55" si="16">MIN(I40:I44,I28:I32,I16:I20)</f>
        <v>1.040794409502982</v>
      </c>
      <c r="J55" s="629">
        <f t="shared" si="16"/>
        <v>1.0063547335089393</v>
      </c>
      <c r="K55" s="630">
        <f t="shared" si="16"/>
        <v>0.96283313863942577</v>
      </c>
      <c r="L55" s="629">
        <f t="shared" si="16"/>
        <v>-23.3</v>
      </c>
      <c r="M55" s="629">
        <f t="shared" si="16"/>
        <v>9.3666632849691176</v>
      </c>
      <c r="N55" s="630">
        <f t="shared" si="16"/>
        <v>8.7588821741269278</v>
      </c>
      <c r="O55" s="629">
        <f t="shared" si="16"/>
        <v>-19</v>
      </c>
      <c r="P55" s="629">
        <f t="shared" si="16"/>
        <v>11.606448976133313</v>
      </c>
      <c r="Q55" s="629">
        <f t="shared" si="16"/>
        <v>10.767098807808201</v>
      </c>
      <c r="R55" s="628"/>
      <c r="S55" s="631">
        <f t="shared" si="16"/>
        <v>-0.11065089542926175</v>
      </c>
      <c r="T55" s="629">
        <f t="shared" si="16"/>
        <v>0.95052083333333337</v>
      </c>
      <c r="U55" s="632"/>
      <c r="V55" s="629">
        <f>MIN(V40:V44,V28:V32,V16:V20)</f>
        <v>-13.6</v>
      </c>
      <c r="W55" s="629">
        <f>MIN(W40:W44,W28:W32,W16:W20)</f>
        <v>-109.2</v>
      </c>
      <c r="X55" s="629">
        <f>MIN(X40:X44,X28:X32,X16:X20)</f>
        <v>12.53018857927265</v>
      </c>
      <c r="Y55" s="632"/>
      <c r="Z55" s="634">
        <f>MIN(Z40:Z44,Z28:Z32,Z16:Z20)</f>
        <v>-2.7472747528042571</v>
      </c>
      <c r="AA55" s="23"/>
    </row>
    <row r="56" spans="2:27"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row>
    <row r="59" spans="2:27" ht="1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row>
    <row r="60" spans="2:27" ht="15" customHeight="1">
      <c r="B60" s="23"/>
      <c r="C60" s="23"/>
      <c r="D60" s="616"/>
      <c r="E60" s="472"/>
      <c r="F60" s="617"/>
      <c r="G60" s="617"/>
      <c r="H60" s="23"/>
      <c r="I60" s="618"/>
      <c r="J60" s="618"/>
      <c r="K60" s="744"/>
      <c r="L60" s="744"/>
      <c r="M60" s="744"/>
      <c r="N60" s="744"/>
      <c r="O60" s="744"/>
      <c r="P60" s="744"/>
      <c r="Q60" s="744"/>
      <c r="R60" s="23"/>
      <c r="S60" s="745"/>
      <c r="T60" s="744"/>
      <c r="U60" s="23"/>
      <c r="V60" s="744"/>
      <c r="W60" s="744"/>
      <c r="X60" s="744"/>
      <c r="Y60" s="23"/>
      <c r="Z60" s="745"/>
      <c r="AA60" s="23"/>
    </row>
    <row r="61" spans="2:27" ht="15" customHeight="1">
      <c r="B61" s="23"/>
      <c r="C61" s="23"/>
      <c r="D61" s="616"/>
      <c r="E61" s="472"/>
      <c r="F61" s="617"/>
      <c r="G61" s="617"/>
      <c r="H61" s="23"/>
      <c r="I61" s="618"/>
      <c r="J61" s="618"/>
      <c r="K61" s="744"/>
      <c r="L61" s="744"/>
      <c r="M61" s="744"/>
      <c r="N61" s="744"/>
      <c r="O61" s="744"/>
      <c r="P61" s="744"/>
      <c r="Q61" s="744"/>
      <c r="R61" s="23"/>
      <c r="S61" s="745"/>
      <c r="T61" s="744"/>
      <c r="U61" s="23"/>
      <c r="V61" s="744"/>
      <c r="W61" s="744"/>
      <c r="X61" s="744"/>
      <c r="Y61" s="23"/>
      <c r="Z61" s="745"/>
      <c r="AA61" s="23"/>
    </row>
    <row r="62" spans="2:27" ht="15" customHeight="1">
      <c r="B62" s="23"/>
      <c r="C62" s="23"/>
      <c r="D62" s="616"/>
      <c r="E62" s="472"/>
      <c r="F62" s="617"/>
      <c r="G62" s="617"/>
      <c r="H62" s="23"/>
      <c r="I62" s="618"/>
      <c r="J62" s="618"/>
      <c r="K62" s="744"/>
      <c r="L62" s="744"/>
      <c r="M62" s="744"/>
      <c r="N62" s="744"/>
      <c r="O62" s="744"/>
      <c r="P62" s="744"/>
      <c r="Q62" s="744"/>
      <c r="R62" s="23"/>
      <c r="S62" s="745"/>
      <c r="T62" s="744"/>
      <c r="U62" s="23"/>
      <c r="V62" s="744"/>
      <c r="W62" s="744"/>
      <c r="X62" s="744"/>
      <c r="Y62" s="23"/>
      <c r="Z62" s="745"/>
      <c r="AA62" s="23"/>
    </row>
    <row r="63" spans="2:27" ht="15" customHeight="1">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row>
  </sheetData>
  <mergeCells count="2">
    <mergeCell ref="I7:Q7"/>
    <mergeCell ref="V7:X7"/>
  </mergeCells>
  <conditionalFormatting sqref="I28:I32 I11 I16:I20 I40:I43">
    <cfRule type="colorScale" priority="20">
      <colorScale>
        <cfvo type="min"/>
        <cfvo type="percentile" val="50"/>
        <cfvo type="max"/>
        <color rgb="FF8DEB91"/>
        <color theme="0"/>
        <color theme="4" tint="0.79998168889431442"/>
      </colorScale>
    </cfRule>
  </conditionalFormatting>
  <conditionalFormatting sqref="I40">
    <cfRule type="colorScale" priority="65">
      <colorScale>
        <cfvo type="min"/>
        <cfvo type="percentile" val="50"/>
        <cfvo type="max"/>
        <color rgb="FF8DEB91"/>
        <color theme="0"/>
        <color theme="4" tint="0.79998168889431442"/>
      </colorScale>
    </cfRule>
  </conditionalFormatting>
  <conditionalFormatting sqref="I43">
    <cfRule type="colorScale" priority="50">
      <colorScale>
        <cfvo type="min"/>
        <cfvo type="percentile" val="50"/>
        <cfvo type="max"/>
        <color rgb="FF8DEB91"/>
        <color theme="0"/>
        <color theme="4" tint="0.79998168889431442"/>
      </colorScale>
    </cfRule>
  </conditionalFormatting>
  <conditionalFormatting sqref="I60">
    <cfRule type="colorScale" priority="110">
      <colorScale>
        <cfvo type="min"/>
        <cfvo type="percentile" val="50"/>
        <cfvo type="max"/>
        <color rgb="FF8DEB91"/>
        <color theme="0"/>
        <color theme="4" tint="0.79998168889431442"/>
      </colorScale>
    </cfRule>
  </conditionalFormatting>
  <conditionalFormatting sqref="I61">
    <cfRule type="colorScale" priority="140">
      <colorScale>
        <cfvo type="min"/>
        <cfvo type="percentile" val="50"/>
        <cfvo type="max"/>
        <color rgb="FF8DEB91"/>
        <color theme="0"/>
        <color theme="4" tint="0.79998168889431442"/>
      </colorScale>
    </cfRule>
  </conditionalFormatting>
  <conditionalFormatting sqref="I62">
    <cfRule type="colorScale" priority="125">
      <colorScale>
        <cfvo type="min"/>
        <cfvo type="percentile" val="50"/>
        <cfvo type="max"/>
        <color rgb="FF8DEB91"/>
        <color theme="0"/>
        <color theme="4" tint="0.79998168889431442"/>
      </colorScale>
    </cfRule>
  </conditionalFormatting>
  <conditionalFormatting sqref="J16:J20 J11 J41 J28:J32 J40:J43">
    <cfRule type="colorScale" priority="154">
      <colorScale>
        <cfvo type="min"/>
        <cfvo type="percentile" val="50"/>
        <cfvo type="max"/>
        <color rgb="FF8DEB91"/>
        <color theme="0"/>
        <color theme="4" tint="0.79998168889431442"/>
      </colorScale>
    </cfRule>
  </conditionalFormatting>
  <conditionalFormatting sqref="J28">
    <cfRule type="colorScale" priority="94">
      <colorScale>
        <cfvo type="min"/>
        <cfvo type="percentile" val="50"/>
        <cfvo type="max"/>
        <color rgb="FF8DEB91"/>
        <color theme="0"/>
        <color theme="4" tint="0.79998168889431442"/>
      </colorScale>
    </cfRule>
  </conditionalFormatting>
  <conditionalFormatting sqref="J60">
    <cfRule type="colorScale" priority="109">
      <colorScale>
        <cfvo type="min"/>
        <cfvo type="percentile" val="50"/>
        <cfvo type="max"/>
        <color rgb="FF8DEB91"/>
        <color theme="0"/>
        <color theme="4" tint="0.79998168889431442"/>
      </colorScale>
    </cfRule>
  </conditionalFormatting>
  <conditionalFormatting sqref="J61">
    <cfRule type="colorScale" priority="139">
      <colorScale>
        <cfvo type="min"/>
        <cfvo type="percentile" val="50"/>
        <cfvo type="max"/>
        <color rgb="FF8DEB91"/>
        <color theme="0"/>
        <color theme="4" tint="0.79998168889431442"/>
      </colorScale>
    </cfRule>
  </conditionalFormatting>
  <conditionalFormatting sqref="J62">
    <cfRule type="colorScale" priority="124">
      <colorScale>
        <cfvo type="min"/>
        <cfvo type="percentile" val="50"/>
        <cfvo type="max"/>
        <color rgb="FF8DEB91"/>
        <color theme="0"/>
        <color theme="4" tint="0.79998168889431442"/>
      </colorScale>
    </cfRule>
  </conditionalFormatting>
  <conditionalFormatting sqref="K16:K20 K11 K41 K28:K32 K40:K43">
    <cfRule type="colorScale" priority="153">
      <colorScale>
        <cfvo type="min"/>
        <cfvo type="percentile" val="50"/>
        <cfvo type="max"/>
        <color rgb="FF8DEB91"/>
        <color theme="0"/>
        <color theme="4" tint="0.79998168889431442"/>
      </colorScale>
    </cfRule>
  </conditionalFormatting>
  <conditionalFormatting sqref="K28">
    <cfRule type="colorScale" priority="93">
      <colorScale>
        <cfvo type="min"/>
        <cfvo type="percentile" val="50"/>
        <cfvo type="max"/>
        <color rgb="FF8DEB91"/>
        <color theme="0"/>
        <color theme="4" tint="0.79998168889431442"/>
      </colorScale>
    </cfRule>
  </conditionalFormatting>
  <conditionalFormatting sqref="K60">
    <cfRule type="colorScale" priority="108">
      <colorScale>
        <cfvo type="min"/>
        <cfvo type="percentile" val="50"/>
        <cfvo type="max"/>
        <color rgb="FF8DEB91"/>
        <color theme="0"/>
        <color theme="4" tint="0.79998168889431442"/>
      </colorScale>
    </cfRule>
  </conditionalFormatting>
  <conditionalFormatting sqref="K61">
    <cfRule type="colorScale" priority="138">
      <colorScale>
        <cfvo type="min"/>
        <cfvo type="percentile" val="50"/>
        <cfvo type="max"/>
        <color rgb="FF8DEB91"/>
        <color theme="0"/>
        <color theme="4" tint="0.79998168889431442"/>
      </colorScale>
    </cfRule>
  </conditionalFormatting>
  <conditionalFormatting sqref="K62">
    <cfRule type="colorScale" priority="123">
      <colorScale>
        <cfvo type="min"/>
        <cfvo type="percentile" val="50"/>
        <cfvo type="max"/>
        <color rgb="FF8DEB91"/>
        <color theme="0"/>
        <color theme="4" tint="0.79998168889431442"/>
      </colorScale>
    </cfRule>
  </conditionalFormatting>
  <conditionalFormatting sqref="L16:L20 L11 L28:L32 L40:L43">
    <cfRule type="colorScale" priority="152">
      <colorScale>
        <cfvo type="min"/>
        <cfvo type="percentile" val="50"/>
        <cfvo type="max"/>
        <color rgb="FF8DEB91"/>
        <color theme="0"/>
        <color theme="4" tint="0.79998168889431442"/>
      </colorScale>
    </cfRule>
    <cfRule type="cellIs" dxfId="4" priority="4" stopIfTrue="1" operator="lessThan">
      <formula>0</formula>
    </cfRule>
  </conditionalFormatting>
  <conditionalFormatting sqref="L60">
    <cfRule type="colorScale" priority="107">
      <colorScale>
        <cfvo type="min"/>
        <cfvo type="percentile" val="50"/>
        <cfvo type="max"/>
        <color rgb="FF8DEB91"/>
        <color theme="0"/>
        <color theme="4" tint="0.79998168889431442"/>
      </colorScale>
    </cfRule>
  </conditionalFormatting>
  <conditionalFormatting sqref="L61">
    <cfRule type="colorScale" priority="137">
      <colorScale>
        <cfvo type="min"/>
        <cfvo type="percentile" val="50"/>
        <cfvo type="max"/>
        <color rgb="FF8DEB91"/>
        <color theme="0"/>
        <color theme="4" tint="0.79998168889431442"/>
      </colorScale>
    </cfRule>
  </conditionalFormatting>
  <conditionalFormatting sqref="L62">
    <cfRule type="colorScale" priority="122">
      <colorScale>
        <cfvo type="min"/>
        <cfvo type="percentile" val="50"/>
        <cfvo type="max"/>
        <color rgb="FF8DEB91"/>
        <color theme="0"/>
        <color theme="4" tint="0.79998168889431442"/>
      </colorScale>
    </cfRule>
  </conditionalFormatting>
  <conditionalFormatting sqref="M16:M20 M11 M40:M43 M28:M32">
    <cfRule type="colorScale" priority="5">
      <colorScale>
        <cfvo type="min"/>
        <cfvo type="percentile" val="50"/>
        <cfvo type="max"/>
        <color rgb="FF8DEB91"/>
        <color theme="0"/>
        <color theme="4" tint="0.79998168889431442"/>
      </colorScale>
    </cfRule>
  </conditionalFormatting>
  <conditionalFormatting sqref="M28">
    <cfRule type="colorScale" priority="91">
      <colorScale>
        <cfvo type="min"/>
        <cfvo type="percentile" val="50"/>
        <cfvo type="max"/>
        <color rgb="FF8DEB91"/>
        <color theme="0"/>
        <color theme="4" tint="0.79998168889431442"/>
      </colorScale>
    </cfRule>
  </conditionalFormatting>
  <conditionalFormatting sqref="M40">
    <cfRule type="colorScale" priority="61">
      <colorScale>
        <cfvo type="min"/>
        <cfvo type="percentile" val="50"/>
        <cfvo type="max"/>
        <color rgb="FF8DEB91"/>
        <color theme="0"/>
        <color theme="4" tint="0.79998168889431442"/>
      </colorScale>
    </cfRule>
  </conditionalFormatting>
  <conditionalFormatting sqref="M60">
    <cfRule type="colorScale" priority="106">
      <colorScale>
        <cfvo type="min"/>
        <cfvo type="percentile" val="50"/>
        <cfvo type="max"/>
        <color rgb="FF8DEB91"/>
        <color theme="0"/>
        <color theme="4" tint="0.79998168889431442"/>
      </colorScale>
    </cfRule>
  </conditionalFormatting>
  <conditionalFormatting sqref="M61">
    <cfRule type="colorScale" priority="136">
      <colorScale>
        <cfvo type="min"/>
        <cfvo type="percentile" val="50"/>
        <cfvo type="max"/>
        <color rgb="FF8DEB91"/>
        <color theme="0"/>
        <color theme="4" tint="0.79998168889431442"/>
      </colorScale>
    </cfRule>
  </conditionalFormatting>
  <conditionalFormatting sqref="M62">
    <cfRule type="colorScale" priority="121">
      <colorScale>
        <cfvo type="min"/>
        <cfvo type="percentile" val="50"/>
        <cfvo type="max"/>
        <color rgb="FF8DEB91"/>
        <color theme="0"/>
        <color theme="4" tint="0.79998168889431442"/>
      </colorScale>
    </cfRule>
  </conditionalFormatting>
  <conditionalFormatting sqref="N16:N20 N41 N28:N32 N11 N40:N43">
    <cfRule type="colorScale" priority="150">
      <colorScale>
        <cfvo type="min"/>
        <cfvo type="percentile" val="50"/>
        <cfvo type="max"/>
        <color rgb="FF8DEB91"/>
        <color theme="0"/>
        <color theme="4" tint="0.79998168889431442"/>
      </colorScale>
    </cfRule>
  </conditionalFormatting>
  <conditionalFormatting sqref="N60">
    <cfRule type="colorScale" priority="105">
      <colorScale>
        <cfvo type="min"/>
        <cfvo type="percentile" val="50"/>
        <cfvo type="max"/>
        <color rgb="FF8DEB91"/>
        <color theme="0"/>
        <color theme="4" tint="0.79998168889431442"/>
      </colorScale>
    </cfRule>
  </conditionalFormatting>
  <conditionalFormatting sqref="N61">
    <cfRule type="colorScale" priority="135">
      <colorScale>
        <cfvo type="min"/>
        <cfvo type="percentile" val="50"/>
        <cfvo type="max"/>
        <color rgb="FF8DEB91"/>
        <color theme="0"/>
        <color theme="4" tint="0.79998168889431442"/>
      </colorScale>
    </cfRule>
  </conditionalFormatting>
  <conditionalFormatting sqref="N62">
    <cfRule type="colorScale" priority="120">
      <colorScale>
        <cfvo type="min"/>
        <cfvo type="percentile" val="50"/>
        <cfvo type="max"/>
        <color rgb="FF8DEB91"/>
        <color theme="0"/>
        <color theme="4" tint="0.79998168889431442"/>
      </colorScale>
    </cfRule>
  </conditionalFormatting>
  <conditionalFormatting sqref="O16:O20 O41 O28:O32 O11 O40:O43">
    <cfRule type="colorScale" priority="149">
      <colorScale>
        <cfvo type="min"/>
        <cfvo type="percentile" val="50"/>
        <cfvo type="max"/>
        <color rgb="FF8DEB91"/>
        <color theme="0"/>
        <color theme="4" tint="0.79998168889431442"/>
      </colorScale>
    </cfRule>
    <cfRule type="cellIs" dxfId="3" priority="3" stopIfTrue="1" operator="lessThan">
      <formula>0</formula>
    </cfRule>
  </conditionalFormatting>
  <conditionalFormatting sqref="O60">
    <cfRule type="colorScale" priority="104">
      <colorScale>
        <cfvo type="min"/>
        <cfvo type="percentile" val="50"/>
        <cfvo type="max"/>
        <color rgb="FF8DEB91"/>
        <color theme="0"/>
        <color theme="4" tint="0.79998168889431442"/>
      </colorScale>
    </cfRule>
  </conditionalFormatting>
  <conditionalFormatting sqref="O61">
    <cfRule type="colorScale" priority="134">
      <colorScale>
        <cfvo type="min"/>
        <cfvo type="percentile" val="50"/>
        <cfvo type="max"/>
        <color rgb="FF8DEB91"/>
        <color theme="0"/>
        <color theme="4" tint="0.79998168889431442"/>
      </colorScale>
    </cfRule>
  </conditionalFormatting>
  <conditionalFormatting sqref="O62">
    <cfRule type="colorScale" priority="119">
      <colorScale>
        <cfvo type="min"/>
        <cfvo type="percentile" val="50"/>
        <cfvo type="max"/>
        <color rgb="FF8DEB91"/>
        <color theme="0"/>
        <color theme="4" tint="0.79998168889431442"/>
      </colorScale>
    </cfRule>
  </conditionalFormatting>
  <conditionalFormatting sqref="P16:P20 P41 P28:P32 P11 P40:P43">
    <cfRule type="colorScale" priority="148">
      <colorScale>
        <cfvo type="min"/>
        <cfvo type="percentile" val="50"/>
        <cfvo type="max"/>
        <color rgb="FF8DEB91"/>
        <color theme="0"/>
        <color theme="4" tint="0.79998168889431442"/>
      </colorScale>
    </cfRule>
  </conditionalFormatting>
  <conditionalFormatting sqref="P60">
    <cfRule type="colorScale" priority="103">
      <colorScale>
        <cfvo type="min"/>
        <cfvo type="percentile" val="50"/>
        <cfvo type="max"/>
        <color rgb="FF8DEB91"/>
        <color theme="0"/>
        <color theme="4" tint="0.79998168889431442"/>
      </colorScale>
    </cfRule>
  </conditionalFormatting>
  <conditionalFormatting sqref="P61">
    <cfRule type="colorScale" priority="133">
      <colorScale>
        <cfvo type="min"/>
        <cfvo type="percentile" val="50"/>
        <cfvo type="max"/>
        <color rgb="FF8DEB91"/>
        <color theme="0"/>
        <color theme="4" tint="0.79998168889431442"/>
      </colorScale>
    </cfRule>
  </conditionalFormatting>
  <conditionalFormatting sqref="P62">
    <cfRule type="colorScale" priority="118">
      <colorScale>
        <cfvo type="min"/>
        <cfvo type="percentile" val="50"/>
        <cfvo type="max"/>
        <color rgb="FF8DEB91"/>
        <color theme="0"/>
        <color theme="4" tint="0.79998168889431442"/>
      </colorScale>
    </cfRule>
  </conditionalFormatting>
  <conditionalFormatting sqref="Q16:Q20 Q41 Q28:Q32 Q40:Q43 Q11">
    <cfRule type="colorScale" priority="147">
      <colorScale>
        <cfvo type="min"/>
        <cfvo type="percentile" val="50"/>
        <cfvo type="max"/>
        <color rgb="FF8DEB91"/>
        <color theme="0"/>
        <color theme="4" tint="0.79998168889431442"/>
      </colorScale>
    </cfRule>
  </conditionalFormatting>
  <conditionalFormatting sqref="Q60">
    <cfRule type="colorScale" priority="102">
      <colorScale>
        <cfvo type="min"/>
        <cfvo type="percentile" val="50"/>
        <cfvo type="max"/>
        <color rgb="FF8DEB91"/>
        <color theme="0"/>
        <color theme="4" tint="0.79998168889431442"/>
      </colorScale>
    </cfRule>
  </conditionalFormatting>
  <conditionalFormatting sqref="Q61">
    <cfRule type="colorScale" priority="132">
      <colorScale>
        <cfvo type="min"/>
        <cfvo type="percentile" val="50"/>
        <cfvo type="max"/>
        <color rgb="FF8DEB91"/>
        <color theme="0"/>
        <color theme="4" tint="0.79998168889431442"/>
      </colorScale>
    </cfRule>
  </conditionalFormatting>
  <conditionalFormatting sqref="Q62">
    <cfRule type="colorScale" priority="117">
      <colorScale>
        <cfvo type="min"/>
        <cfvo type="percentile" val="50"/>
        <cfvo type="max"/>
        <color rgb="FF8DEB91"/>
        <color theme="0"/>
        <color theme="4" tint="0.79998168889431442"/>
      </colorScale>
    </cfRule>
  </conditionalFormatting>
  <conditionalFormatting sqref="S16:S20 S41 S28:S32 S40:S43 S11">
    <cfRule type="colorScale" priority="142">
      <colorScale>
        <cfvo type="min"/>
        <cfvo type="percentile" val="50"/>
        <cfvo type="max"/>
        <color theme="4" tint="0.79998168889431442"/>
        <color theme="0"/>
        <color rgb="FF8DEB91"/>
      </colorScale>
    </cfRule>
  </conditionalFormatting>
  <conditionalFormatting sqref="S60">
    <cfRule type="colorScale" priority="97">
      <colorScale>
        <cfvo type="min"/>
        <cfvo type="percentile" val="50"/>
        <cfvo type="max"/>
        <color theme="4" tint="0.79998168889431442"/>
        <color theme="0"/>
        <color rgb="FF8DEB91"/>
      </colorScale>
    </cfRule>
  </conditionalFormatting>
  <conditionalFormatting sqref="S61">
    <cfRule type="colorScale" priority="127">
      <colorScale>
        <cfvo type="min"/>
        <cfvo type="percentile" val="50"/>
        <cfvo type="max"/>
        <color theme="4" tint="0.79998168889431442"/>
        <color theme="0"/>
        <color rgb="FF8DEB91"/>
      </colorScale>
    </cfRule>
  </conditionalFormatting>
  <conditionalFormatting sqref="S62">
    <cfRule type="colorScale" priority="112">
      <colorScale>
        <cfvo type="min"/>
        <cfvo type="percentile" val="50"/>
        <cfvo type="max"/>
        <color theme="4" tint="0.79998168889431442"/>
        <color theme="0"/>
        <color rgb="FF8DEB91"/>
      </colorScale>
    </cfRule>
  </conditionalFormatting>
  <conditionalFormatting sqref="T16:T20 T41 T28:T32 T11 T40:T43">
    <cfRule type="colorScale" priority="146">
      <colorScale>
        <cfvo type="min"/>
        <cfvo type="percentile" val="50"/>
        <cfvo type="max"/>
        <color rgb="FF8DEB91"/>
        <color theme="0"/>
        <color theme="4" tint="0.79998168889431442"/>
      </colorScale>
    </cfRule>
  </conditionalFormatting>
  <conditionalFormatting sqref="T60">
    <cfRule type="colorScale" priority="101">
      <colorScale>
        <cfvo type="min"/>
        <cfvo type="percentile" val="50"/>
        <cfvo type="max"/>
        <color rgb="FF8DEB91"/>
        <color theme="0"/>
        <color theme="4" tint="0.79998168889431442"/>
      </colorScale>
    </cfRule>
  </conditionalFormatting>
  <conditionalFormatting sqref="T61">
    <cfRule type="colorScale" priority="131">
      <colorScale>
        <cfvo type="min"/>
        <cfvo type="percentile" val="50"/>
        <cfvo type="max"/>
        <color rgb="FF8DEB91"/>
        <color theme="0"/>
        <color theme="4" tint="0.79998168889431442"/>
      </colorScale>
    </cfRule>
  </conditionalFormatting>
  <conditionalFormatting sqref="T62">
    <cfRule type="colorScale" priority="116">
      <colorScale>
        <cfvo type="min"/>
        <cfvo type="percentile" val="50"/>
        <cfvo type="max"/>
        <color rgb="FF8DEB91"/>
        <color theme="0"/>
        <color theme="4" tint="0.79998168889431442"/>
      </colorScale>
    </cfRule>
  </conditionalFormatting>
  <conditionalFormatting sqref="V16:V20 V41 V28:V32 V40:V43 V11">
    <cfRule type="colorScale" priority="145">
      <colorScale>
        <cfvo type="min"/>
        <cfvo type="percentile" val="50"/>
        <cfvo type="max"/>
        <color rgb="FF8DEB91"/>
        <color theme="0"/>
        <color theme="4" tint="0.79998168889431442"/>
      </colorScale>
    </cfRule>
    <cfRule type="cellIs" dxfId="2" priority="2" stopIfTrue="1" operator="lessThan">
      <formula>0</formula>
    </cfRule>
  </conditionalFormatting>
  <conditionalFormatting sqref="V60">
    <cfRule type="colorScale" priority="100">
      <colorScale>
        <cfvo type="min"/>
        <cfvo type="percentile" val="50"/>
        <cfvo type="max"/>
        <color rgb="FF8DEB91"/>
        <color theme="0"/>
        <color theme="4" tint="0.79998168889431442"/>
      </colorScale>
    </cfRule>
  </conditionalFormatting>
  <conditionalFormatting sqref="V61">
    <cfRule type="colorScale" priority="130">
      <colorScale>
        <cfvo type="min"/>
        <cfvo type="percentile" val="50"/>
        <cfvo type="max"/>
        <color rgb="FF8DEB91"/>
        <color theme="0"/>
        <color theme="4" tint="0.79998168889431442"/>
      </colorScale>
    </cfRule>
  </conditionalFormatting>
  <conditionalFormatting sqref="V62">
    <cfRule type="colorScale" priority="115">
      <colorScale>
        <cfvo type="min"/>
        <cfvo type="percentile" val="50"/>
        <cfvo type="max"/>
        <color rgb="FF8DEB91"/>
        <color theme="0"/>
        <color theme="4" tint="0.79998168889431442"/>
      </colorScale>
    </cfRule>
  </conditionalFormatting>
  <conditionalFormatting sqref="W16:W20 W41 W28:W32 W40:W43 W11">
    <cfRule type="colorScale" priority="144">
      <colorScale>
        <cfvo type="min"/>
        <cfvo type="percentile" val="50"/>
        <cfvo type="max"/>
        <color rgb="FF8DEB91"/>
        <color theme="0"/>
        <color theme="4" tint="0.79998168889431442"/>
      </colorScale>
    </cfRule>
    <cfRule type="cellIs" dxfId="1" priority="1" stopIfTrue="1" operator="lessThan">
      <formula>0</formula>
    </cfRule>
  </conditionalFormatting>
  <conditionalFormatting sqref="W60">
    <cfRule type="colorScale" priority="99">
      <colorScale>
        <cfvo type="min"/>
        <cfvo type="percentile" val="50"/>
        <cfvo type="max"/>
        <color rgb="FF8DEB91"/>
        <color theme="0"/>
        <color theme="4" tint="0.79998168889431442"/>
      </colorScale>
    </cfRule>
  </conditionalFormatting>
  <conditionalFormatting sqref="W61">
    <cfRule type="colorScale" priority="129">
      <colorScale>
        <cfvo type="min"/>
        <cfvo type="percentile" val="50"/>
        <cfvo type="max"/>
        <color rgb="FF8DEB91"/>
        <color theme="0"/>
        <color theme="4" tint="0.79998168889431442"/>
      </colorScale>
    </cfRule>
  </conditionalFormatting>
  <conditionalFormatting sqref="W62">
    <cfRule type="colorScale" priority="114">
      <colorScale>
        <cfvo type="min"/>
        <cfvo type="percentile" val="50"/>
        <cfvo type="max"/>
        <color rgb="FF8DEB91"/>
        <color theme="0"/>
        <color theme="4" tint="0.79998168889431442"/>
      </colorScale>
    </cfRule>
  </conditionalFormatting>
  <conditionalFormatting sqref="X16:X20 X41 X28:X32 X11 X40:X43">
    <cfRule type="colorScale" priority="143">
      <colorScale>
        <cfvo type="min"/>
        <cfvo type="percentile" val="50"/>
        <cfvo type="max"/>
        <color rgb="FF8DEB91"/>
        <color theme="0"/>
        <color theme="4" tint="0.79998168889431442"/>
      </colorScale>
    </cfRule>
  </conditionalFormatting>
  <conditionalFormatting sqref="X60">
    <cfRule type="colorScale" priority="98">
      <colorScale>
        <cfvo type="min"/>
        <cfvo type="percentile" val="50"/>
        <cfvo type="max"/>
        <color rgb="FF8DEB91"/>
        <color theme="0"/>
        <color theme="4" tint="0.79998168889431442"/>
      </colorScale>
    </cfRule>
  </conditionalFormatting>
  <conditionalFormatting sqref="X61">
    <cfRule type="colorScale" priority="128">
      <colorScale>
        <cfvo type="min"/>
        <cfvo type="percentile" val="50"/>
        <cfvo type="max"/>
        <color rgb="FF8DEB91"/>
        <color theme="0"/>
        <color theme="4" tint="0.79998168889431442"/>
      </colorScale>
    </cfRule>
  </conditionalFormatting>
  <conditionalFormatting sqref="X62">
    <cfRule type="colorScale" priority="113">
      <colorScale>
        <cfvo type="min"/>
        <cfvo type="percentile" val="50"/>
        <cfvo type="max"/>
        <color rgb="FF8DEB91"/>
        <color theme="0"/>
        <color theme="4" tint="0.79998168889431442"/>
      </colorScale>
    </cfRule>
  </conditionalFormatting>
  <conditionalFormatting sqref="Z16:Z20 Z41 Z28:Z32 Z11 Z40:Z43">
    <cfRule type="colorScale" priority="141">
      <colorScale>
        <cfvo type="min"/>
        <cfvo type="percentile" val="50"/>
        <cfvo type="max"/>
        <color theme="4" tint="0.79998168889431442"/>
        <color theme="0"/>
        <color rgb="FF8DEB91"/>
      </colorScale>
    </cfRule>
  </conditionalFormatting>
  <conditionalFormatting sqref="Z60">
    <cfRule type="colorScale" priority="96">
      <colorScale>
        <cfvo type="min"/>
        <cfvo type="percentile" val="50"/>
        <cfvo type="max"/>
        <color theme="4" tint="0.79998168889431442"/>
        <color theme="0"/>
        <color rgb="FF8DEB91"/>
      </colorScale>
    </cfRule>
  </conditionalFormatting>
  <conditionalFormatting sqref="Z61">
    <cfRule type="colorScale" priority="126">
      <colorScale>
        <cfvo type="min"/>
        <cfvo type="percentile" val="50"/>
        <cfvo type="max"/>
        <color theme="4" tint="0.79998168889431442"/>
        <color theme="0"/>
        <color rgb="FF8DEB91"/>
      </colorScale>
    </cfRule>
  </conditionalFormatting>
  <conditionalFormatting sqref="Z62">
    <cfRule type="colorScale" priority="111">
      <colorScale>
        <cfvo type="min"/>
        <cfvo type="percentile" val="50"/>
        <cfvo type="max"/>
        <color theme="4" tint="0.79998168889431442"/>
        <color theme="0"/>
        <color rgb="FF8DEB91"/>
      </colorScale>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tabColor rgb="FF7B1314"/>
    <pageSetUpPr autoPageBreaks="0"/>
  </sheetPr>
  <dimension ref="A1:W49"/>
  <sheetViews>
    <sheetView showGridLines="0" zoomScaleNormal="100" workbookViewId="0">
      <selection activeCell="T19" sqref="T19"/>
    </sheetView>
  </sheetViews>
  <sheetFormatPr defaultColWidth="8.875" defaultRowHeight="15" customHeight="1"/>
  <cols>
    <col min="1" max="1" width="2.125" style="562" customWidth="1"/>
    <col min="2" max="2" width="50.625" style="562" customWidth="1"/>
    <col min="3" max="3" width="3.625" style="562" customWidth="1"/>
    <col min="4" max="8" width="11.625" style="562" customWidth="1"/>
    <col min="9" max="9" width="1.625" style="562" customWidth="1"/>
    <col min="10" max="10" width="9" style="562" customWidth="1"/>
    <col min="11" max="11" width="40.625" style="562" customWidth="1"/>
    <col min="12" max="18" width="9" style="562" customWidth="1"/>
    <col min="19" max="16384" width="8.875" style="562"/>
  </cols>
  <sheetData>
    <row r="1" spans="1:20" s="573" customFormat="1" ht="15" customHeight="1"/>
    <row r="2" spans="1:20" s="573" customFormat="1" ht="15" customHeight="1"/>
    <row r="3" spans="1:20" s="573" customFormat="1" ht="15" customHeight="1"/>
    <row r="4" spans="1:20" s="573" customFormat="1" ht="15" customHeight="1"/>
    <row r="5" spans="1:20" s="560" customFormat="1" ht="3.95" customHeight="1">
      <c r="A5" s="36"/>
      <c r="B5" s="36"/>
      <c r="C5" s="36"/>
      <c r="D5" s="36"/>
      <c r="E5" s="36"/>
      <c r="F5" s="36"/>
      <c r="G5" s="36"/>
      <c r="H5" s="36"/>
      <c r="I5" s="36"/>
      <c r="J5" s="36"/>
      <c r="K5" s="36"/>
      <c r="L5" s="36"/>
      <c r="M5" s="36"/>
      <c r="N5" s="36"/>
      <c r="O5" s="36"/>
      <c r="P5" s="36"/>
      <c r="Q5" s="36"/>
      <c r="R5" s="36"/>
      <c r="S5" s="36"/>
      <c r="T5" s="36"/>
    </row>
    <row r="7" spans="1:20" ht="15" customHeight="1">
      <c r="A7" s="611" t="s">
        <v>41</v>
      </c>
      <c r="B7" s="367" t="s">
        <v>503</v>
      </c>
      <c r="C7" s="32"/>
      <c r="D7" s="32"/>
      <c r="E7" s="32"/>
      <c r="F7" s="32"/>
      <c r="G7" s="32"/>
      <c r="H7" s="32"/>
      <c r="I7" s="32"/>
      <c r="J7" s="638"/>
      <c r="K7" s="367" t="s">
        <v>504</v>
      </c>
      <c r="L7" s="367"/>
      <c r="M7" s="367"/>
      <c r="N7" s="32"/>
      <c r="O7" s="32"/>
      <c r="P7" s="32"/>
      <c r="Q7" s="32"/>
      <c r="R7" s="32"/>
      <c r="S7" s="23"/>
      <c r="T7" s="23"/>
    </row>
    <row r="8" spans="1:20" ht="15" customHeight="1">
      <c r="A8" s="23"/>
      <c r="B8" s="32"/>
      <c r="C8" s="32"/>
      <c r="D8" s="32"/>
      <c r="E8" s="32"/>
      <c r="F8" s="32"/>
      <c r="G8" s="32"/>
      <c r="H8" s="32"/>
      <c r="I8" s="32"/>
      <c r="J8" s="638"/>
      <c r="K8" s="32"/>
      <c r="L8" s="367"/>
      <c r="M8" s="32"/>
      <c r="N8" s="639"/>
      <c r="O8" s="639"/>
      <c r="P8" s="640" t="s">
        <v>505</v>
      </c>
      <c r="Q8" s="639"/>
      <c r="R8" s="639"/>
      <c r="S8" s="23"/>
      <c r="T8" s="23"/>
    </row>
    <row r="9" spans="1:20" ht="15" customHeight="1">
      <c r="A9" s="23"/>
      <c r="B9" s="367"/>
      <c r="C9" s="32"/>
      <c r="D9" s="37">
        <v>2025</v>
      </c>
      <c r="E9" s="37">
        <f>+D9+1</f>
        <v>2026</v>
      </c>
      <c r="F9" s="37">
        <f t="shared" ref="F9:H9" si="0">+E9+1</f>
        <v>2027</v>
      </c>
      <c r="G9" s="37">
        <f t="shared" si="0"/>
        <v>2028</v>
      </c>
      <c r="H9" s="37">
        <f t="shared" si="0"/>
        <v>2029</v>
      </c>
      <c r="I9" s="592"/>
      <c r="J9" s="638"/>
      <c r="K9" s="367"/>
      <c r="L9" s="367"/>
      <c r="M9" s="367" t="s">
        <v>506</v>
      </c>
      <c r="N9" s="37">
        <v>2025</v>
      </c>
      <c r="O9" s="37">
        <f>+N9+1</f>
        <v>2026</v>
      </c>
      <c r="P9" s="37">
        <f t="shared" ref="P9:R9" si="1">+O9+1</f>
        <v>2027</v>
      </c>
      <c r="Q9" s="37">
        <f t="shared" si="1"/>
        <v>2028</v>
      </c>
      <c r="R9" s="37">
        <f t="shared" si="1"/>
        <v>2029</v>
      </c>
      <c r="S9" s="23"/>
      <c r="T9" s="23"/>
    </row>
    <row r="10" spans="1:20" ht="3.95" customHeight="1">
      <c r="A10" s="23"/>
      <c r="B10" s="416"/>
      <c r="C10" s="382"/>
      <c r="D10" s="382"/>
      <c r="E10" s="382"/>
      <c r="F10" s="382"/>
      <c r="G10" s="382"/>
      <c r="H10" s="382"/>
      <c r="I10" s="382"/>
      <c r="J10" s="638"/>
      <c r="K10" s="416"/>
      <c r="L10" s="416"/>
      <c r="M10" s="416"/>
      <c r="N10" s="382"/>
      <c r="O10" s="382"/>
      <c r="P10" s="382"/>
      <c r="Q10" s="382"/>
      <c r="R10" s="382"/>
      <c r="S10" s="23"/>
      <c r="T10" s="23"/>
    </row>
    <row r="11" spans="1:20" ht="3.95" customHeight="1">
      <c r="A11" s="23"/>
      <c r="B11" s="334"/>
      <c r="C11" s="415"/>
      <c r="D11" s="415"/>
      <c r="E11" s="415"/>
      <c r="F11" s="415"/>
      <c r="G11" s="415"/>
      <c r="H11" s="415"/>
      <c r="I11" s="638"/>
      <c r="J11" s="638"/>
      <c r="K11" s="638"/>
      <c r="L11" s="23"/>
      <c r="M11" s="638"/>
      <c r="N11" s="638"/>
      <c r="O11" s="638"/>
      <c r="P11" s="638"/>
      <c r="Q11" s="23"/>
      <c r="R11" s="23"/>
      <c r="S11" s="23"/>
      <c r="T11" s="23"/>
    </row>
    <row r="12" spans="1:20" ht="15" customHeight="1">
      <c r="A12" s="23"/>
      <c r="B12" s="476" t="s">
        <v>507</v>
      </c>
      <c r="C12" s="415"/>
      <c r="D12" s="415"/>
      <c r="E12" s="415"/>
      <c r="F12" s="415"/>
      <c r="G12" s="415"/>
      <c r="H12" s="415"/>
      <c r="I12" s="638"/>
      <c r="J12" s="638"/>
      <c r="K12" s="641" t="str">
        <f>+Segments!B20</f>
        <v>United States</v>
      </c>
      <c r="L12" s="23"/>
      <c r="M12" s="763">
        <v>4.3299999999999998E-2</v>
      </c>
      <c r="N12" s="643">
        <v>0.73409999999999997</v>
      </c>
      <c r="O12" s="643">
        <v>0.73399999999999999</v>
      </c>
      <c r="P12" s="643">
        <v>0.73219999999999996</v>
      </c>
      <c r="Q12" s="643">
        <v>0.72829999999999995</v>
      </c>
      <c r="R12" s="643">
        <v>0.71440000000000003</v>
      </c>
      <c r="S12" s="23"/>
      <c r="T12" s="23"/>
    </row>
    <row r="13" spans="1:20" ht="15" customHeight="1">
      <c r="A13" s="23"/>
      <c r="B13" s="787" t="s">
        <v>508</v>
      </c>
      <c r="C13" s="23"/>
      <c r="D13" s="645">
        <f>+Inputs!J13</f>
        <v>107186.1436966</v>
      </c>
      <c r="E13" s="645">
        <f>D13*1.099</f>
        <v>117797.57192256339</v>
      </c>
      <c r="F13" s="645">
        <f>E13*1.094</f>
        <v>128870.54368328437</v>
      </c>
      <c r="G13" s="645">
        <f>F13*1.066</f>
        <v>137375.99956638116</v>
      </c>
      <c r="H13" s="645">
        <f>G13*1.025</f>
        <v>140810.39955554067</v>
      </c>
      <c r="I13" s="23"/>
      <c r="J13" s="638"/>
      <c r="K13" s="641" t="str">
        <f>+Segments!B21</f>
        <v>Europe</v>
      </c>
      <c r="L13" s="23"/>
      <c r="M13" s="764">
        <v>5.7200000000000001E-2</v>
      </c>
      <c r="N13" s="643">
        <v>0.1134</v>
      </c>
      <c r="O13" s="643">
        <v>0.1195</v>
      </c>
      <c r="P13" s="643">
        <v>0.1242</v>
      </c>
      <c r="Q13" s="643">
        <v>0.12770000000000001</v>
      </c>
      <c r="R13" s="643">
        <v>0.1333</v>
      </c>
      <c r="S13" s="23"/>
      <c r="T13" s="651">
        <f>(5.13+7.26+4.33+4.33+5.46+7.67+5.13+6.46)/8</f>
        <v>5.7212500000000004</v>
      </c>
    </row>
    <row r="14" spans="1:20" ht="15" customHeight="1">
      <c r="A14" s="23"/>
      <c r="B14" s="646" t="s">
        <v>509</v>
      </c>
      <c r="C14" s="23"/>
      <c r="D14" s="546">
        <f>IFERROR(D13/D35,"")</f>
        <v>0.83203459088413811</v>
      </c>
      <c r="E14" s="546">
        <f>IFERROR(E13/E35,"")</f>
        <v>0.84090241044775849</v>
      </c>
      <c r="F14" s="546">
        <f>IFERROR(E13/F35,"")</f>
        <v>0.7758706730313587</v>
      </c>
      <c r="G14" s="546">
        <f>IFERROR(F13/G35,"")</f>
        <v>0.80033661921405763</v>
      </c>
      <c r="H14" s="546">
        <f>IFERROR(G13/H35,"")</f>
        <v>0.83175429974131454</v>
      </c>
      <c r="I14" s="472"/>
      <c r="J14" s="472"/>
      <c r="K14" s="641" t="str">
        <f>+Segments!B22</f>
        <v>Asia Pacific</v>
      </c>
      <c r="L14" s="23"/>
      <c r="M14" s="764">
        <v>4.8099999999999997E-2</v>
      </c>
      <c r="N14" s="643">
        <v>8.8700000000000001E-2</v>
      </c>
      <c r="O14" s="643">
        <v>8.48E-2</v>
      </c>
      <c r="P14" s="643">
        <v>8.2100000000000006E-2</v>
      </c>
      <c r="Q14" s="643">
        <v>8.0100000000000005E-2</v>
      </c>
      <c r="R14" s="643">
        <v>8.0500000000000002E-2</v>
      </c>
      <c r="S14" s="23"/>
      <c r="T14" s="651">
        <f>(5.25+4.33+4.99+4.33+5.13)/5</f>
        <v>4.8059999999999992</v>
      </c>
    </row>
    <row r="15" spans="1:20" ht="15" customHeight="1">
      <c r="A15" s="23"/>
      <c r="B15" s="473" t="s">
        <v>510</v>
      </c>
      <c r="C15" s="23"/>
      <c r="D15" s="642">
        <v>4.1099999999999998E-2</v>
      </c>
      <c r="E15" s="642">
        <v>3.7499999999999999E-2</v>
      </c>
      <c r="F15" s="642">
        <v>3.5000000000000003E-2</v>
      </c>
      <c r="G15" s="642">
        <v>3.2500000000000001E-2</v>
      </c>
      <c r="H15" s="642">
        <v>3.2500000000000001E-2</v>
      </c>
      <c r="I15" s="547"/>
      <c r="J15" s="547"/>
      <c r="K15" s="641" t="str">
        <f>+Segments!B23</f>
        <v>Middle East</v>
      </c>
      <c r="L15" s="23"/>
      <c r="M15" s="764">
        <v>6.6000000000000003E-2</v>
      </c>
      <c r="N15" s="643">
        <v>4.3700000000000003E-2</v>
      </c>
      <c r="O15" s="643">
        <v>4.3400000000000001E-2</v>
      </c>
      <c r="P15" s="643">
        <v>4.48E-2</v>
      </c>
      <c r="Q15" s="643">
        <v>5.6599999999999998E-2</v>
      </c>
      <c r="R15" s="643">
        <v>5.6599999999999998E-2</v>
      </c>
      <c r="S15" s="23"/>
      <c r="T15" s="651">
        <f>(5.13+6.46+4.99+4.99+11.67+7.67+5.27)/7</f>
        <v>6.5971428571428579</v>
      </c>
    </row>
    <row r="16" spans="1:20" ht="15" customHeight="1">
      <c r="A16" s="23"/>
      <c r="B16" s="473" t="s">
        <v>22</v>
      </c>
      <c r="C16" s="23"/>
      <c r="D16" s="647">
        <f>+Inputs!M18</f>
        <v>0.47389218211174011</v>
      </c>
      <c r="E16" s="648">
        <f>+D17*(1+(E28/E13)*(1-E32))</f>
        <v>0.46953453670047135</v>
      </c>
      <c r="F16" s="648">
        <f>+E17*(1+(F28/F13)*(1-F32))</f>
        <v>0.46572911601967182</v>
      </c>
      <c r="G16" s="648">
        <f>+F17*(1+(G28/G13)*(1-G32))</f>
        <v>0.46366085560040515</v>
      </c>
      <c r="H16" s="648">
        <f>+G17*(1+(H28/H13)*(1-H32))</f>
        <v>0.46394951525241657</v>
      </c>
      <c r="I16" s="649"/>
      <c r="J16" s="649"/>
      <c r="K16" s="641" t="str">
        <f>+Segments!B24</f>
        <v>Rest of the world</v>
      </c>
      <c r="L16" s="23"/>
      <c r="M16" s="764">
        <v>9.1399999999999995E-2</v>
      </c>
      <c r="N16" s="643">
        <v>2.01E-2</v>
      </c>
      <c r="O16" s="643">
        <v>1.83E-2</v>
      </c>
      <c r="P16" s="643">
        <v>1.67E-2</v>
      </c>
      <c r="Q16" s="643">
        <v>1.5599999999999999E-2</v>
      </c>
      <c r="R16" s="643">
        <v>1.5299999999999999E-2</v>
      </c>
      <c r="S16" s="23"/>
      <c r="T16" s="651">
        <f>(7.67+6.87+14.34+7.67)/4</f>
        <v>9.1374999999999993</v>
      </c>
    </row>
    <row r="17" spans="2:18" ht="15" customHeight="1">
      <c r="B17" s="473" t="s">
        <v>511</v>
      </c>
      <c r="C17" s="23"/>
      <c r="D17" s="648">
        <f>+D16/(1+(D28/D13)*(1-D32))</f>
        <v>0.40448562693805357</v>
      </c>
      <c r="E17" s="648">
        <f>+E16/(1+(E28/E13)*(1-E32))</f>
        <v>0.40448562693805357</v>
      </c>
      <c r="F17" s="648">
        <f>+F16/(1+(F28/F13)*(1-F32))</f>
        <v>0.40448562693805357</v>
      </c>
      <c r="G17" s="648">
        <f>+G16/(1+(G28/G13)*(1-G32))</f>
        <v>0.40448562693805357</v>
      </c>
      <c r="H17" s="648">
        <f>+H16/(1+(H28/H13)*(1-H32))</f>
        <v>0.40448562693805357</v>
      </c>
      <c r="I17" s="649"/>
      <c r="J17" s="649"/>
      <c r="K17" s="649"/>
      <c r="L17" s="23"/>
      <c r="M17" s="649"/>
      <c r="N17" s="649">
        <f>+SUM(N12:N16)</f>
        <v>0.99999999999999989</v>
      </c>
      <c r="O17" s="649"/>
      <c r="P17" s="649"/>
      <c r="Q17" s="23"/>
      <c r="R17" s="23"/>
    </row>
    <row r="18" spans="2:18" ht="15" customHeight="1">
      <c r="B18" s="473" t="s">
        <v>504</v>
      </c>
      <c r="C18" s="23"/>
      <c r="D18" s="650">
        <f>+N18</f>
        <v>4.7260820000000009E-2</v>
      </c>
      <c r="E18" s="650">
        <f>+O18</f>
        <v>4.7233499999999998E-2</v>
      </c>
      <c r="F18" s="650">
        <f>+P18</f>
        <v>4.7240690000000002E-2</v>
      </c>
      <c r="G18" s="650">
        <f>+Q18</f>
        <v>4.7854079999999993E-2</v>
      </c>
      <c r="H18" s="650">
        <f>+R18</f>
        <v>4.7564349999999998E-2</v>
      </c>
      <c r="I18" s="651"/>
      <c r="J18" s="651"/>
      <c r="K18" s="652" t="s">
        <v>506</v>
      </c>
      <c r="L18" s="286"/>
      <c r="M18" s="286"/>
      <c r="N18" s="653">
        <f>+SUMPRODUCT($M12:$M16,N12:N16)</f>
        <v>4.7260820000000009E-2</v>
      </c>
      <c r="O18" s="653">
        <f>+SUMPRODUCT($M12:$M16,O12:O16)</f>
        <v>4.7233499999999998E-2</v>
      </c>
      <c r="P18" s="653">
        <f>+SUMPRODUCT($M12:$M16,P12:P16)</f>
        <v>4.7240690000000002E-2</v>
      </c>
      <c r="Q18" s="653">
        <f>+SUMPRODUCT($M12:$M16,Q12:Q16)</f>
        <v>4.7854079999999993E-2</v>
      </c>
      <c r="R18" s="653">
        <f>+SUMPRODUCT($M12:$M16,R12:R16)</f>
        <v>4.7564349999999998E-2</v>
      </c>
    </row>
    <row r="19" spans="2:18" ht="15" customHeight="1">
      <c r="B19" s="654" t="s">
        <v>512</v>
      </c>
      <c r="C19" s="23"/>
      <c r="D19" s="655">
        <f>IFERROR(+D15+D16*D18,"")</f>
        <v>6.3496533118190174E-2</v>
      </c>
      <c r="E19" s="655">
        <f>IFERROR(+E15+E16*E18,"")</f>
        <v>5.9677759539241711E-2</v>
      </c>
      <c r="F19" s="655">
        <f>IFERROR(+F15+F16*F18,"")</f>
        <v>5.7001364793859352E-2</v>
      </c>
      <c r="G19" s="655">
        <f>IFERROR(+G15+G16*G18,"")</f>
        <v>5.4688063676770232E-2</v>
      </c>
      <c r="H19" s="655">
        <f>IFERROR(+H15+H16*H18,"")</f>
        <v>5.4567457125796276E-2</v>
      </c>
      <c r="I19" s="656"/>
      <c r="J19" s="656"/>
      <c r="K19" s="656"/>
      <c r="L19" s="656"/>
      <c r="M19" s="656"/>
      <c r="N19" s="656"/>
      <c r="O19" s="656"/>
      <c r="P19" s="23"/>
      <c r="Q19" s="23"/>
      <c r="R19" s="23"/>
    </row>
    <row r="20" spans="2:18" ht="15" customHeight="1">
      <c r="B20" s="370"/>
      <c r="C20" s="23"/>
      <c r="D20" s="23"/>
      <c r="E20" s="23"/>
      <c r="F20" s="23"/>
      <c r="G20" s="23"/>
      <c r="H20" s="23"/>
      <c r="I20" s="547"/>
      <c r="J20" s="547"/>
      <c r="K20" s="23"/>
      <c r="L20" s="23"/>
      <c r="M20" s="23"/>
      <c r="N20" s="23"/>
      <c r="O20" s="23"/>
      <c r="P20" s="23"/>
      <c r="Q20" s="23"/>
      <c r="R20" s="23"/>
    </row>
    <row r="21" spans="2:18" ht="15" customHeight="1">
      <c r="B21" s="476" t="s">
        <v>513</v>
      </c>
      <c r="C21" s="23"/>
      <c r="D21" s="23"/>
      <c r="E21" s="23"/>
      <c r="F21" s="23"/>
      <c r="G21" s="23"/>
      <c r="H21" s="23"/>
      <c r="I21" s="23"/>
      <c r="J21" s="23"/>
      <c r="K21" s="367" t="s">
        <v>514</v>
      </c>
      <c r="L21" s="367"/>
      <c r="M21" s="367"/>
      <c r="N21" s="367"/>
      <c r="O21" s="367"/>
      <c r="P21" s="367"/>
      <c r="Q21" s="367"/>
      <c r="R21" s="367"/>
    </row>
    <row r="22" spans="2:18" ht="15" customHeight="1">
      <c r="B22" s="473" t="s">
        <v>515</v>
      </c>
      <c r="C22" s="23"/>
      <c r="D22" s="96">
        <f>IFERROR(Inputs!J14,0)</f>
        <v>0</v>
      </c>
      <c r="E22" s="24">
        <f>+D22*(E13/D13)</f>
        <v>0</v>
      </c>
      <c r="F22" s="24">
        <f>+E22*(F13/E13)</f>
        <v>0</v>
      </c>
      <c r="G22" s="24">
        <f>+F22*(G13/F13)</f>
        <v>0</v>
      </c>
      <c r="H22" s="24">
        <f>+G22*(H13/G13)</f>
        <v>0</v>
      </c>
      <c r="I22" s="23"/>
      <c r="J22" s="23"/>
      <c r="K22" s="367"/>
      <c r="L22" s="367"/>
      <c r="M22" s="367"/>
      <c r="N22" s="367"/>
      <c r="O22" s="367"/>
      <c r="P22" s="367"/>
      <c r="Q22" s="367"/>
      <c r="R22" s="367"/>
    </row>
    <row r="23" spans="2:18" ht="15" customHeight="1">
      <c r="B23" s="646" t="s">
        <v>516</v>
      </c>
      <c r="C23" s="23"/>
      <c r="D23" s="472">
        <f>+D22/D35</f>
        <v>0</v>
      </c>
      <c r="E23" s="472">
        <f>+E22/E35</f>
        <v>0</v>
      </c>
      <c r="F23" s="472">
        <f>+F22/F35</f>
        <v>0</v>
      </c>
      <c r="G23" s="472">
        <f>+G22/G35</f>
        <v>0</v>
      </c>
      <c r="H23" s="472">
        <f>+H22/H35</f>
        <v>0</v>
      </c>
      <c r="I23" s="23"/>
      <c r="J23" s="23"/>
      <c r="K23" s="367"/>
      <c r="L23" s="367"/>
      <c r="M23" s="367"/>
      <c r="N23" s="367"/>
      <c r="O23" s="367"/>
      <c r="P23" s="367"/>
      <c r="Q23" s="367"/>
      <c r="R23" s="367"/>
    </row>
    <row r="24" spans="2:18" ht="15" customHeight="1">
      <c r="B24" s="473" t="s">
        <v>517</v>
      </c>
      <c r="C24" s="23"/>
      <c r="D24" s="420">
        <f>+IS!AF49</f>
        <v>0</v>
      </c>
      <c r="E24" s="657">
        <f>D24</f>
        <v>0</v>
      </c>
      <c r="F24" s="657">
        <f t="shared" ref="F24:H24" si="2">E24</f>
        <v>0</v>
      </c>
      <c r="G24" s="657">
        <f t="shared" si="2"/>
        <v>0</v>
      </c>
      <c r="H24" s="657">
        <f t="shared" si="2"/>
        <v>0</v>
      </c>
      <c r="I24" s="23"/>
      <c r="J24" s="23"/>
      <c r="K24" s="23"/>
      <c r="L24" s="23"/>
      <c r="M24" s="23"/>
      <c r="N24" s="23"/>
      <c r="O24" s="658"/>
      <c r="P24" s="23"/>
      <c r="Q24" s="23"/>
      <c r="R24" s="23"/>
    </row>
    <row r="25" spans="2:18" ht="15" customHeight="1">
      <c r="B25" s="654" t="s">
        <v>518</v>
      </c>
      <c r="C25" s="23"/>
      <c r="D25" s="655">
        <f>IFERROR(D24/D22,0)</f>
        <v>0</v>
      </c>
      <c r="E25" s="655">
        <f>IFERROR(E24/E22,0)</f>
        <v>0</v>
      </c>
      <c r="F25" s="655">
        <f>IFERROR(F24/F22,0)</f>
        <v>0</v>
      </c>
      <c r="G25" s="655">
        <f>IFERROR(G24/G22,0)</f>
        <v>0</v>
      </c>
      <c r="H25" s="655">
        <f>IFERROR(H24/H22,0)</f>
        <v>0</v>
      </c>
      <c r="I25" s="23"/>
      <c r="J25" s="23"/>
      <c r="K25" s="23"/>
      <c r="L25" s="23"/>
      <c r="M25" s="23"/>
      <c r="N25" s="23"/>
      <c r="O25" s="658"/>
      <c r="P25" s="23"/>
      <c r="Q25" s="23"/>
      <c r="R25" s="23"/>
    </row>
    <row r="26" spans="2:18" ht="15" customHeight="1">
      <c r="B26" s="370"/>
      <c r="C26" s="23"/>
      <c r="D26" s="23"/>
      <c r="E26" s="23"/>
      <c r="F26" s="23"/>
      <c r="G26" s="23"/>
      <c r="H26" s="23"/>
      <c r="I26" s="23"/>
      <c r="J26" s="23"/>
      <c r="K26" s="23"/>
      <c r="L26" s="23"/>
      <c r="M26" s="23"/>
      <c r="N26" s="23"/>
      <c r="O26" s="658"/>
      <c r="P26" s="23"/>
      <c r="Q26" s="23"/>
      <c r="R26" s="23"/>
    </row>
    <row r="27" spans="2:18" ht="15" customHeight="1">
      <c r="B27" s="370" t="s">
        <v>519</v>
      </c>
      <c r="C27" s="23"/>
      <c r="D27" s="23"/>
      <c r="E27" s="23"/>
      <c r="F27" s="23"/>
      <c r="G27" s="23"/>
      <c r="H27" s="23"/>
      <c r="I27" s="23"/>
      <c r="J27" s="23"/>
      <c r="K27" s="23"/>
      <c r="L27" s="23"/>
      <c r="M27" s="23"/>
      <c r="N27" s="23"/>
      <c r="O27" s="658"/>
      <c r="P27" s="23"/>
      <c r="Q27" s="23"/>
      <c r="R27" s="23"/>
    </row>
    <row r="28" spans="2:18" ht="15" customHeight="1">
      <c r="B28" s="644" t="s">
        <v>520</v>
      </c>
      <c r="C28" s="608">
        <f>+BS!AF38+BS!AF39+BS!AF44+BS!AF45</f>
        <v>21370</v>
      </c>
      <c r="D28" s="659">
        <f>+BS!AI38+BS!AI39+BS!AI44+BS!AI45</f>
        <v>21638</v>
      </c>
      <c r="E28" s="660">
        <f>D28*1.03</f>
        <v>22287.14</v>
      </c>
      <c r="F28" s="660">
        <f>E28*1.03</f>
        <v>22955.754199999999</v>
      </c>
      <c r="G28" s="660">
        <f>F28*1.03</f>
        <v>23644.426825999999</v>
      </c>
      <c r="H28" s="660">
        <f>G28*1.03</f>
        <v>24353.759630780001</v>
      </c>
      <c r="I28" s="23"/>
      <c r="J28" s="23"/>
      <c r="K28" s="23"/>
      <c r="L28" s="23"/>
      <c r="M28" s="23"/>
      <c r="N28" s="23"/>
      <c r="O28" s="658"/>
      <c r="P28" s="23"/>
      <c r="Q28" s="23"/>
      <c r="R28" s="23"/>
    </row>
    <row r="29" spans="2:18" ht="15" customHeight="1">
      <c r="B29" s="646" t="s">
        <v>521</v>
      </c>
      <c r="C29" s="23"/>
      <c r="D29" s="546">
        <f>IFERROR(D28/D35,"")</f>
        <v>0.16796540911586189</v>
      </c>
      <c r="E29" s="546">
        <f>IFERROR(E28/E35,"")</f>
        <v>0.15909758955224165</v>
      </c>
      <c r="F29" s="546">
        <f>IFERROR(F28/F35,"")</f>
        <v>0.15119748370369349</v>
      </c>
      <c r="G29" s="546">
        <f>IFERROR(G28/G35,"")</f>
        <v>0.14684116391781432</v>
      </c>
      <c r="H29" s="546">
        <f>IFERROR(H28/H35,"")</f>
        <v>0.14745184276515266</v>
      </c>
      <c r="I29" s="658"/>
      <c r="J29" s="658"/>
      <c r="K29" s="658"/>
      <c r="L29" s="658"/>
      <c r="M29" s="658"/>
      <c r="N29" s="658"/>
      <c r="O29" s="23"/>
      <c r="P29" s="23"/>
      <c r="Q29" s="23"/>
      <c r="R29" s="23"/>
    </row>
    <row r="30" spans="2:18" ht="15" customHeight="1">
      <c r="B30" s="473" t="s">
        <v>522</v>
      </c>
      <c r="C30" s="23"/>
      <c r="D30" s="547">
        <f>+D31-D15</f>
        <v>-2.8437092152694333E-2</v>
      </c>
      <c r="E30" s="789">
        <f>D30-($D$30-$H$30)/4</f>
        <v>-2.1327819114520752E-2</v>
      </c>
      <c r="F30" s="790">
        <f>E30-($D$30-$H$30)/4</f>
        <v>-1.4218546076347168E-2</v>
      </c>
      <c r="G30" s="790">
        <f>F30-($D$30-$H$30)/4</f>
        <v>-7.1092730381735851E-3</v>
      </c>
      <c r="H30" s="642">
        <v>0</v>
      </c>
      <c r="I30" s="649"/>
      <c r="J30" s="649"/>
      <c r="K30" s="649"/>
      <c r="L30" s="649"/>
      <c r="M30" s="649"/>
      <c r="N30" s="649"/>
      <c r="O30" s="649"/>
      <c r="P30" s="23"/>
      <c r="Q30" s="23"/>
      <c r="R30" s="23"/>
    </row>
    <row r="31" spans="2:18" ht="15" customHeight="1">
      <c r="B31" s="473" t="s">
        <v>523</v>
      </c>
      <c r="C31" s="23"/>
      <c r="D31" s="605">
        <f>+IS!AI35/WACC!D28</f>
        <v>1.2662907847305666E-2</v>
      </c>
      <c r="E31" s="547">
        <f>+E30+E15</f>
        <v>1.6172180885479247E-2</v>
      </c>
      <c r="F31" s="547">
        <f>+F30+F15</f>
        <v>2.0781453923652833E-2</v>
      </c>
      <c r="G31" s="547">
        <f>+G30+G15</f>
        <v>2.5390726961826416E-2</v>
      </c>
      <c r="H31" s="547">
        <f>+H30+H15</f>
        <v>3.2500000000000001E-2</v>
      </c>
      <c r="I31" s="649"/>
      <c r="J31" s="649"/>
      <c r="K31" s="649"/>
      <c r="L31" s="649"/>
      <c r="M31" s="649"/>
      <c r="N31" s="649"/>
      <c r="O31" s="649"/>
      <c r="P31" s="23"/>
      <c r="Q31" s="23"/>
      <c r="R31" s="23"/>
    </row>
    <row r="32" spans="2:18" ht="15" customHeight="1">
      <c r="B32" s="473" t="s">
        <v>524</v>
      </c>
      <c r="C32" s="23"/>
      <c r="D32" s="661">
        <f>+FCFF!Z125</f>
        <v>0.15</v>
      </c>
      <c r="E32" s="661">
        <f>+FCFF!AF125</f>
        <v>0.15</v>
      </c>
      <c r="F32" s="661">
        <f>+FCFF!AH125</f>
        <v>0.15</v>
      </c>
      <c r="G32" s="661">
        <f>+FCFF!AJ125</f>
        <v>0.15</v>
      </c>
      <c r="H32" s="661">
        <f>+FCFF!AL125</f>
        <v>0.15</v>
      </c>
      <c r="I32" s="649"/>
      <c r="J32" s="649"/>
      <c r="K32" s="649"/>
      <c r="L32" s="649"/>
      <c r="M32" s="649"/>
      <c r="N32" s="649"/>
      <c r="O32" s="23"/>
      <c r="P32" s="23"/>
      <c r="Q32" s="23"/>
      <c r="R32" s="23"/>
    </row>
    <row r="33" spans="1:14" ht="15" customHeight="1">
      <c r="A33" s="23"/>
      <c r="B33" s="654" t="s">
        <v>525</v>
      </c>
      <c r="C33" s="23"/>
      <c r="D33" s="655">
        <f>+D31*(1-D32)</f>
        <v>1.0763471670209815E-2</v>
      </c>
      <c r="E33" s="655">
        <f t="shared" ref="E33" si="3">+E31*(1-E32)</f>
        <v>1.3746353752657359E-2</v>
      </c>
      <c r="F33" s="655">
        <f>+F31*(1-F32)</f>
        <v>1.7664235835104909E-2</v>
      </c>
      <c r="G33" s="655">
        <f>+G31*(1-G32)</f>
        <v>2.1582117917552452E-2</v>
      </c>
      <c r="H33" s="655">
        <f>+H31*(1-H32)</f>
        <v>2.7625E-2</v>
      </c>
      <c r="I33" s="649"/>
      <c r="J33" s="649"/>
      <c r="K33" s="649"/>
      <c r="L33" s="649"/>
      <c r="M33" s="649"/>
      <c r="N33" s="649"/>
    </row>
    <row r="34" spans="1:14" ht="15" customHeight="1">
      <c r="A34" s="23"/>
      <c r="B34" s="368"/>
      <c r="C34" s="23"/>
      <c r="D34" s="655"/>
      <c r="E34" s="655"/>
      <c r="F34" s="655"/>
      <c r="G34" s="655"/>
      <c r="H34" s="655"/>
      <c r="I34" s="23"/>
      <c r="J34" s="23"/>
      <c r="K34" s="23"/>
      <c r="L34" s="23"/>
      <c r="M34" s="23"/>
      <c r="N34" s="23"/>
    </row>
    <row r="35" spans="1:14" ht="15" customHeight="1">
      <c r="A35" s="23"/>
      <c r="B35" s="370" t="s">
        <v>526</v>
      </c>
      <c r="C35" s="23"/>
      <c r="D35" s="658">
        <f>+D13+D24+D28</f>
        <v>128824.1436966</v>
      </c>
      <c r="E35" s="658">
        <f>+E13+E24+E28</f>
        <v>140084.71192256338</v>
      </c>
      <c r="F35" s="658">
        <f>+F13+F24+F28</f>
        <v>151826.29788328437</v>
      </c>
      <c r="G35" s="658">
        <f>+G13+G24+G28</f>
        <v>161020.42639238117</v>
      </c>
      <c r="H35" s="658">
        <f>+H13+H24+H28</f>
        <v>165164.15918632067</v>
      </c>
      <c r="I35" s="23"/>
      <c r="J35" s="23"/>
      <c r="K35" s="23"/>
      <c r="L35" s="23"/>
      <c r="M35" s="23"/>
      <c r="N35" s="23"/>
    </row>
    <row r="36" spans="1:14" ht="15" customHeight="1">
      <c r="A36" s="23"/>
      <c r="B36" s="370"/>
      <c r="C36" s="23"/>
      <c r="D36" s="23"/>
      <c r="E36" s="23"/>
      <c r="F36" s="23"/>
      <c r="G36" s="23"/>
      <c r="H36" s="23"/>
      <c r="I36" s="658"/>
      <c r="J36" s="658"/>
      <c r="K36" s="658"/>
      <c r="L36" s="658"/>
      <c r="M36" s="658"/>
      <c r="N36" s="658"/>
    </row>
    <row r="37" spans="1:14" ht="15" customHeight="1">
      <c r="A37" s="23"/>
      <c r="B37" s="370" t="s">
        <v>527</v>
      </c>
      <c r="C37" s="23"/>
      <c r="D37" s="662">
        <f>N18</f>
        <v>4.7260820000000009E-2</v>
      </c>
      <c r="E37" s="662">
        <f>O18</f>
        <v>4.7233499999999998E-2</v>
      </c>
      <c r="F37" s="662">
        <f>P18</f>
        <v>4.7240690000000002E-2</v>
      </c>
      <c r="G37" s="662">
        <f>Q18</f>
        <v>4.7854079999999993E-2</v>
      </c>
      <c r="H37" s="662">
        <f>R18</f>
        <v>4.7564349999999998E-2</v>
      </c>
      <c r="I37" s="23"/>
      <c r="J37" s="23"/>
      <c r="K37" s="23"/>
      <c r="L37" s="23"/>
      <c r="M37" s="23"/>
      <c r="N37" s="23"/>
    </row>
    <row r="38" spans="1:14" ht="15" customHeight="1">
      <c r="A38" s="23"/>
      <c r="B38" s="370"/>
      <c r="C38" s="23"/>
      <c r="D38" s="23"/>
      <c r="E38" s="23"/>
      <c r="F38" s="23"/>
      <c r="G38" s="23"/>
      <c r="H38" s="23"/>
      <c r="I38" s="649"/>
      <c r="J38" s="649"/>
      <c r="K38" s="649"/>
      <c r="L38" s="649"/>
      <c r="M38" s="649"/>
      <c r="N38" s="649"/>
    </row>
    <row r="39" spans="1:14" ht="15" customHeight="1">
      <c r="A39" s="611" t="s">
        <v>41</v>
      </c>
      <c r="B39" s="663" t="s">
        <v>528</v>
      </c>
      <c r="C39" s="664"/>
      <c r="D39" s="665">
        <f>+D19*D14+D25*D23+D33*D29+D37</f>
        <v>0.10190002287814828</v>
      </c>
      <c r="E39" s="665">
        <f>+E19*E14+E25*E23+E33*E29+E37</f>
        <v>9.9603683593850259E-2</v>
      </c>
      <c r="F39" s="665">
        <f>+F19*F14+F25*F23+F33*F29+F37</f>
        <v>9.4137165276134124E-2</v>
      </c>
      <c r="G39" s="665">
        <f>+G19*G14+G25*G23+G33*G29+G37</f>
        <v>9.4792083309254302E-2</v>
      </c>
      <c r="H39" s="666">
        <f>+H19*H14+H25*H23+H33*H29+H37</f>
        <v>9.7024424246718227E-2</v>
      </c>
      <c r="I39" s="23"/>
      <c r="J39" s="23"/>
      <c r="K39" s="23"/>
      <c r="L39" s="23"/>
      <c r="M39" s="23"/>
      <c r="N39" s="23"/>
    </row>
    <row r="40" spans="1:14" ht="15" customHeight="1">
      <c r="A40" s="23"/>
      <c r="B40" s="23"/>
      <c r="C40" s="23"/>
      <c r="D40" s="23"/>
      <c r="E40" s="23"/>
      <c r="F40" s="23"/>
      <c r="G40" s="23"/>
      <c r="H40" s="23"/>
      <c r="I40" s="667"/>
      <c r="J40" s="667"/>
      <c r="K40" s="667"/>
      <c r="L40" s="667"/>
      <c r="M40" s="667"/>
      <c r="N40" s="667"/>
    </row>
    <row r="41" spans="1:14" ht="15" customHeight="1">
      <c r="A41" s="23"/>
      <c r="B41" s="23" t="s">
        <v>529</v>
      </c>
      <c r="C41" s="23"/>
      <c r="D41" s="24">
        <f>+FCFF!Z127</f>
        <v>6842.3639461767552</v>
      </c>
      <c r="E41" s="24">
        <f>+FCFF!AF127</f>
        <v>7681.5237097679346</v>
      </c>
      <c r="F41" s="24">
        <f>+FCFF!AH127</f>
        <v>8526.3772897696945</v>
      </c>
      <c r="G41" s="24">
        <f>+FCFF!AJ127</f>
        <v>8807.1055158508534</v>
      </c>
      <c r="H41" s="24">
        <f>+FCFF!AL127</f>
        <v>9059.1275853180086</v>
      </c>
      <c r="I41" s="667"/>
      <c r="J41" s="667"/>
      <c r="K41" s="667"/>
      <c r="L41" s="667"/>
      <c r="M41" s="667"/>
      <c r="N41" s="667"/>
    </row>
    <row r="42" spans="1:14" ht="15" customHeight="1">
      <c r="A42" s="23"/>
      <c r="B42" s="23" t="s">
        <v>530</v>
      </c>
      <c r="C42" s="23"/>
      <c r="D42" s="24">
        <f>+FCFF!Z113+FCFF!Z116</f>
        <v>-6575.5295000000006</v>
      </c>
      <c r="E42" s="24">
        <f>+FCFF!AF113+FCFF!AF116</f>
        <v>-6401.3097647499999</v>
      </c>
      <c r="F42" s="24">
        <f>+FCFF!AH113+FCFF!AH116</f>
        <v>-6235.8782946323754</v>
      </c>
      <c r="G42" s="24">
        <f>+FCFF!AJ113+FCFF!AJ116</f>
        <v>-6078.7957150296916</v>
      </c>
      <c r="H42" s="24">
        <f>+FCFF!AL113+FCFF!AL116</f>
        <v>-5929.6446200747059</v>
      </c>
      <c r="I42" s="667"/>
      <c r="J42" s="667"/>
      <c r="K42" s="667"/>
      <c r="L42" s="667"/>
      <c r="M42" s="667"/>
      <c r="N42" s="667"/>
    </row>
    <row r="43" spans="1:14" ht="15" customHeight="1">
      <c r="A43" s="23"/>
      <c r="B43" s="23" t="s">
        <v>531</v>
      </c>
      <c r="C43" s="609">
        <f>+BS!AF54</f>
        <v>6333</v>
      </c>
      <c r="D43" s="24">
        <f>+C43+D41+D42</f>
        <v>6599.8344461767556</v>
      </c>
      <c r="E43" s="24">
        <f t="shared" ref="E43:H43" si="4">+D43+E41+E42</f>
        <v>7880.0483911946903</v>
      </c>
      <c r="F43" s="24">
        <f t="shared" si="4"/>
        <v>10170.547386332009</v>
      </c>
      <c r="G43" s="24">
        <f t="shared" si="4"/>
        <v>12898.857187153169</v>
      </c>
      <c r="H43" s="24">
        <f t="shared" si="4"/>
        <v>16028.340152396475</v>
      </c>
      <c r="I43" s="667"/>
      <c r="J43" s="667"/>
      <c r="K43" s="667"/>
      <c r="L43" s="667"/>
      <c r="M43" s="667"/>
      <c r="N43" s="667"/>
    </row>
    <row r="44" spans="1:14" ht="15" customHeight="1">
      <c r="A44" s="23"/>
      <c r="B44" s="23" t="s">
        <v>532</v>
      </c>
      <c r="C44" s="609">
        <f>+C43+C28</f>
        <v>27703</v>
      </c>
      <c r="D44" s="24">
        <f t="shared" ref="D44:H44" si="5">+D43+D28</f>
        <v>28237.834446176756</v>
      </c>
      <c r="E44" s="24">
        <f t="shared" si="5"/>
        <v>30167.18839119469</v>
      </c>
      <c r="F44" s="24">
        <f t="shared" si="5"/>
        <v>33126.301586332011</v>
      </c>
      <c r="G44" s="24">
        <f t="shared" si="5"/>
        <v>36543.28401315317</v>
      </c>
      <c r="H44" s="24">
        <f t="shared" si="5"/>
        <v>40382.099783176476</v>
      </c>
      <c r="I44" s="667"/>
      <c r="J44" s="667"/>
      <c r="K44" s="23"/>
      <c r="L44" s="667"/>
      <c r="M44" s="667"/>
      <c r="N44" s="667"/>
    </row>
    <row r="45" spans="1:14" ht="15" customHeight="1">
      <c r="A45" s="611" t="s">
        <v>41</v>
      </c>
      <c r="B45" s="606" t="s">
        <v>398</v>
      </c>
      <c r="C45" s="668"/>
      <c r="D45" s="669">
        <f>+D41/((D44+C44)/2)</f>
        <v>0.2446285978361695</v>
      </c>
      <c r="E45" s="669">
        <f t="shared" ref="E45:H45" si="6">+E41/((E44+D44)/2)</f>
        <v>0.26304325678142809</v>
      </c>
      <c r="F45" s="669">
        <f t="shared" si="6"/>
        <v>0.26942351552417515</v>
      </c>
      <c r="G45" s="669">
        <f t="shared" si="6"/>
        <v>0.2528249720467961</v>
      </c>
      <c r="H45" s="670">
        <f t="shared" si="6"/>
        <v>0.23553025381851261</v>
      </c>
      <c r="I45" s="23"/>
      <c r="J45" s="23"/>
      <c r="K45" s="23"/>
      <c r="L45" s="23"/>
      <c r="M45" s="23"/>
      <c r="N45" s="23"/>
    </row>
    <row r="46" spans="1:14" ht="15" customHeight="1">
      <c r="A46" s="23"/>
      <c r="B46" s="23"/>
      <c r="C46" s="23"/>
      <c r="D46" s="23"/>
      <c r="E46" s="23"/>
      <c r="F46" s="23"/>
      <c r="G46" s="23"/>
      <c r="H46" s="23"/>
      <c r="I46" s="23"/>
      <c r="J46" s="23"/>
      <c r="K46" s="23"/>
      <c r="L46" s="23"/>
      <c r="M46" s="23"/>
      <c r="N46" s="23"/>
    </row>
    <row r="49" spans="23:23" ht="15" customHeight="1">
      <c r="W49" s="23" t="s">
        <v>533</v>
      </c>
    </row>
  </sheetData>
  <pageMargins left="0.7" right="0.7" top="0.75" bottom="0.75" header="0.3" footer="0.3"/>
  <pageSetup paperSize="9" orientation="portrait" r:id="rId1"/>
  <ignoredErrors>
    <ignoredError sqref="F16" evalError="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4">
    <tabColor theme="4"/>
  </sheetPr>
  <dimension ref="A1:CM185"/>
  <sheetViews>
    <sheetView showGridLines="0" topLeftCell="A67" zoomScale="115" zoomScaleNormal="115" workbookViewId="0">
      <selection activeCell="AF82" sqref="AF82"/>
    </sheetView>
  </sheetViews>
  <sheetFormatPr defaultColWidth="9" defaultRowHeight="14.25" customHeight="1" outlineLevelCol="1"/>
  <cols>
    <col min="1" max="1" width="2.125" style="97" customWidth="1"/>
    <col min="2" max="2" width="50.625" style="97" customWidth="1"/>
    <col min="3" max="3" width="3.375" style="23" customWidth="1"/>
    <col min="4" max="7" width="9.625" style="97" hidden="1" customWidth="1" outlineLevel="1"/>
    <col min="8" max="8" width="11.625" style="97" customWidth="1" collapsed="1"/>
    <col min="9" max="9" width="1.625" style="23" customWidth="1"/>
    <col min="10" max="13" width="9.625" style="97" hidden="1" customWidth="1" outlineLevel="1"/>
    <col min="14" max="14" width="11.625" style="97" customWidth="1" collapsed="1"/>
    <col min="15" max="15" width="1.625" style="23" customWidth="1"/>
    <col min="16" max="19" width="9.625" style="97" hidden="1" customWidth="1" outlineLevel="1"/>
    <col min="20" max="20" width="11.625" style="97" customWidth="1" collapsed="1"/>
    <col min="21" max="21" width="1.625" style="23" customWidth="1"/>
    <col min="22" max="25" width="9.5" style="97" customWidth="1" outlineLevel="1"/>
    <col min="26" max="26" width="11.625" style="97" customWidth="1"/>
    <col min="27" max="27" width="1" style="23" customWidth="1"/>
    <col min="28" max="31" width="9.5" style="97" hidden="1" customWidth="1" outlineLevel="1"/>
    <col min="32" max="32" width="11.625" style="97" customWidth="1" collapsed="1"/>
    <col min="33" max="33" width="1.625" style="23" customWidth="1"/>
    <col min="34" max="34" width="11.625" style="97" customWidth="1"/>
    <col min="35" max="35" width="1.625" style="23" customWidth="1"/>
    <col min="36" max="36" width="11.625" style="105" customWidth="1"/>
    <col min="37" max="37" width="1.625" style="97" customWidth="1"/>
    <col min="38" max="38" width="11.625" style="97" customWidth="1"/>
    <col min="39" max="39" width="1.625" style="97" customWidth="1"/>
    <col min="40" max="43" width="9" style="97"/>
    <col min="44" max="44" width="20.125" style="97" customWidth="1"/>
    <col min="45" max="45" width="10" style="97" bestFit="1" customWidth="1"/>
    <col min="46" max="46" width="9" style="97"/>
    <col min="47" max="50" width="9.5" style="97" bestFit="1" customWidth="1"/>
    <col min="51" max="52" width="9" style="97"/>
    <col min="53" max="53" width="16.875" style="97" customWidth="1"/>
    <col min="54" max="63" width="9" style="97"/>
    <col min="64" max="64" width="19.875" style="97" customWidth="1"/>
    <col min="65" max="65" width="9" style="97"/>
    <col min="66" max="66" width="20.625" style="97" customWidth="1"/>
    <col min="67" max="73" width="9" style="97"/>
    <col min="74" max="74" width="16.125" style="97" customWidth="1"/>
    <col min="75" max="80" width="10" style="97" bestFit="1" customWidth="1"/>
    <col min="81" max="82" width="9" style="97"/>
    <col min="83" max="83" width="12.5" style="97" customWidth="1"/>
    <col min="84" max="86" width="9" style="97"/>
    <col min="87" max="89" width="10" style="97" bestFit="1" customWidth="1"/>
    <col min="90" max="16384" width="9" style="97"/>
  </cols>
  <sheetData>
    <row r="1" spans="1:60" s="573" customFormat="1" ht="15" customHeight="1"/>
    <row r="2" spans="1:60" s="573" customFormat="1" ht="15" customHeight="1"/>
    <row r="3" spans="1:60" s="573" customFormat="1" ht="15" customHeight="1"/>
    <row r="4" spans="1:60" s="573" customFormat="1" ht="15" customHeight="1"/>
    <row r="5" spans="1:60" s="282" customFormat="1" ht="3.95" customHeight="1">
      <c r="C5" s="36"/>
      <c r="I5" s="36"/>
      <c r="O5" s="36"/>
      <c r="U5" s="36"/>
      <c r="AA5" s="36"/>
      <c r="AG5" s="36"/>
      <c r="AI5" s="36"/>
      <c r="AJ5" s="283"/>
    </row>
    <row r="7" spans="1:60" s="41" customFormat="1" ht="15" customHeight="1">
      <c r="A7" s="30" t="s">
        <v>41</v>
      </c>
      <c r="B7" s="161" t="s">
        <v>534</v>
      </c>
      <c r="C7" s="18"/>
      <c r="D7" s="162"/>
      <c r="E7" s="162"/>
      <c r="F7" s="162"/>
      <c r="G7" s="162"/>
      <c r="H7" s="162"/>
      <c r="I7" s="18"/>
      <c r="J7" s="162"/>
      <c r="K7" s="162"/>
      <c r="L7" s="162"/>
      <c r="M7" s="162"/>
      <c r="N7" s="162"/>
      <c r="O7" s="18"/>
      <c r="P7" s="162"/>
      <c r="Q7" s="162"/>
      <c r="R7" s="162"/>
      <c r="S7" s="162"/>
      <c r="T7" s="162"/>
      <c r="U7" s="18"/>
      <c r="V7" s="162"/>
      <c r="W7" s="162"/>
      <c r="X7" s="162"/>
      <c r="Y7" s="162"/>
      <c r="Z7" s="162"/>
      <c r="AA7" s="18"/>
      <c r="AB7" s="162"/>
      <c r="AC7" s="162"/>
      <c r="AD7" s="162"/>
      <c r="AE7" s="162"/>
      <c r="AF7" s="162"/>
      <c r="AG7" s="18"/>
      <c r="AH7" s="162"/>
      <c r="AI7" s="18"/>
      <c r="AJ7" s="163"/>
      <c r="AK7" s="18"/>
      <c r="AL7" s="163"/>
    </row>
    <row r="8" spans="1:60" s="41" customFormat="1" ht="15" customHeight="1">
      <c r="B8" s="164"/>
      <c r="C8" s="18"/>
      <c r="D8" s="893">
        <v>2022</v>
      </c>
      <c r="E8" s="893"/>
      <c r="F8" s="893"/>
      <c r="G8" s="893"/>
      <c r="H8" s="893"/>
      <c r="I8" s="169"/>
      <c r="J8" s="893">
        <f>D8+1</f>
        <v>2023</v>
      </c>
      <c r="K8" s="893"/>
      <c r="L8" s="893"/>
      <c r="M8" s="893"/>
      <c r="N8" s="893"/>
      <c r="O8" s="169"/>
      <c r="P8" s="893">
        <f>J8+1</f>
        <v>2024</v>
      </c>
      <c r="Q8" s="893"/>
      <c r="R8" s="893"/>
      <c r="S8" s="893"/>
      <c r="T8" s="893"/>
      <c r="U8" s="169"/>
      <c r="V8" s="892">
        <f>P8+1</f>
        <v>2025</v>
      </c>
      <c r="W8" s="892"/>
      <c r="X8" s="892"/>
      <c r="Y8" s="892"/>
      <c r="Z8" s="892"/>
      <c r="AA8" s="169"/>
      <c r="AB8" s="892">
        <f>V8+1</f>
        <v>2026</v>
      </c>
      <c r="AC8" s="892"/>
      <c r="AD8" s="892"/>
      <c r="AE8" s="892"/>
      <c r="AF8" s="892"/>
      <c r="AG8" s="171"/>
      <c r="AH8" s="166">
        <f>AB8+1</f>
        <v>2027</v>
      </c>
      <c r="AI8" s="167"/>
      <c r="AJ8" s="166">
        <f>+AH8+1</f>
        <v>2028</v>
      </c>
      <c r="AK8" s="167"/>
      <c r="AL8" s="166">
        <f>+AJ8+1</f>
        <v>2029</v>
      </c>
    </row>
    <row r="9" spans="1:60" s="41" customFormat="1" ht="14.25" customHeight="1">
      <c r="B9" s="164"/>
      <c r="C9" s="18"/>
      <c r="D9" s="168" t="s">
        <v>292</v>
      </c>
      <c r="E9" s="168" t="s">
        <v>293</v>
      </c>
      <c r="F9" s="168" t="s">
        <v>294</v>
      </c>
      <c r="G9" s="168" t="s">
        <v>295</v>
      </c>
      <c r="H9" s="168" t="s">
        <v>296</v>
      </c>
      <c r="I9" s="165"/>
      <c r="J9" s="168" t="s">
        <v>292</v>
      </c>
      <c r="K9" s="168" t="s">
        <v>293</v>
      </c>
      <c r="L9" s="168" t="s">
        <v>294</v>
      </c>
      <c r="M9" s="168" t="s">
        <v>295</v>
      </c>
      <c r="N9" s="168" t="s">
        <v>296</v>
      </c>
      <c r="O9" s="165"/>
      <c r="P9" s="168" t="s">
        <v>292</v>
      </c>
      <c r="Q9" s="168" t="s">
        <v>293</v>
      </c>
      <c r="R9" s="168" t="s">
        <v>294</v>
      </c>
      <c r="S9" s="168" t="s">
        <v>295</v>
      </c>
      <c r="T9" s="168" t="s">
        <v>296</v>
      </c>
      <c r="U9" s="165"/>
      <c r="V9" s="168" t="s">
        <v>292</v>
      </c>
      <c r="W9" s="168" t="s">
        <v>293</v>
      </c>
      <c r="X9" s="168" t="s">
        <v>294</v>
      </c>
      <c r="Y9" s="168" t="s">
        <v>295</v>
      </c>
      <c r="Z9" s="168" t="s">
        <v>296</v>
      </c>
      <c r="AA9" s="165"/>
      <c r="AB9" s="168" t="s">
        <v>292</v>
      </c>
      <c r="AC9" s="168" t="s">
        <v>293</v>
      </c>
      <c r="AD9" s="168" t="s">
        <v>294</v>
      </c>
      <c r="AE9" s="168" t="s">
        <v>295</v>
      </c>
      <c r="AF9" s="168" t="s">
        <v>296</v>
      </c>
      <c r="AG9" s="165"/>
      <c r="AH9" s="168" t="s">
        <v>296</v>
      </c>
      <c r="AI9" s="165"/>
      <c r="AJ9" s="168" t="s">
        <v>296</v>
      </c>
      <c r="AK9" s="165"/>
      <c r="AL9" s="168" t="s">
        <v>296</v>
      </c>
    </row>
    <row r="10" spans="1:60" ht="57.75" customHeight="1">
      <c r="B10" s="681" t="s">
        <v>535</v>
      </c>
    </row>
    <row r="11" spans="1:60" ht="28.5" customHeight="1">
      <c r="B11" s="681" t="s">
        <v>536</v>
      </c>
    </row>
    <row r="15" spans="1:60" ht="14.25" customHeight="1">
      <c r="AS15" s="603"/>
      <c r="AT15" s="603"/>
      <c r="AU15" s="603"/>
      <c r="AV15" s="604"/>
      <c r="AW15" s="604"/>
      <c r="AX15" s="604"/>
      <c r="AY15" s="604"/>
      <c r="AZ15" s="604"/>
    </row>
    <row r="16" spans="1:60" ht="14.25" customHeight="1">
      <c r="AS16" s="304"/>
      <c r="AT16" s="304"/>
      <c r="AU16" s="304"/>
      <c r="AV16" s="304"/>
      <c r="AW16" s="304"/>
      <c r="AX16" s="304"/>
      <c r="AY16" s="304"/>
      <c r="AZ16" s="304"/>
      <c r="BA16" s="304"/>
      <c r="BB16" s="304"/>
      <c r="BC16" s="304"/>
      <c r="BD16" s="304"/>
      <c r="BE16" s="304"/>
      <c r="BF16" s="304"/>
      <c r="BG16" s="304"/>
      <c r="BH16" s="304"/>
    </row>
    <row r="17" spans="1:55" ht="14.25" customHeight="1">
      <c r="AS17" s="304"/>
      <c r="AT17" s="304"/>
      <c r="AU17" s="304"/>
      <c r="AV17" s="304"/>
      <c r="AW17" s="304"/>
      <c r="AX17" s="304"/>
      <c r="AY17" s="304"/>
      <c r="AZ17" s="304"/>
    </row>
    <row r="18" spans="1:55" ht="14.25" customHeight="1">
      <c r="AS18" s="320"/>
      <c r="AT18" s="320"/>
      <c r="AU18" s="320"/>
      <c r="AV18" s="320"/>
      <c r="AW18" s="320"/>
      <c r="AX18" s="320"/>
      <c r="AY18" s="320"/>
      <c r="AZ18" s="320"/>
      <c r="BC18" s="304"/>
    </row>
    <row r="21" spans="1:55" s="41" customFormat="1" ht="15" customHeight="1">
      <c r="B21" s="518" t="s">
        <v>537</v>
      </c>
      <c r="C21" s="519"/>
      <c r="D21" s="520"/>
      <c r="E21" s="520"/>
      <c r="F21" s="520"/>
      <c r="G21" s="520"/>
      <c r="H21" s="520"/>
      <c r="I21" s="519"/>
      <c r="J21" s="520"/>
      <c r="K21" s="520"/>
      <c r="L21" s="520"/>
      <c r="M21" s="520"/>
      <c r="N21" s="520"/>
      <c r="O21" s="519"/>
      <c r="P21" s="520"/>
      <c r="Q21" s="520"/>
      <c r="R21" s="520"/>
      <c r="S21" s="520"/>
      <c r="T21" s="520"/>
      <c r="U21" s="521"/>
      <c r="V21" s="520"/>
      <c r="W21" s="520"/>
      <c r="X21" s="522">
        <v>75000</v>
      </c>
      <c r="Y21" s="522">
        <v>75100</v>
      </c>
      <c r="Z21" s="522"/>
      <c r="AA21" s="523"/>
      <c r="AB21" s="522">
        <v>75000</v>
      </c>
      <c r="AC21" s="522">
        <v>76000</v>
      </c>
      <c r="AD21" s="522">
        <v>77000</v>
      </c>
      <c r="AE21" s="522">
        <v>78000</v>
      </c>
      <c r="AF21" s="522"/>
      <c r="AG21" s="523"/>
      <c r="AH21" s="522">
        <v>350000</v>
      </c>
      <c r="AI21" s="523"/>
      <c r="AJ21" s="522">
        <v>351000</v>
      </c>
      <c r="AK21" s="523"/>
      <c r="AL21" s="522">
        <v>369000</v>
      </c>
      <c r="AM21" s="524"/>
    </row>
    <row r="22" spans="1:55" s="41" customFormat="1" ht="15" customHeight="1">
      <c r="C22" s="17"/>
      <c r="I22" s="17"/>
      <c r="O22" s="17"/>
      <c r="U22" s="17"/>
      <c r="AA22" s="17"/>
      <c r="AG22" s="17"/>
      <c r="AI22" s="17"/>
      <c r="AJ22" s="42"/>
      <c r="AK22" s="17"/>
      <c r="AL22" s="42"/>
    </row>
    <row r="23" spans="1:55" s="41" customFormat="1" ht="15" customHeight="1">
      <c r="A23" s="30" t="s">
        <v>41</v>
      </c>
      <c r="B23" s="161" t="s">
        <v>538</v>
      </c>
      <c r="C23" s="18"/>
      <c r="D23" s="162"/>
      <c r="E23" s="162"/>
      <c r="F23" s="162"/>
      <c r="G23" s="162"/>
      <c r="H23" s="162"/>
      <c r="I23" s="18"/>
      <c r="J23" s="162"/>
      <c r="K23" s="162"/>
      <c r="L23" s="162"/>
      <c r="M23" s="162"/>
      <c r="N23" s="162"/>
      <c r="O23" s="18"/>
      <c r="P23" s="162"/>
      <c r="Q23" s="162"/>
      <c r="R23" s="162"/>
      <c r="S23" s="162"/>
      <c r="T23" s="162"/>
      <c r="U23" s="18"/>
      <c r="V23" s="162"/>
      <c r="W23" s="162"/>
      <c r="X23" s="162"/>
      <c r="Y23" s="162"/>
      <c r="Z23" s="162"/>
      <c r="AA23" s="18"/>
      <c r="AB23" s="162"/>
      <c r="AC23" s="162"/>
      <c r="AD23" s="162"/>
      <c r="AE23" s="162"/>
      <c r="AF23" s="162"/>
      <c r="AG23" s="18"/>
      <c r="AH23" s="162"/>
      <c r="AI23" s="18"/>
      <c r="AJ23" s="163"/>
      <c r="AK23" s="18"/>
      <c r="AL23" s="163"/>
      <c r="AM23" s="163"/>
    </row>
    <row r="24" spans="1:55" s="41" customFormat="1" ht="15" customHeight="1">
      <c r="B24" s="164"/>
      <c r="C24" s="18"/>
      <c r="D24" s="893">
        <f>D$8</f>
        <v>2022</v>
      </c>
      <c r="E24" s="893">
        <f>F24</f>
        <v>0</v>
      </c>
      <c r="F24" s="893">
        <f>F$8</f>
        <v>0</v>
      </c>
      <c r="G24" s="893">
        <f>F24</f>
        <v>0</v>
      </c>
      <c r="H24" s="893">
        <f>F24</f>
        <v>0</v>
      </c>
      <c r="I24" s="169"/>
      <c r="J24" s="893">
        <f>J$8</f>
        <v>2023</v>
      </c>
      <c r="K24" s="893">
        <f>L24</f>
        <v>0</v>
      </c>
      <c r="L24" s="893">
        <f>L$8</f>
        <v>0</v>
      </c>
      <c r="M24" s="893">
        <f>L24</f>
        <v>0</v>
      </c>
      <c r="N24" s="893">
        <f>L24</f>
        <v>0</v>
      </c>
      <c r="O24" s="169"/>
      <c r="P24" s="893">
        <f>P$8</f>
        <v>2024</v>
      </c>
      <c r="Q24" s="893">
        <f>R24</f>
        <v>0</v>
      </c>
      <c r="R24" s="893">
        <f>R$8</f>
        <v>0</v>
      </c>
      <c r="S24" s="893">
        <f>R24</f>
        <v>0</v>
      </c>
      <c r="T24" s="893">
        <f>R24</f>
        <v>0</v>
      </c>
      <c r="U24" s="169"/>
      <c r="V24" s="892">
        <f>V$8</f>
        <v>2025</v>
      </c>
      <c r="W24" s="892">
        <f>X24</f>
        <v>0</v>
      </c>
      <c r="X24" s="892">
        <f>X$8</f>
        <v>0</v>
      </c>
      <c r="Y24" s="892">
        <f>X24</f>
        <v>0</v>
      </c>
      <c r="Z24" s="892">
        <f>X24</f>
        <v>0</v>
      </c>
      <c r="AA24" s="169"/>
      <c r="AB24" s="892">
        <f>AB$8</f>
        <v>2026</v>
      </c>
      <c r="AC24" s="892">
        <f>AD24</f>
        <v>0</v>
      </c>
      <c r="AD24" s="892">
        <f>AD$8</f>
        <v>0</v>
      </c>
      <c r="AE24" s="892">
        <f>AD24</f>
        <v>0</v>
      </c>
      <c r="AF24" s="892">
        <f>AD24</f>
        <v>0</v>
      </c>
      <c r="AG24" s="171"/>
      <c r="AH24" s="166">
        <f>AH$8</f>
        <v>2027</v>
      </c>
      <c r="AI24" s="167"/>
      <c r="AJ24" s="166">
        <f>AJ$8</f>
        <v>2028</v>
      </c>
      <c r="AK24" s="167"/>
      <c r="AL24" s="166">
        <f>AL$8</f>
        <v>2029</v>
      </c>
      <c r="AM24" s="163">
        <f>AN24</f>
        <v>0</v>
      </c>
    </row>
    <row r="25" spans="1:55" s="41" customFormat="1" ht="14.25" customHeight="1">
      <c r="B25" s="164"/>
      <c r="C25" s="18"/>
      <c r="D25" s="168" t="s">
        <v>292</v>
      </c>
      <c r="E25" s="168" t="s">
        <v>293</v>
      </c>
      <c r="F25" s="168" t="s">
        <v>294</v>
      </c>
      <c r="G25" s="168" t="s">
        <v>295</v>
      </c>
      <c r="H25" s="168" t="s">
        <v>296</v>
      </c>
      <c r="I25" s="165"/>
      <c r="J25" s="168" t="s">
        <v>292</v>
      </c>
      <c r="K25" s="168" t="s">
        <v>293</v>
      </c>
      <c r="L25" s="168" t="s">
        <v>294</v>
      </c>
      <c r="M25" s="168" t="s">
        <v>295</v>
      </c>
      <c r="N25" s="168" t="s">
        <v>296</v>
      </c>
      <c r="O25" s="165"/>
      <c r="P25" s="168" t="s">
        <v>292</v>
      </c>
      <c r="Q25" s="168" t="s">
        <v>293</v>
      </c>
      <c r="R25" s="168" t="s">
        <v>294</v>
      </c>
      <c r="S25" s="168" t="s">
        <v>295</v>
      </c>
      <c r="T25" s="168" t="s">
        <v>296</v>
      </c>
      <c r="U25" s="165"/>
      <c r="V25" s="168" t="s">
        <v>292</v>
      </c>
      <c r="W25" s="168" t="s">
        <v>293</v>
      </c>
      <c r="X25" s="168" t="s">
        <v>294</v>
      </c>
      <c r="Y25" s="168" t="s">
        <v>295</v>
      </c>
      <c r="Z25" s="168" t="s">
        <v>296</v>
      </c>
      <c r="AA25" s="165"/>
      <c r="AB25" s="168" t="s">
        <v>292</v>
      </c>
      <c r="AC25" s="168" t="s">
        <v>293</v>
      </c>
      <c r="AD25" s="168" t="s">
        <v>294</v>
      </c>
      <c r="AE25" s="168" t="s">
        <v>295</v>
      </c>
      <c r="AF25" s="168" t="s">
        <v>296</v>
      </c>
      <c r="AG25" s="165"/>
      <c r="AH25" s="168" t="s">
        <v>296</v>
      </c>
      <c r="AI25" s="165"/>
      <c r="AJ25" s="168" t="s">
        <v>296</v>
      </c>
      <c r="AK25" s="165"/>
      <c r="AL25" s="168" t="s">
        <v>296</v>
      </c>
      <c r="AM25" s="163"/>
    </row>
    <row r="26" spans="1:55" s="41" customFormat="1" ht="3.95" customHeight="1">
      <c r="A26" s="43"/>
      <c r="B26" s="176"/>
      <c r="C26" s="35"/>
      <c r="D26" s="177"/>
      <c r="E26" s="177"/>
      <c r="F26" s="177"/>
      <c r="G26" s="177"/>
      <c r="H26" s="177"/>
      <c r="I26" s="178"/>
      <c r="J26" s="177"/>
      <c r="K26" s="177"/>
      <c r="L26" s="177"/>
      <c r="M26" s="177"/>
      <c r="N26" s="177"/>
      <c r="O26" s="178"/>
      <c r="P26" s="177"/>
      <c r="Q26" s="177"/>
      <c r="R26" s="177"/>
      <c r="S26" s="177"/>
      <c r="T26" s="177"/>
      <c r="U26" s="178"/>
      <c r="V26" s="177"/>
      <c r="W26" s="177"/>
      <c r="X26" s="177"/>
      <c r="Y26" s="177"/>
      <c r="Z26" s="179"/>
      <c r="AA26" s="180"/>
      <c r="AB26" s="179"/>
      <c r="AC26" s="179"/>
      <c r="AD26" s="179"/>
      <c r="AE26" s="179"/>
      <c r="AF26" s="179"/>
      <c r="AG26" s="180"/>
      <c r="AH26" s="179"/>
      <c r="AI26" s="180"/>
      <c r="AJ26" s="179"/>
      <c r="AK26" s="180"/>
      <c r="AL26" s="179"/>
      <c r="AM26" s="179"/>
    </row>
    <row r="27" spans="1:55" s="54" customFormat="1" ht="3.95" customHeight="1">
      <c r="A27" s="44"/>
      <c r="B27" s="45"/>
      <c r="C27" s="23"/>
      <c r="D27" s="66"/>
      <c r="E27" s="66"/>
      <c r="F27" s="66"/>
      <c r="G27" s="66"/>
      <c r="H27" s="57"/>
      <c r="I27" s="57"/>
      <c r="J27" s="66"/>
      <c r="K27" s="66"/>
      <c r="L27" s="66"/>
      <c r="M27" s="66"/>
      <c r="N27" s="57"/>
      <c r="O27" s="57"/>
      <c r="P27" s="66"/>
      <c r="Q27" s="66"/>
      <c r="R27" s="66"/>
      <c r="S27" s="66"/>
      <c r="T27" s="57"/>
      <c r="U27" s="71"/>
      <c r="V27" s="66"/>
      <c r="W27" s="66"/>
      <c r="X27" s="68"/>
      <c r="Y27" s="68"/>
      <c r="Z27" s="57"/>
      <c r="AA27" s="71"/>
      <c r="AB27" s="68"/>
      <c r="AC27" s="68"/>
      <c r="AD27" s="68"/>
      <c r="AE27" s="68"/>
      <c r="AF27" s="57"/>
      <c r="AG27" s="71"/>
      <c r="AH27" s="58"/>
      <c r="AI27" s="72"/>
      <c r="AJ27" s="58"/>
    </row>
    <row r="28" spans="1:55" s="54" customFormat="1" ht="14.25" customHeight="1">
      <c r="A28" s="44"/>
      <c r="B28" s="161" t="s">
        <v>539</v>
      </c>
      <c r="C28" s="184"/>
      <c r="D28" s="185"/>
      <c r="E28" s="185"/>
      <c r="F28" s="185"/>
      <c r="G28" s="185"/>
      <c r="H28" s="186"/>
      <c r="I28" s="186"/>
      <c r="J28" s="185"/>
      <c r="K28" s="185"/>
      <c r="L28" s="185"/>
      <c r="M28" s="185"/>
      <c r="N28" s="186"/>
      <c r="O28" s="186"/>
      <c r="P28" s="185"/>
      <c r="Q28" s="185"/>
      <c r="R28" s="185"/>
      <c r="S28" s="185"/>
      <c r="T28" s="186"/>
      <c r="U28" s="187"/>
      <c r="V28" s="185"/>
      <c r="W28" s="185"/>
      <c r="X28" s="188"/>
      <c r="Y28" s="188"/>
      <c r="Z28" s="186"/>
      <c r="AA28" s="187"/>
      <c r="AB28" s="188"/>
      <c r="AC28" s="188"/>
      <c r="AD28" s="188"/>
      <c r="AE28" s="188"/>
      <c r="AF28" s="186"/>
      <c r="AG28" s="187"/>
      <c r="AH28" s="189"/>
      <c r="AI28" s="190"/>
      <c r="AJ28" s="189"/>
      <c r="AK28" s="191"/>
      <c r="AL28" s="191"/>
      <c r="AM28" s="191"/>
      <c r="AN28" s="690" t="s">
        <v>540</v>
      </c>
    </row>
    <row r="29" spans="1:55" s="54" customFormat="1" ht="3.95" customHeight="1">
      <c r="A29" s="44"/>
      <c r="B29" s="192"/>
      <c r="C29" s="36"/>
      <c r="D29" s="193"/>
      <c r="E29" s="193"/>
      <c r="F29" s="193"/>
      <c r="G29" s="193"/>
      <c r="H29" s="194"/>
      <c r="I29" s="194"/>
      <c r="J29" s="193"/>
      <c r="K29" s="193"/>
      <c r="L29" s="193"/>
      <c r="M29" s="193"/>
      <c r="N29" s="194"/>
      <c r="O29" s="194"/>
      <c r="P29" s="193"/>
      <c r="Q29" s="193"/>
      <c r="R29" s="193"/>
      <c r="S29" s="193"/>
      <c r="T29" s="194"/>
      <c r="U29" s="195"/>
      <c r="V29" s="193"/>
      <c r="W29" s="193"/>
      <c r="X29" s="196"/>
      <c r="Y29" s="196"/>
      <c r="Z29" s="194"/>
      <c r="AA29" s="195"/>
      <c r="AB29" s="196"/>
      <c r="AC29" s="196"/>
      <c r="AD29" s="196"/>
      <c r="AE29" s="196"/>
      <c r="AF29" s="194"/>
      <c r="AG29" s="195"/>
      <c r="AH29" s="197"/>
      <c r="AI29" s="198"/>
      <c r="AJ29" s="197"/>
      <c r="AK29" s="199"/>
      <c r="AL29" s="199"/>
      <c r="AM29" s="199"/>
    </row>
    <row r="30" spans="1:55" s="54" customFormat="1" ht="3.95" customHeight="1">
      <c r="A30" s="44"/>
      <c r="B30" s="45"/>
      <c r="C30" s="23"/>
      <c r="D30" s="66"/>
      <c r="E30" s="66"/>
      <c r="F30" s="66"/>
      <c r="G30" s="66"/>
      <c r="H30" s="57"/>
      <c r="I30" s="57"/>
      <c r="J30" s="66"/>
      <c r="K30" s="66"/>
      <c r="L30" s="66"/>
      <c r="M30" s="66"/>
      <c r="N30" s="57"/>
      <c r="O30" s="57"/>
      <c r="P30" s="66"/>
      <c r="Q30" s="66"/>
      <c r="R30" s="66"/>
      <c r="S30" s="66"/>
      <c r="T30" s="57"/>
      <c r="U30" s="49"/>
      <c r="V30" s="66"/>
      <c r="W30" s="66"/>
      <c r="X30" s="68"/>
      <c r="Y30" s="68"/>
      <c r="Z30" s="57"/>
      <c r="AA30" s="71"/>
      <c r="AB30" s="68"/>
      <c r="AC30" s="68"/>
      <c r="AD30" s="68"/>
      <c r="AE30" s="68"/>
      <c r="AF30" s="57"/>
      <c r="AG30" s="71"/>
      <c r="AH30" s="58"/>
      <c r="AI30" s="72"/>
      <c r="AJ30" s="58"/>
    </row>
    <row r="31" spans="1:55" s="54" customFormat="1" ht="14.25" customHeight="1">
      <c r="A31" s="44"/>
      <c r="B31" s="28" t="s">
        <v>537</v>
      </c>
      <c r="C31" s="23"/>
      <c r="D31" s="50">
        <f>IS!P17</f>
        <v>14964</v>
      </c>
      <c r="E31" s="50">
        <f>IS!Q17</f>
        <v>15446</v>
      </c>
      <c r="F31" s="50">
        <f>IS!R17</f>
        <v>16583</v>
      </c>
      <c r="G31" s="50">
        <f>IS!S17</f>
        <v>18991</v>
      </c>
      <c r="H31" s="58">
        <f>IS!T17</f>
        <v>65984</v>
      </c>
      <c r="I31" s="57"/>
      <c r="J31" s="50">
        <f>IS!V17</f>
        <v>15126</v>
      </c>
      <c r="K31" s="50">
        <f>IS!W17</f>
        <v>16693</v>
      </c>
      <c r="L31" s="50">
        <f>IS!X17</f>
        <v>16878</v>
      </c>
      <c r="M31" s="50">
        <f>IS!Y17</f>
        <v>18874</v>
      </c>
      <c r="N31" s="58">
        <f>IS!Z17</f>
        <v>67571</v>
      </c>
      <c r="O31" s="57"/>
      <c r="P31" s="50">
        <f>IS!AB17</f>
        <v>17195</v>
      </c>
      <c r="Q31" s="50">
        <f>IS!AC17</f>
        <v>18122</v>
      </c>
      <c r="R31" s="50">
        <f>IS!AD17</f>
        <v>17104</v>
      </c>
      <c r="S31" s="50">
        <f>IS!AE17</f>
        <v>18622</v>
      </c>
      <c r="T31" s="58">
        <f>IS!AF17</f>
        <v>71043</v>
      </c>
      <c r="U31" s="49"/>
      <c r="V31" s="50">
        <f>IS!AH17</f>
        <v>17963</v>
      </c>
      <c r="W31" s="50">
        <f>IS!AI17</f>
        <v>18155</v>
      </c>
      <c r="X31" s="292"/>
      <c r="Y31" s="292"/>
      <c r="Z31" s="57">
        <f>BN82</f>
        <v>73851.742538335195</v>
      </c>
      <c r="AA31" s="71"/>
      <c r="AB31" s="292"/>
      <c r="AC31" s="292"/>
      <c r="AD31" s="292"/>
      <c r="AE31" s="292"/>
      <c r="AF31" s="57">
        <f>BO82</f>
        <v>80688.274262268227</v>
      </c>
      <c r="AG31" s="71"/>
      <c r="AH31" s="309">
        <f>BP82</f>
        <v>87226.366135751348</v>
      </c>
      <c r="AI31" s="72"/>
      <c r="AJ31" s="309">
        <f>BQ82</f>
        <v>92511.612561458533</v>
      </c>
      <c r="AL31" s="309">
        <f>BR82</f>
        <v>94316.789019448304</v>
      </c>
      <c r="AN31" s="691">
        <f>((AL31/Z31)^(1/4))-1</f>
        <v>6.3058256758003139E-2</v>
      </c>
      <c r="AR31" s="682"/>
      <c r="AS31" s="683"/>
      <c r="AT31" s="684"/>
      <c r="AU31" s="684"/>
      <c r="AV31" s="684"/>
      <c r="AW31" s="684"/>
      <c r="AX31" s="684"/>
      <c r="AY31" s="687"/>
      <c r="AZ31" s="304"/>
    </row>
    <row r="32" spans="1:55" s="54" customFormat="1" ht="14.25" customHeight="1">
      <c r="A32" s="55"/>
      <c r="B32" s="31" t="s">
        <v>541</v>
      </c>
      <c r="C32" s="23"/>
      <c r="D32" s="297">
        <f>D31/IS!J17-1</f>
        <v>-7.9591585680895527E-2</v>
      </c>
      <c r="E32" s="297">
        <f>E31/IS!K17-1</f>
        <v>-9.2959069822068252E-2</v>
      </c>
      <c r="F32" s="297">
        <f>F31/IS!L17-1</f>
        <v>3.4626902919890235E-2</v>
      </c>
      <c r="G32" s="297">
        <f>G31/IS!M17-1</f>
        <v>7.1182807828980676E-2</v>
      </c>
      <c r="H32" s="298">
        <f>H31/IS!N17-1</f>
        <v>-1.5810512499254248E-2</v>
      </c>
      <c r="I32" s="57"/>
      <c r="J32" s="297">
        <f>J31/IS!P17-1</f>
        <v>1.0825982357658415E-2</v>
      </c>
      <c r="K32" s="297">
        <f>K31/IS!Q17-1</f>
        <v>8.0732875825456407E-2</v>
      </c>
      <c r="L32" s="297">
        <f>L31/IS!R17-1</f>
        <v>1.7789302297533727E-2</v>
      </c>
      <c r="M32" s="297">
        <f>M31/IS!S17-1</f>
        <v>-6.1608130166921349E-3</v>
      </c>
      <c r="N32" s="298">
        <f>N31/H31-1</f>
        <v>2.4051285160038738E-2</v>
      </c>
      <c r="O32" s="57"/>
      <c r="P32" s="297">
        <f>P31/IS!V17-1</f>
        <v>0.13678434483670499</v>
      </c>
      <c r="Q32" s="297">
        <f>Q31/IS!W17-1</f>
        <v>8.5604744503684271E-2</v>
      </c>
      <c r="R32" s="297">
        <f>R31/IS!X17-1</f>
        <v>1.339021211043967E-2</v>
      </c>
      <c r="S32" s="297">
        <f>S31/IS!Y17-1</f>
        <v>-1.3351700752357698E-2</v>
      </c>
      <c r="T32" s="298">
        <f>T31/N31-1</f>
        <v>5.1382989744120922E-2</v>
      </c>
      <c r="U32" s="49"/>
      <c r="V32" s="297">
        <f>V31/IS!AB17-1</f>
        <v>4.4664146554230788E-2</v>
      </c>
      <c r="W32" s="297">
        <f>W31/IS!AC17-1</f>
        <v>1.8209910605893054E-3</v>
      </c>
      <c r="X32" s="297"/>
      <c r="Y32" s="297"/>
      <c r="Z32" s="298">
        <f>Z31/T31-1</f>
        <v>3.9535809838199265E-2</v>
      </c>
      <c r="AA32" s="71"/>
      <c r="AB32" s="297"/>
      <c r="AC32" s="297"/>
      <c r="AD32" s="297"/>
      <c r="AE32" s="297"/>
      <c r="AF32" s="298">
        <f>AF31/Z31-1</f>
        <v>9.2571027967069286E-2</v>
      </c>
      <c r="AG32" s="71"/>
      <c r="AH32" s="298">
        <f>AH31/AF31-1</f>
        <v>8.1029021047491767E-2</v>
      </c>
      <c r="AI32" s="72"/>
      <c r="AJ32" s="298">
        <f>AJ31/AH31-1</f>
        <v>6.059230322035547E-2</v>
      </c>
      <c r="AL32" s="298">
        <f>AL31/AJ31-1</f>
        <v>1.951297148550446E-2</v>
      </c>
      <c r="AR32" s="688"/>
      <c r="AS32" s="685"/>
      <c r="AT32" s="682"/>
      <c r="AU32" s="682"/>
      <c r="AV32" s="682"/>
      <c r="AW32" s="682"/>
      <c r="AX32" s="682"/>
      <c r="AY32" s="740"/>
    </row>
    <row r="33" spans="2:51" s="54" customFormat="1" ht="14.25" customHeight="1">
      <c r="B33" s="31"/>
      <c r="C33" s="23"/>
      <c r="D33" s="297"/>
      <c r="E33" s="297"/>
      <c r="F33" s="297"/>
      <c r="G33" s="297"/>
      <c r="H33" s="300"/>
      <c r="I33" s="48"/>
      <c r="J33" s="297"/>
      <c r="K33" s="297"/>
      <c r="L33" s="297"/>
      <c r="M33" s="297"/>
      <c r="N33" s="300"/>
      <c r="O33" s="71"/>
      <c r="P33" s="297"/>
      <c r="Q33" s="297"/>
      <c r="R33" s="297"/>
      <c r="S33" s="297"/>
      <c r="T33" s="300"/>
      <c r="U33" s="49"/>
      <c r="V33" s="297"/>
      <c r="W33" s="297"/>
      <c r="X33" s="50"/>
      <c r="Y33" s="50"/>
      <c r="Z33" s="66"/>
      <c r="AA33" s="71"/>
      <c r="AB33" s="50"/>
      <c r="AC33" s="50"/>
      <c r="AD33" s="50"/>
      <c r="AE33" s="50"/>
      <c r="AF33" s="66"/>
      <c r="AG33" s="71"/>
      <c r="AH33" s="68"/>
      <c r="AI33" s="72"/>
      <c r="AJ33" s="68"/>
      <c r="AR33" s="688"/>
      <c r="AS33" s="682"/>
      <c r="AT33" s="682"/>
      <c r="AU33" s="682"/>
      <c r="AV33" s="682"/>
      <c r="AW33" s="682"/>
      <c r="AX33" s="682"/>
      <c r="AY33" s="740"/>
    </row>
    <row r="34" spans="2:51" s="54" customFormat="1" ht="14.25" customHeight="1">
      <c r="B34" s="28" t="s">
        <v>542</v>
      </c>
      <c r="C34" s="23"/>
      <c r="D34" s="50">
        <f>IS!P20</f>
        <v>13055</v>
      </c>
      <c r="E34" s="50">
        <f>IS!Q20</f>
        <v>13490</v>
      </c>
      <c r="F34" s="50">
        <f>IS!R20</f>
        <v>14463</v>
      </c>
      <c r="G34" s="50">
        <f>IS!S20</f>
        <v>16689</v>
      </c>
      <c r="H34" s="58">
        <f>IS!T20</f>
        <v>57697</v>
      </c>
      <c r="I34" s="57"/>
      <c r="J34" s="50">
        <f>IS!V20</f>
        <v>13080</v>
      </c>
      <c r="K34" s="50">
        <f>IS!W20</f>
        <v>14603</v>
      </c>
      <c r="L34" s="50">
        <f>IS!X20</f>
        <v>14830</v>
      </c>
      <c r="M34" s="50">
        <f>IS!Y20</f>
        <v>16579</v>
      </c>
      <c r="N34" s="58">
        <f>IS!Z20</f>
        <v>59092</v>
      </c>
      <c r="O34" s="57"/>
      <c r="P34" s="50">
        <f>IS!AB20</f>
        <v>15202</v>
      </c>
      <c r="Q34" s="50">
        <f>IS!AC20</f>
        <v>15905</v>
      </c>
      <c r="R34" s="50">
        <f>IS!AD20</f>
        <v>14987</v>
      </c>
      <c r="S34" s="50">
        <f>IS!AE20</f>
        <v>17932</v>
      </c>
      <c r="T34" s="58">
        <f>IS!AF20</f>
        <v>64113</v>
      </c>
      <c r="U34" s="49"/>
      <c r="V34" s="50">
        <f>IS!AH20</f>
        <v>15640</v>
      </c>
      <c r="W34" s="50">
        <f>IS!AI20</f>
        <v>17355</v>
      </c>
      <c r="X34" s="46"/>
      <c r="Y34" s="46"/>
      <c r="Z34" s="728">
        <f>Z31*Z35</f>
        <v>66194.574484975179</v>
      </c>
      <c r="AA34" s="728"/>
      <c r="AB34" s="728"/>
      <c r="AC34" s="728"/>
      <c r="AD34" s="728"/>
      <c r="AE34" s="728"/>
      <c r="AF34" s="728">
        <f t="shared" ref="AF34:AL34" si="0">AF31*AF35</f>
        <v>71900.98896318092</v>
      </c>
      <c r="AG34" s="728"/>
      <c r="AH34" s="728">
        <f t="shared" si="0"/>
        <v>78209.089195838184</v>
      </c>
      <c r="AI34" s="728"/>
      <c r="AJ34" s="728">
        <f t="shared" si="0"/>
        <v>82768.136278202335</v>
      </c>
      <c r="AK34" s="728"/>
      <c r="AL34" s="728">
        <f t="shared" si="0"/>
        <v>84331.670030866866</v>
      </c>
      <c r="AM34" s="57"/>
      <c r="AN34" s="57"/>
      <c r="AR34" s="688"/>
      <c r="AS34" s="682"/>
      <c r="AT34" s="682"/>
      <c r="AU34" s="682"/>
      <c r="AV34" s="682"/>
      <c r="AW34" s="682"/>
      <c r="AX34" s="682"/>
      <c r="AY34" s="740"/>
    </row>
    <row r="35" spans="2:51" s="54" customFormat="1" ht="14.25" customHeight="1">
      <c r="B35" s="31" t="s">
        <v>543</v>
      </c>
      <c r="C35" s="23"/>
      <c r="D35" s="297">
        <f>D34/D31</f>
        <v>0.8724271585137664</v>
      </c>
      <c r="E35" s="297">
        <f t="shared" ref="E35:H35" si="1">E34/E31</f>
        <v>0.87336527256247576</v>
      </c>
      <c r="F35" s="297">
        <f t="shared" si="1"/>
        <v>0.87215823433636852</v>
      </c>
      <c r="G35" s="297">
        <f t="shared" si="1"/>
        <v>0.87878468748354488</v>
      </c>
      <c r="H35" s="298">
        <f t="shared" si="1"/>
        <v>0.87440894762366639</v>
      </c>
      <c r="I35" s="57"/>
      <c r="J35" s="297">
        <f>J34/J31</f>
        <v>0.86473621578738591</v>
      </c>
      <c r="K35" s="297">
        <f t="shared" ref="K35:N35" si="2">K34/K31</f>
        <v>0.87479781944527646</v>
      </c>
      <c r="L35" s="297">
        <f t="shared" si="2"/>
        <v>0.87865860883990998</v>
      </c>
      <c r="M35" s="297">
        <f t="shared" si="2"/>
        <v>0.87840415386245629</v>
      </c>
      <c r="N35" s="298">
        <f t="shared" si="2"/>
        <v>0.87451717452753397</v>
      </c>
      <c r="O35" s="57"/>
      <c r="P35" s="297">
        <f>P34/P31</f>
        <v>0.88409421343413785</v>
      </c>
      <c r="Q35" s="297">
        <f t="shared" ref="Q35:T35" si="3">Q34/Q31</f>
        <v>0.87766250965677073</v>
      </c>
      <c r="R35" s="297">
        <f t="shared" si="3"/>
        <v>0.8762277829747428</v>
      </c>
      <c r="S35" s="297">
        <f t="shared" si="3"/>
        <v>0.96294705187412732</v>
      </c>
      <c r="T35" s="298">
        <f t="shared" si="3"/>
        <v>0.90245344368903335</v>
      </c>
      <c r="U35" s="49"/>
      <c r="V35" s="297">
        <f>V34/V31</f>
        <v>0.8706786171574904</v>
      </c>
      <c r="W35" s="297">
        <f t="shared" ref="W35" si="4">W34/W31</f>
        <v>0.95593500413109334</v>
      </c>
      <c r="X35" s="308"/>
      <c r="Y35" s="308"/>
      <c r="Z35" s="729">
        <f>AVERAGE(N35:T35)</f>
        <v>0.89631702935939106</v>
      </c>
      <c r="AA35" s="729">
        <f t="shared" ref="AA35:AK35" si="5">AVERAGE(O35:U35)</f>
        <v>0.90067700032576248</v>
      </c>
      <c r="AB35" s="729"/>
      <c r="AC35" s="729"/>
      <c r="AD35" s="729"/>
      <c r="AE35" s="729"/>
      <c r="AF35" s="729">
        <f>AVERAGE(N35,T35,Z35)</f>
        <v>0.89109588252531946</v>
      </c>
      <c r="AG35" s="729">
        <f t="shared" si="5"/>
        <v>0.90590191274343435</v>
      </c>
      <c r="AH35" s="729">
        <f>AVERAGE(T35,Z35,AF35)</f>
        <v>0.8966221185245814</v>
      </c>
      <c r="AI35" s="729">
        <f t="shared" si="5"/>
        <v>0.91764301127208225</v>
      </c>
      <c r="AJ35" s="729">
        <f>AVERAGE(Z35,AF35,AH35)</f>
        <v>0.89467834346976405</v>
      </c>
      <c r="AK35" s="729">
        <f t="shared" si="5"/>
        <v>0.89849701484257682</v>
      </c>
      <c r="AL35" s="729">
        <f>AVERAGE(AF35,AH35,AJ35)</f>
        <v>0.8941321148398883</v>
      </c>
      <c r="AR35" s="688"/>
      <c r="AS35" s="682"/>
      <c r="AT35" s="682"/>
      <c r="AU35" s="682"/>
      <c r="AV35" s="682"/>
      <c r="AW35" s="682"/>
      <c r="AX35" s="682"/>
      <c r="AY35" s="740"/>
    </row>
    <row r="36" spans="2:51" s="54" customFormat="1" ht="14.25" customHeight="1">
      <c r="B36" s="31"/>
      <c r="C36" s="23"/>
      <c r="D36" s="46"/>
      <c r="E36" s="46"/>
      <c r="F36" s="46"/>
      <c r="G36" s="46"/>
      <c r="H36" s="57"/>
      <c r="I36" s="57"/>
      <c r="J36" s="46"/>
      <c r="K36" s="46"/>
      <c r="L36" s="46"/>
      <c r="M36" s="46"/>
      <c r="N36" s="57"/>
      <c r="O36" s="57"/>
      <c r="P36" s="46"/>
      <c r="Q36" s="46"/>
      <c r="R36" s="46"/>
      <c r="S36" s="46"/>
      <c r="T36" s="57"/>
      <c r="U36" s="49"/>
      <c r="V36" s="46"/>
      <c r="W36" s="46"/>
      <c r="X36" s="50"/>
      <c r="Y36" s="50"/>
      <c r="Z36" s="57"/>
      <c r="AA36" s="71"/>
      <c r="AB36" s="50"/>
      <c r="AC36" s="50"/>
      <c r="AD36" s="50"/>
      <c r="AE36" s="50"/>
      <c r="AF36" s="57"/>
      <c r="AG36" s="71"/>
      <c r="AH36" s="58"/>
      <c r="AI36" s="72"/>
      <c r="AJ36" s="58"/>
      <c r="AR36" s="688"/>
      <c r="AS36" s="682"/>
      <c r="AT36" s="682"/>
      <c r="AU36" s="682"/>
      <c r="AV36" s="682"/>
      <c r="AW36" s="682"/>
      <c r="AX36" s="682"/>
      <c r="AY36" s="740"/>
    </row>
    <row r="37" spans="2:51" s="54" customFormat="1" ht="14.25" hidden="1" customHeight="1">
      <c r="B37" s="28" t="s">
        <v>544</v>
      </c>
      <c r="C37" s="23"/>
      <c r="D37" s="50">
        <f>IS!P21</f>
        <v>0</v>
      </c>
      <c r="E37" s="50">
        <f>IS!Q21</f>
        <v>0</v>
      </c>
      <c r="F37" s="50">
        <f>IS!R21</f>
        <v>0</v>
      </c>
      <c r="G37" s="50">
        <f>IS!S21</f>
        <v>0</v>
      </c>
      <c r="H37" s="58">
        <f>IS!T21</f>
        <v>0</v>
      </c>
      <c r="I37" s="57"/>
      <c r="J37" s="50">
        <f>IS!V21</f>
        <v>0</v>
      </c>
      <c r="K37" s="50">
        <f>IS!W21</f>
        <v>0</v>
      </c>
      <c r="L37" s="50">
        <f>IS!X21</f>
        <v>0</v>
      </c>
      <c r="M37" s="50">
        <f>IS!Y21</f>
        <v>0</v>
      </c>
      <c r="N37" s="58">
        <f>IS!Z21</f>
        <v>0</v>
      </c>
      <c r="O37" s="57"/>
      <c r="P37" s="50">
        <f>IS!AB21</f>
        <v>0</v>
      </c>
      <c r="Q37" s="50">
        <f>IS!AC21</f>
        <v>0</v>
      </c>
      <c r="R37" s="50">
        <f>IS!AD21</f>
        <v>0</v>
      </c>
      <c r="S37" s="50">
        <f>IS!AE21</f>
        <v>0</v>
      </c>
      <c r="T37" s="58">
        <f>IS!AF21</f>
        <v>0</v>
      </c>
      <c r="U37" s="49"/>
      <c r="V37" s="50">
        <f>IS!AH21</f>
        <v>0</v>
      </c>
      <c r="W37" s="50">
        <f>IS!AI21</f>
        <v>0</v>
      </c>
      <c r="X37" s="46">
        <f>X38*X34</f>
        <v>0</v>
      </c>
      <c r="Y37" s="46">
        <f>Y38*Y34</f>
        <v>0</v>
      </c>
      <c r="Z37" s="57">
        <f>SUM(V37:Y37)</f>
        <v>0</v>
      </c>
      <c r="AA37" s="71"/>
      <c r="AB37" s="46"/>
      <c r="AC37" s="46"/>
      <c r="AD37" s="46"/>
      <c r="AE37" s="46"/>
      <c r="AF37" s="57">
        <f>SUM(AB37:AE37)</f>
        <v>0</v>
      </c>
      <c r="AG37" s="71"/>
      <c r="AH37" s="57">
        <f t="shared" ref="AH37:AL37" si="6">AH38*AH34</f>
        <v>0</v>
      </c>
      <c r="AI37" s="72"/>
      <c r="AJ37" s="57">
        <f t="shared" si="6"/>
        <v>0</v>
      </c>
      <c r="AL37" s="57">
        <f t="shared" si="6"/>
        <v>0</v>
      </c>
      <c r="AR37" s="682"/>
      <c r="AS37" s="682"/>
      <c r="AT37" s="682"/>
      <c r="AU37" s="682"/>
      <c r="AV37" s="682"/>
      <c r="AW37" s="682"/>
      <c r="AX37" s="682"/>
      <c r="AY37" s="682"/>
    </row>
    <row r="38" spans="2:51" s="54" customFormat="1" ht="14.25" hidden="1" customHeight="1">
      <c r="B38" s="31" t="s">
        <v>545</v>
      </c>
      <c r="C38" s="23"/>
      <c r="D38" s="299">
        <f>D37/D34</f>
        <v>0</v>
      </c>
      <c r="E38" s="299">
        <f t="shared" ref="E38:H38" si="7">E37/E34</f>
        <v>0</v>
      </c>
      <c r="F38" s="299">
        <f t="shared" si="7"/>
        <v>0</v>
      </c>
      <c r="G38" s="299">
        <f t="shared" si="7"/>
        <v>0</v>
      </c>
      <c r="H38" s="298">
        <f t="shared" si="7"/>
        <v>0</v>
      </c>
      <c r="I38" s="57"/>
      <c r="J38" s="299">
        <f>J37/J34</f>
        <v>0</v>
      </c>
      <c r="K38" s="299">
        <f t="shared" ref="K38:N38" si="8">K37/K34</f>
        <v>0</v>
      </c>
      <c r="L38" s="299">
        <f t="shared" si="8"/>
        <v>0</v>
      </c>
      <c r="M38" s="299">
        <f t="shared" si="8"/>
        <v>0</v>
      </c>
      <c r="N38" s="298">
        <f t="shared" si="8"/>
        <v>0</v>
      </c>
      <c r="O38" s="57"/>
      <c r="P38" s="299">
        <f>P37/P34</f>
        <v>0</v>
      </c>
      <c r="Q38" s="299">
        <f t="shared" ref="Q38:T38" si="9">Q37/Q34</f>
        <v>0</v>
      </c>
      <c r="R38" s="299">
        <f t="shared" si="9"/>
        <v>0</v>
      </c>
      <c r="S38" s="299">
        <f t="shared" si="9"/>
        <v>0</v>
      </c>
      <c r="T38" s="298">
        <f t="shared" si="9"/>
        <v>0</v>
      </c>
      <c r="U38" s="49"/>
      <c r="V38" s="299">
        <f>V37/V34</f>
        <v>0</v>
      </c>
      <c r="W38" s="299">
        <f t="shared" ref="W38" si="10">W37/W34</f>
        <v>0</v>
      </c>
      <c r="X38" s="308"/>
      <c r="Y38" s="308"/>
      <c r="Z38" s="298"/>
      <c r="AA38" s="71"/>
      <c r="AB38" s="308"/>
      <c r="AC38" s="308"/>
      <c r="AD38" s="308"/>
      <c r="AE38" s="308"/>
      <c r="AF38" s="298"/>
      <c r="AG38" s="71"/>
      <c r="AH38" s="308"/>
      <c r="AI38" s="72"/>
      <c r="AJ38" s="308"/>
      <c r="AL38" s="308"/>
      <c r="AR38" s="689"/>
      <c r="AS38" s="682"/>
      <c r="AT38" s="682"/>
      <c r="AU38" s="682"/>
      <c r="AV38" s="682"/>
      <c r="AW38" s="682"/>
      <c r="AX38" s="682"/>
    </row>
    <row r="39" spans="2:51" s="54" customFormat="1" ht="14.25" customHeight="1">
      <c r="B39" s="31"/>
      <c r="C39" s="23"/>
      <c r="D39" s="60"/>
      <c r="E39" s="60"/>
      <c r="F39" s="60"/>
      <c r="G39" s="60"/>
      <c r="H39" s="181"/>
      <c r="I39" s="57"/>
      <c r="J39" s="60"/>
      <c r="K39" s="60"/>
      <c r="L39" s="60"/>
      <c r="M39" s="60"/>
      <c r="N39" s="181"/>
      <c r="O39" s="57"/>
      <c r="P39" s="60"/>
      <c r="Q39" s="60"/>
      <c r="R39" s="60"/>
      <c r="S39" s="60"/>
      <c r="T39" s="181"/>
      <c r="U39" s="49"/>
      <c r="V39" s="60"/>
      <c r="W39" s="60"/>
      <c r="X39" s="62"/>
      <c r="Y39" s="62"/>
      <c r="Z39" s="181"/>
      <c r="AA39" s="71"/>
      <c r="AB39" s="62"/>
      <c r="AC39" s="62"/>
      <c r="AD39" s="62"/>
      <c r="AE39" s="62"/>
      <c r="AF39" s="181"/>
      <c r="AG39" s="71"/>
      <c r="AH39" s="182"/>
      <c r="AI39" s="72"/>
      <c r="AJ39" s="182"/>
    </row>
    <row r="40" spans="2:51" s="54" customFormat="1" ht="14.25" customHeight="1">
      <c r="B40" s="28" t="s">
        <v>546</v>
      </c>
      <c r="C40" s="23"/>
      <c r="D40" s="50">
        <f>IS!P23</f>
        <v>1909</v>
      </c>
      <c r="E40" s="50">
        <f>IS!Q23</f>
        <v>1956</v>
      </c>
      <c r="F40" s="50">
        <f>IS!R23</f>
        <v>2120</v>
      </c>
      <c r="G40" s="50">
        <f>IS!S23</f>
        <v>2302</v>
      </c>
      <c r="H40" s="58">
        <f>IS!T23</f>
        <v>8287</v>
      </c>
      <c r="I40" s="57"/>
      <c r="J40" s="50">
        <f>IS!V23</f>
        <v>2046</v>
      </c>
      <c r="K40" s="50">
        <f>IS!W23</f>
        <v>2090</v>
      </c>
      <c r="L40" s="50">
        <f>IS!X23</f>
        <v>2048</v>
      </c>
      <c r="M40" s="50">
        <f>IS!Y23</f>
        <v>2295</v>
      </c>
      <c r="N40" s="58">
        <f>IS!Z23</f>
        <v>8479</v>
      </c>
      <c r="O40" s="57"/>
      <c r="P40" s="50">
        <f>IS!AB23</f>
        <v>1993</v>
      </c>
      <c r="Q40" s="50">
        <f>IS!AC23</f>
        <v>2217</v>
      </c>
      <c r="R40" s="50">
        <f>IS!AD23</f>
        <v>2117</v>
      </c>
      <c r="S40" s="50">
        <f>IS!AE23</f>
        <v>690</v>
      </c>
      <c r="T40" s="58">
        <f>IS!AF23</f>
        <v>6930</v>
      </c>
      <c r="U40" s="49"/>
      <c r="V40" s="50">
        <f>IS!AH23</f>
        <v>2323</v>
      </c>
      <c r="W40" s="50">
        <f>IS!AI23</f>
        <v>800</v>
      </c>
      <c r="X40" s="46"/>
      <c r="Y40" s="46"/>
      <c r="Z40" s="57">
        <f>Z31*Z41</f>
        <v>8399.5754597501345</v>
      </c>
      <c r="AA40" s="57"/>
      <c r="AB40" s="57"/>
      <c r="AC40" s="57"/>
      <c r="AD40" s="57"/>
      <c r="AE40" s="57"/>
      <c r="AF40" s="57">
        <f>AF31*AF41</f>
        <v>9037.0867173740407</v>
      </c>
      <c r="AG40" s="57"/>
      <c r="AH40" s="57">
        <f t="shared" ref="AH40:AL40" si="11">AH31*AH41</f>
        <v>9420.4475426611461</v>
      </c>
      <c r="AI40" s="57"/>
      <c r="AJ40" s="57">
        <f t="shared" si="11"/>
        <v>10453.812219444815</v>
      </c>
      <c r="AK40" s="57"/>
      <c r="AL40" s="57">
        <f t="shared" si="11"/>
        <v>10469.163581158762</v>
      </c>
      <c r="AR40" s="686"/>
      <c r="AS40" s="686"/>
      <c r="AT40" s="686"/>
      <c r="AU40" s="686"/>
      <c r="AV40" s="686"/>
      <c r="AW40" s="686"/>
      <c r="AX40" s="686"/>
    </row>
    <row r="41" spans="2:51" s="54" customFormat="1" ht="14.25" customHeight="1">
      <c r="B41" s="31" t="s">
        <v>543</v>
      </c>
      <c r="C41" s="21"/>
      <c r="D41" s="297">
        <f>D40/D31</f>
        <v>0.12757284148623363</v>
      </c>
      <c r="E41" s="297">
        <f t="shared" ref="E41:H41" si="12">E40/E31</f>
        <v>0.12663472743752427</v>
      </c>
      <c r="F41" s="297">
        <f t="shared" si="12"/>
        <v>0.12784176566363142</v>
      </c>
      <c r="G41" s="297">
        <f t="shared" si="12"/>
        <v>0.12121531251645516</v>
      </c>
      <c r="H41" s="300">
        <f t="shared" si="12"/>
        <v>0.12559105237633367</v>
      </c>
      <c r="I41" s="48"/>
      <c r="J41" s="297">
        <f>J40/J31</f>
        <v>0.13526378421261404</v>
      </c>
      <c r="K41" s="297">
        <f t="shared" ref="K41:N41" si="13">K40/K31</f>
        <v>0.12520218055472354</v>
      </c>
      <c r="L41" s="297">
        <f t="shared" si="13"/>
        <v>0.12134139116009006</v>
      </c>
      <c r="M41" s="297">
        <f t="shared" si="13"/>
        <v>0.12159584613754371</v>
      </c>
      <c r="N41" s="300">
        <f t="shared" si="13"/>
        <v>0.125482825472466</v>
      </c>
      <c r="O41" s="71"/>
      <c r="P41" s="297">
        <f>P40/P31</f>
        <v>0.11590578656586217</v>
      </c>
      <c r="Q41" s="297">
        <f t="shared" ref="Q41:S41" si="14">Q40/Q31</f>
        <v>0.12233749034322923</v>
      </c>
      <c r="R41" s="297">
        <f t="shared" si="14"/>
        <v>0.12377221702525724</v>
      </c>
      <c r="S41" s="297">
        <f t="shared" si="14"/>
        <v>3.7052948125872627E-2</v>
      </c>
      <c r="T41" s="300">
        <f>T40/T31</f>
        <v>9.7546556310966592E-2</v>
      </c>
      <c r="U41" s="49"/>
      <c r="V41" s="297">
        <f>V40/V31</f>
        <v>0.1293213828425096</v>
      </c>
      <c r="W41" s="297">
        <f t="shared" ref="W41" si="15">W40/W31</f>
        <v>4.4064995868906637E-2</v>
      </c>
      <c r="X41" s="297"/>
      <c r="Y41" s="297"/>
      <c r="Z41" s="298">
        <f>AVERAGE(H41:T41)</f>
        <v>0.1137356434804508</v>
      </c>
      <c r="AA41" s="298">
        <f t="shared" ref="AA41:AK41" si="16">AVERAGE(I41:U41)</f>
        <v>0.11255010259086251</v>
      </c>
      <c r="AB41" s="298"/>
      <c r="AC41" s="298"/>
      <c r="AD41" s="298"/>
      <c r="AE41" s="298"/>
      <c r="AF41" s="298">
        <f>0.112</f>
        <v>0.112</v>
      </c>
      <c r="AG41" s="298">
        <f t="shared" si="16"/>
        <v>9.9587458128213069E-2</v>
      </c>
      <c r="AH41" s="298">
        <f>0.108</f>
        <v>0.108</v>
      </c>
      <c r="AI41" s="298">
        <f t="shared" si="16"/>
        <v>9.7547667073506913E-2</v>
      </c>
      <c r="AJ41" s="298">
        <f>0.113</f>
        <v>0.113</v>
      </c>
      <c r="AK41" s="298">
        <f t="shared" si="16"/>
        <v>8.9045271536594806E-2</v>
      </c>
      <c r="AL41" s="298">
        <f>0.111</f>
        <v>0.111</v>
      </c>
    </row>
    <row r="42" spans="2:51" s="54" customFormat="1" ht="14.25" hidden="1" customHeight="1">
      <c r="B42" s="28"/>
      <c r="C42" s="23"/>
      <c r="D42" s="60"/>
      <c r="E42" s="60"/>
      <c r="F42" s="60"/>
      <c r="G42" s="60"/>
      <c r="H42" s="66"/>
      <c r="I42" s="48"/>
      <c r="J42" s="60"/>
      <c r="K42" s="60"/>
      <c r="L42" s="60"/>
      <c r="M42" s="60"/>
      <c r="N42" s="66"/>
      <c r="O42" s="71"/>
      <c r="P42" s="60"/>
      <c r="Q42" s="60"/>
      <c r="R42" s="60"/>
      <c r="S42" s="60"/>
      <c r="T42" s="66"/>
      <c r="U42" s="49"/>
      <c r="V42" s="60"/>
      <c r="W42" s="60"/>
      <c r="X42" s="50"/>
      <c r="Y42" s="50"/>
      <c r="Z42" s="66"/>
      <c r="AA42" s="71"/>
      <c r="AB42" s="50"/>
      <c r="AC42" s="50"/>
      <c r="AD42" s="50"/>
      <c r="AE42" s="50"/>
      <c r="AF42" s="66"/>
      <c r="AG42" s="71"/>
      <c r="AH42" s="68"/>
      <c r="AI42" s="72"/>
      <c r="AJ42" s="68"/>
    </row>
    <row r="43" spans="2:51" s="54" customFormat="1" ht="14.25" hidden="1" customHeight="1">
      <c r="B43" s="28" t="s">
        <v>547</v>
      </c>
      <c r="C43" s="21"/>
      <c r="D43" s="62">
        <f>IS!P26</f>
        <v>0</v>
      </c>
      <c r="E43" s="62">
        <f>IS!Q26</f>
        <v>0</v>
      </c>
      <c r="F43" s="62">
        <f>IS!R26</f>
        <v>0</v>
      </c>
      <c r="G43" s="62">
        <f>IS!S26</f>
        <v>0</v>
      </c>
      <c r="H43" s="68">
        <f>IS!T26</f>
        <v>0</v>
      </c>
      <c r="I43" s="48"/>
      <c r="J43" s="62">
        <f>IS!V26</f>
        <v>0</v>
      </c>
      <c r="K43" s="62">
        <f>IS!W26</f>
        <v>0</v>
      </c>
      <c r="L43" s="62">
        <f>IS!X26</f>
        <v>0</v>
      </c>
      <c r="M43" s="62">
        <f>IS!Y26</f>
        <v>0</v>
      </c>
      <c r="N43" s="68">
        <f>IS!Z26</f>
        <v>0</v>
      </c>
      <c r="O43" s="71"/>
      <c r="P43" s="62">
        <f>IS!AB26</f>
        <v>0</v>
      </c>
      <c r="Q43" s="62">
        <f>IS!AC26</f>
        <v>0</v>
      </c>
      <c r="R43" s="62">
        <f>IS!AD26</f>
        <v>0</v>
      </c>
      <c r="S43" s="62">
        <f>IS!AE26</f>
        <v>0</v>
      </c>
      <c r="T43" s="68">
        <f>IS!AF26</f>
        <v>0</v>
      </c>
      <c r="U43" s="49"/>
      <c r="V43" s="62">
        <f>IS!AH26</f>
        <v>0</v>
      </c>
      <c r="W43" s="62">
        <f>IS!AI26</f>
        <v>0</v>
      </c>
      <c r="X43" s="46"/>
      <c r="Y43" s="46"/>
      <c r="Z43" s="57">
        <f>SUM(V43:Y43)</f>
        <v>0</v>
      </c>
      <c r="AA43" s="71"/>
      <c r="AB43" s="46"/>
      <c r="AC43" s="46"/>
      <c r="AD43" s="46"/>
      <c r="AE43" s="46"/>
      <c r="AF43" s="57">
        <f>SUM(AB43:AE43)</f>
        <v>0</v>
      </c>
      <c r="AG43" s="57"/>
      <c r="AH43" s="57">
        <f>(AH44+Sensitivity!$U$40)*AH$31</f>
        <v>0</v>
      </c>
      <c r="AI43" s="57"/>
      <c r="AJ43" s="57">
        <f>(AJ44+Sensitivity!$U$40)*AJ$31</f>
        <v>0</v>
      </c>
      <c r="AK43" s="57"/>
      <c r="AL43" s="57">
        <f>(AL44+Sensitivity!$U$40)*AL$31</f>
        <v>0</v>
      </c>
    </row>
    <row r="44" spans="2:51" s="54" customFormat="1" ht="14.25" hidden="1" customHeight="1">
      <c r="B44" s="31" t="s">
        <v>543</v>
      </c>
      <c r="C44" s="23"/>
      <c r="D44" s="297">
        <f>D43/D31</f>
        <v>0</v>
      </c>
      <c r="E44" s="297">
        <f t="shared" ref="E44:H44" si="17">E43/E31</f>
        <v>0</v>
      </c>
      <c r="F44" s="297">
        <f t="shared" si="17"/>
        <v>0</v>
      </c>
      <c r="G44" s="297">
        <f t="shared" si="17"/>
        <v>0</v>
      </c>
      <c r="H44" s="300">
        <f t="shared" si="17"/>
        <v>0</v>
      </c>
      <c r="I44" s="48"/>
      <c r="J44" s="297">
        <f>J43/J31</f>
        <v>0</v>
      </c>
      <c r="K44" s="297">
        <f t="shared" ref="K44:N44" si="18">K43/K31</f>
        <v>0</v>
      </c>
      <c r="L44" s="297">
        <f t="shared" si="18"/>
        <v>0</v>
      </c>
      <c r="M44" s="297">
        <f t="shared" si="18"/>
        <v>0</v>
      </c>
      <c r="N44" s="300">
        <f t="shared" si="18"/>
        <v>0</v>
      </c>
      <c r="O44" s="71"/>
      <c r="P44" s="297">
        <f>P43/P31</f>
        <v>0</v>
      </c>
      <c r="Q44" s="297">
        <f t="shared" ref="Q44:T44" si="19">Q43/Q31</f>
        <v>0</v>
      </c>
      <c r="R44" s="297">
        <f t="shared" si="19"/>
        <v>0</v>
      </c>
      <c r="S44" s="297">
        <f t="shared" si="19"/>
        <v>0</v>
      </c>
      <c r="T44" s="300">
        <f t="shared" si="19"/>
        <v>0</v>
      </c>
      <c r="U44" s="49"/>
      <c r="V44" s="297">
        <f>V43/V31</f>
        <v>0</v>
      </c>
      <c r="W44" s="297">
        <f t="shared" ref="W44" si="20">W43/W31</f>
        <v>0</v>
      </c>
      <c r="X44" s="308"/>
      <c r="Y44" s="308"/>
      <c r="Z44" s="298"/>
      <c r="AA44" s="71"/>
      <c r="AB44" s="308"/>
      <c r="AC44" s="308"/>
      <c r="AD44" s="308"/>
      <c r="AE44" s="308"/>
      <c r="AF44" s="298"/>
      <c r="AG44" s="71"/>
      <c r="AH44" s="308"/>
      <c r="AI44" s="72"/>
      <c r="AJ44" s="308"/>
      <c r="AL44" s="308"/>
    </row>
    <row r="45" spans="2:51" s="54" customFormat="1" ht="14.25" hidden="1" customHeight="1">
      <c r="B45" s="29"/>
      <c r="C45" s="21"/>
      <c r="D45" s="46"/>
      <c r="E45" s="46"/>
      <c r="F45" s="46"/>
      <c r="G45" s="46"/>
      <c r="H45" s="66"/>
      <c r="I45" s="48"/>
      <c r="J45" s="46"/>
      <c r="K45" s="46"/>
      <c r="L45" s="46"/>
      <c r="M45" s="46"/>
      <c r="N45" s="66"/>
      <c r="O45" s="71"/>
      <c r="P45" s="46"/>
      <c r="Q45" s="46"/>
      <c r="R45" s="46"/>
      <c r="S45" s="46"/>
      <c r="T45" s="66"/>
      <c r="U45" s="49"/>
      <c r="V45" s="46"/>
      <c r="W45" s="46"/>
      <c r="X45" s="50"/>
      <c r="Y45" s="50"/>
      <c r="Z45" s="66"/>
      <c r="AA45" s="71"/>
      <c r="AB45" s="50"/>
      <c r="AC45" s="50"/>
      <c r="AD45" s="50"/>
      <c r="AE45" s="50"/>
      <c r="AF45" s="66"/>
      <c r="AG45" s="71"/>
      <c r="AH45" s="68"/>
      <c r="AI45" s="72"/>
      <c r="AJ45" s="68"/>
    </row>
    <row r="46" spans="2:51" s="54" customFormat="1" ht="14.25" hidden="1" customHeight="1">
      <c r="B46" s="28" t="s">
        <v>548</v>
      </c>
      <c r="C46" s="23"/>
      <c r="D46" s="50">
        <f>IS!P28</f>
        <v>0</v>
      </c>
      <c r="E46" s="50">
        <f>IS!Q28</f>
        <v>0</v>
      </c>
      <c r="F46" s="50">
        <f>IS!R28</f>
        <v>0</v>
      </c>
      <c r="G46" s="50">
        <f>IS!S28</f>
        <v>0</v>
      </c>
      <c r="H46" s="68">
        <f>IS!T28</f>
        <v>0</v>
      </c>
      <c r="I46" s="48"/>
      <c r="J46" s="50">
        <f>IS!V28</f>
        <v>0</v>
      </c>
      <c r="K46" s="50">
        <f>IS!W28</f>
        <v>0</v>
      </c>
      <c r="L46" s="50">
        <f>IS!X28</f>
        <v>0</v>
      </c>
      <c r="M46" s="50">
        <f>IS!Y28</f>
        <v>0</v>
      </c>
      <c r="N46" s="68">
        <f>IS!Z28</f>
        <v>0</v>
      </c>
      <c r="O46" s="71"/>
      <c r="P46" s="50">
        <f>IS!AB28</f>
        <v>0</v>
      </c>
      <c r="Q46" s="50">
        <f>IS!AC28</f>
        <v>0</v>
      </c>
      <c r="R46" s="50">
        <f>IS!AD28</f>
        <v>0</v>
      </c>
      <c r="S46" s="50">
        <f>IS!AE28</f>
        <v>0</v>
      </c>
      <c r="T46" s="68">
        <f>IS!AF28</f>
        <v>0</v>
      </c>
      <c r="U46" s="49"/>
      <c r="V46" s="50">
        <f>IS!AH28</f>
        <v>0</v>
      </c>
      <c r="W46" s="50">
        <f>IS!AI28</f>
        <v>0</v>
      </c>
      <c r="X46" s="46"/>
      <c r="Y46" s="46"/>
      <c r="Z46" s="57">
        <f>SUM(V46:Y46)</f>
        <v>0</v>
      </c>
      <c r="AA46" s="71"/>
      <c r="AB46" s="46"/>
      <c r="AC46" s="46"/>
      <c r="AD46" s="46"/>
      <c r="AE46" s="46"/>
      <c r="AF46" s="57">
        <f>SUM(AB46:AE46)</f>
        <v>0</v>
      </c>
      <c r="AG46" s="71"/>
      <c r="AH46" s="57">
        <f t="shared" ref="AH46:AJ46" si="21">AH47*AH40</f>
        <v>0</v>
      </c>
      <c r="AI46" s="72"/>
      <c r="AJ46" s="57">
        <f t="shared" si="21"/>
        <v>0</v>
      </c>
      <c r="AL46" s="57">
        <f>AL47*AL40</f>
        <v>0</v>
      </c>
      <c r="AS46" s="304"/>
    </row>
    <row r="47" spans="2:51" s="54" customFormat="1" ht="14.25" hidden="1" customHeight="1">
      <c r="B47" s="31" t="s">
        <v>549</v>
      </c>
      <c r="C47" s="21"/>
      <c r="D47" s="297">
        <f>D46/D40</f>
        <v>0</v>
      </c>
      <c r="E47" s="297">
        <f t="shared" ref="E47:G47" si="22">E46/E40</f>
        <v>0</v>
      </c>
      <c r="F47" s="297">
        <f t="shared" si="22"/>
        <v>0</v>
      </c>
      <c r="G47" s="297">
        <f t="shared" si="22"/>
        <v>0</v>
      </c>
      <c r="H47" s="300">
        <f>H46/H40</f>
        <v>0</v>
      </c>
      <c r="I47" s="48"/>
      <c r="J47" s="297">
        <f>J46/J40</f>
        <v>0</v>
      </c>
      <c r="K47" s="297">
        <f t="shared" ref="K47" si="23">K46/K40</f>
        <v>0</v>
      </c>
      <c r="L47" s="297">
        <f t="shared" ref="L47" si="24">L46/L40</f>
        <v>0</v>
      </c>
      <c r="M47" s="297">
        <f t="shared" ref="M47" si="25">M46/M40</f>
        <v>0</v>
      </c>
      <c r="N47" s="300">
        <f>N46/N40</f>
        <v>0</v>
      </c>
      <c r="O47" s="86"/>
      <c r="P47" s="297">
        <f>P46/P40</f>
        <v>0</v>
      </c>
      <c r="Q47" s="297">
        <f t="shared" ref="Q47" si="26">Q46/Q40</f>
        <v>0</v>
      </c>
      <c r="R47" s="297">
        <f t="shared" ref="R47" si="27">R46/R40</f>
        <v>0</v>
      </c>
      <c r="S47" s="297">
        <f t="shared" ref="S47" si="28">S46/S40</f>
        <v>0</v>
      </c>
      <c r="T47" s="300">
        <f>T46/T40</f>
        <v>0</v>
      </c>
      <c r="U47" s="82"/>
      <c r="V47" s="297">
        <f>V46/V40</f>
        <v>0</v>
      </c>
      <c r="W47" s="297">
        <f t="shared" ref="W47" si="29">W46/W40</f>
        <v>0</v>
      </c>
      <c r="X47" s="308"/>
      <c r="Y47" s="308"/>
      <c r="Z47" s="298">
        <f>Z46/Z$40</f>
        <v>0</v>
      </c>
      <c r="AA47" s="71"/>
      <c r="AB47" s="308"/>
      <c r="AC47" s="308"/>
      <c r="AD47" s="308"/>
      <c r="AE47" s="308"/>
      <c r="AF47" s="298">
        <f>AF46/AF$40</f>
        <v>0</v>
      </c>
      <c r="AG47" s="71"/>
      <c r="AH47" s="308"/>
      <c r="AI47" s="72"/>
      <c r="AJ47" s="308"/>
      <c r="AL47" s="308"/>
    </row>
    <row r="48" spans="2:51" s="54" customFormat="1" ht="14.25" hidden="1" customHeight="1">
      <c r="B48" s="31"/>
      <c r="C48" s="23"/>
      <c r="D48" s="297"/>
      <c r="E48" s="297"/>
      <c r="F48" s="297"/>
      <c r="G48" s="297"/>
      <c r="H48" s="300"/>
      <c r="I48" s="48"/>
      <c r="J48" s="297"/>
      <c r="K48" s="297"/>
      <c r="L48" s="297"/>
      <c r="M48" s="297"/>
      <c r="N48" s="300"/>
      <c r="O48" s="71"/>
      <c r="P48" s="297"/>
      <c r="Q48" s="297"/>
      <c r="R48" s="297"/>
      <c r="S48" s="297"/>
      <c r="T48" s="300"/>
      <c r="U48" s="49"/>
      <c r="V48" s="297"/>
      <c r="W48" s="297"/>
      <c r="X48" s="50"/>
      <c r="Y48" s="50"/>
      <c r="Z48" s="66"/>
      <c r="AA48" s="71"/>
      <c r="AB48" s="50"/>
      <c r="AC48" s="50"/>
      <c r="AD48" s="50"/>
      <c r="AE48" s="50"/>
      <c r="AF48" s="66"/>
      <c r="AG48" s="71"/>
      <c r="AH48" s="68"/>
      <c r="AI48" s="72"/>
      <c r="AJ48" s="68"/>
    </row>
    <row r="49" spans="2:40" s="54" customFormat="1" ht="14.25" hidden="1" customHeight="1">
      <c r="B49" s="28" t="s">
        <v>550</v>
      </c>
      <c r="C49" s="21"/>
      <c r="D49" s="50">
        <f>IS!P27</f>
        <v>0</v>
      </c>
      <c r="E49" s="50">
        <f>IS!Q27</f>
        <v>0</v>
      </c>
      <c r="F49" s="50">
        <f>IS!R27</f>
        <v>0</v>
      </c>
      <c r="G49" s="50">
        <f>IS!S27</f>
        <v>0</v>
      </c>
      <c r="H49" s="68">
        <f>IS!T27</f>
        <v>0</v>
      </c>
      <c r="I49" s="48"/>
      <c r="J49" s="50">
        <f>IS!V27</f>
        <v>0</v>
      </c>
      <c r="K49" s="50">
        <f>IS!W27</f>
        <v>0</v>
      </c>
      <c r="L49" s="50">
        <f>IS!X27</f>
        <v>0</v>
      </c>
      <c r="M49" s="50">
        <f>IS!Y27</f>
        <v>0</v>
      </c>
      <c r="N49" s="68">
        <f>IS!Z27</f>
        <v>0</v>
      </c>
      <c r="O49" s="86"/>
      <c r="P49" s="50">
        <f>IS!AB27</f>
        <v>0</v>
      </c>
      <c r="Q49" s="50">
        <f>IS!AC27</f>
        <v>0</v>
      </c>
      <c r="R49" s="50">
        <f>IS!AD27</f>
        <v>0</v>
      </c>
      <c r="S49" s="50">
        <f>IS!AE27</f>
        <v>0</v>
      </c>
      <c r="T49" s="68">
        <f>IS!AF27</f>
        <v>0</v>
      </c>
      <c r="U49" s="82"/>
      <c r="V49" s="50">
        <f>IS!AH27</f>
        <v>0</v>
      </c>
      <c r="W49" s="50">
        <f>IS!AI27</f>
        <v>0</v>
      </c>
      <c r="X49" s="46"/>
      <c r="Y49" s="46"/>
      <c r="Z49" s="57">
        <f>SUM(V49:Y49)</f>
        <v>0</v>
      </c>
      <c r="AA49" s="183"/>
      <c r="AB49" s="46"/>
      <c r="AC49" s="46"/>
      <c r="AD49" s="46"/>
      <c r="AE49" s="46"/>
      <c r="AF49" s="57">
        <f>SUM(AB49:AE49)</f>
        <v>0</v>
      </c>
      <c r="AG49" s="183"/>
      <c r="AH49" s="66">
        <f>AH52+AH55</f>
        <v>0</v>
      </c>
      <c r="AI49" s="183"/>
      <c r="AJ49" s="66">
        <f>AJ52+AJ55</f>
        <v>0</v>
      </c>
      <c r="AK49" s="66"/>
      <c r="AL49" s="66">
        <f>AL52+AL55</f>
        <v>0</v>
      </c>
    </row>
    <row r="50" spans="2:40" s="54" customFormat="1" ht="14.25" hidden="1" customHeight="1">
      <c r="B50" s="31" t="s">
        <v>551</v>
      </c>
      <c r="C50" s="23"/>
      <c r="D50" s="297">
        <f>D49/(D79+D82)</f>
        <v>0</v>
      </c>
      <c r="E50" s="297">
        <f>E49/(E79+E82)</f>
        <v>0</v>
      </c>
      <c r="F50" s="297">
        <f>F49/(F79+F82)</f>
        <v>0</v>
      </c>
      <c r="G50" s="297">
        <f>G49/(G79+G82)</f>
        <v>0</v>
      </c>
      <c r="H50" s="300">
        <f>H49/(H79+H82)</f>
        <v>0</v>
      </c>
      <c r="I50" s="48"/>
      <c r="J50" s="297">
        <f>J49/(J79+J82)</f>
        <v>0</v>
      </c>
      <c r="K50" s="297">
        <f>K49/(K79+K82)</f>
        <v>0</v>
      </c>
      <c r="L50" s="297">
        <f>L49/(L79+L82)</f>
        <v>0</v>
      </c>
      <c r="M50" s="297">
        <f>M49/(M79+M82)</f>
        <v>0</v>
      </c>
      <c r="N50" s="300">
        <f>N49/(N79+N82)</f>
        <v>0</v>
      </c>
      <c r="O50" s="71"/>
      <c r="P50" s="297">
        <f>P49/(P79+P82)</f>
        <v>0</v>
      </c>
      <c r="Q50" s="297">
        <f>Q49/(Q79+Q82)</f>
        <v>0</v>
      </c>
      <c r="R50" s="297">
        <f>R49/(R79+R82)</f>
        <v>0</v>
      </c>
      <c r="S50" s="297">
        <f>S49/(S79+S82)</f>
        <v>0</v>
      </c>
      <c r="T50" s="300">
        <f>T49/(T79+T82)</f>
        <v>0</v>
      </c>
      <c r="U50" s="49"/>
      <c r="V50" s="297">
        <f>V49/(V79+V82)</f>
        <v>0</v>
      </c>
      <c r="W50" s="297">
        <f>W49/(W79+W82)</f>
        <v>0</v>
      </c>
      <c r="X50" s="297"/>
      <c r="Y50" s="297"/>
      <c r="Z50" s="300">
        <f>Z49/( Z79+Z82)</f>
        <v>0</v>
      </c>
      <c r="AA50" s="71"/>
      <c r="AB50" s="297"/>
      <c r="AC50" s="297"/>
      <c r="AD50" s="297"/>
      <c r="AE50" s="297"/>
      <c r="AF50" s="300">
        <f>AF49/( AF79+AF82)</f>
        <v>0</v>
      </c>
      <c r="AG50" s="71"/>
      <c r="AH50" s="300">
        <f>AH49/( AH79+AH82)</f>
        <v>0</v>
      </c>
      <c r="AI50" s="72"/>
      <c r="AJ50" s="300">
        <f>AJ49/( AJ79+AJ82)</f>
        <v>0</v>
      </c>
      <c r="AL50" s="300">
        <f>AL49/( AL79+AL82)</f>
        <v>0</v>
      </c>
    </row>
    <row r="51" spans="2:40" s="54" customFormat="1" ht="14.25" hidden="1" customHeight="1">
      <c r="B51" s="31"/>
      <c r="C51" s="23"/>
      <c r="D51" s="297"/>
      <c r="E51" s="297"/>
      <c r="F51" s="297"/>
      <c r="G51" s="297"/>
      <c r="H51" s="300"/>
      <c r="I51" s="48"/>
      <c r="J51" s="297"/>
      <c r="K51" s="297"/>
      <c r="L51" s="297"/>
      <c r="M51" s="297"/>
      <c r="N51" s="300"/>
      <c r="O51" s="71"/>
      <c r="P51" s="297"/>
      <c r="Q51" s="297"/>
      <c r="R51" s="297"/>
      <c r="S51" s="297"/>
      <c r="T51" s="300"/>
      <c r="U51" s="49"/>
      <c r="V51" s="297"/>
      <c r="W51" s="297"/>
      <c r="X51" s="50"/>
      <c r="Y51" s="50"/>
      <c r="Z51" s="66"/>
      <c r="AA51" s="71"/>
      <c r="AB51" s="50"/>
      <c r="AC51" s="50"/>
      <c r="AD51" s="50"/>
      <c r="AE51" s="50"/>
      <c r="AF51" s="66"/>
      <c r="AG51" s="71"/>
      <c r="AH51" s="68"/>
      <c r="AI51" s="72"/>
      <c r="AJ51" s="68"/>
    </row>
    <row r="52" spans="2:40" s="54" customFormat="1" ht="14.25" hidden="1" customHeight="1">
      <c r="B52" s="293" t="s">
        <v>552</v>
      </c>
      <c r="C52" s="23"/>
      <c r="D52" s="50">
        <f>IS!P63</f>
        <v>0</v>
      </c>
      <c r="E52" s="50">
        <f>IS!Q63</f>
        <v>0</v>
      </c>
      <c r="F52" s="50">
        <f>IS!R63</f>
        <v>0</v>
      </c>
      <c r="G52" s="50">
        <f>IS!S63</f>
        <v>0</v>
      </c>
      <c r="H52" s="68">
        <f>IS!T63</f>
        <v>0</v>
      </c>
      <c r="I52" s="48"/>
      <c r="J52" s="50">
        <f>IS!V63</f>
        <v>0</v>
      </c>
      <c r="K52" s="50">
        <f>IS!W63</f>
        <v>0</v>
      </c>
      <c r="L52" s="50">
        <f>IS!X63</f>
        <v>0</v>
      </c>
      <c r="M52" s="50">
        <f>IS!Y63</f>
        <v>0</v>
      </c>
      <c r="N52" s="68">
        <f>IS!Z63</f>
        <v>0</v>
      </c>
      <c r="O52" s="71"/>
      <c r="P52" s="50">
        <f>IS!AB63</f>
        <v>0</v>
      </c>
      <c r="Q52" s="50">
        <f>IS!AC63</f>
        <v>0</v>
      </c>
      <c r="R52" s="50">
        <f>IS!AD63</f>
        <v>0</v>
      </c>
      <c r="S52" s="50">
        <f>IS!AE63</f>
        <v>0</v>
      </c>
      <c r="T52" s="68">
        <f>IS!AF63</f>
        <v>0</v>
      </c>
      <c r="U52" s="49"/>
      <c r="V52" s="50">
        <f>IS!AH63</f>
        <v>0</v>
      </c>
      <c r="W52" s="50">
        <f>IS!AI63</f>
        <v>0</v>
      </c>
      <c r="X52" s="46"/>
      <c r="Y52" s="46"/>
      <c r="Z52" s="57">
        <f>SUM(V52:Y52)</f>
        <v>0</v>
      </c>
      <c r="AA52" s="71"/>
      <c r="AB52" s="46"/>
      <c r="AC52" s="46"/>
      <c r="AD52" s="46"/>
      <c r="AE52" s="46"/>
      <c r="AF52" s="57">
        <f>SUM(AB52:AE52)</f>
        <v>0</v>
      </c>
      <c r="AG52" s="71"/>
      <c r="AH52" s="57">
        <f>AH53*AF79</f>
        <v>0</v>
      </c>
      <c r="AI52" s="72"/>
      <c r="AJ52" s="57">
        <f>AJ53*AH79</f>
        <v>0</v>
      </c>
      <c r="AL52" s="57">
        <f>AL53*AJ79</f>
        <v>0</v>
      </c>
    </row>
    <row r="53" spans="2:40" s="54" customFormat="1" ht="14.25" hidden="1" customHeight="1">
      <c r="B53" s="294" t="s">
        <v>553</v>
      </c>
      <c r="C53" s="23"/>
      <c r="D53" s="297">
        <f>D52/D79</f>
        <v>0</v>
      </c>
      <c r="E53" s="297">
        <f>E52/E79</f>
        <v>0</v>
      </c>
      <c r="F53" s="297">
        <f>F52/F79</f>
        <v>0</v>
      </c>
      <c r="G53" s="297">
        <f>G52/G79</f>
        <v>0</v>
      </c>
      <c r="H53" s="300">
        <f>H52/H79</f>
        <v>0</v>
      </c>
      <c r="I53" s="48"/>
      <c r="J53" s="297">
        <f>J52/J79</f>
        <v>0</v>
      </c>
      <c r="K53" s="297">
        <f>K52/K79</f>
        <v>0</v>
      </c>
      <c r="L53" s="297">
        <f>L52/L79</f>
        <v>0</v>
      </c>
      <c r="M53" s="297">
        <f>M52/M79</f>
        <v>0</v>
      </c>
      <c r="N53" s="300">
        <f>N52/N79</f>
        <v>0</v>
      </c>
      <c r="O53" s="71"/>
      <c r="P53" s="297">
        <f>P52/P79</f>
        <v>0</v>
      </c>
      <c r="Q53" s="297">
        <f>Q52/Q79</f>
        <v>0</v>
      </c>
      <c r="R53" s="297">
        <f>R52/R79</f>
        <v>0</v>
      </c>
      <c r="S53" s="297">
        <f>S52/S79</f>
        <v>0</v>
      </c>
      <c r="T53" s="300">
        <f>T52/T79</f>
        <v>0</v>
      </c>
      <c r="U53" s="49"/>
      <c r="V53" s="297">
        <f>V52/V79</f>
        <v>0</v>
      </c>
      <c r="W53" s="297">
        <f>W52/W79</f>
        <v>0</v>
      </c>
      <c r="X53" s="308"/>
      <c r="Y53" s="308"/>
      <c r="Z53" s="298">
        <f>Z52/Z79</f>
        <v>0</v>
      </c>
      <c r="AA53" s="71"/>
      <c r="AB53" s="308"/>
      <c r="AC53" s="308"/>
      <c r="AD53" s="308"/>
      <c r="AE53" s="308"/>
      <c r="AF53" s="298">
        <f>AF52/AF79</f>
        <v>0</v>
      </c>
      <c r="AG53" s="71"/>
      <c r="AH53" s="308"/>
      <c r="AI53" s="72"/>
      <c r="AJ53" s="308"/>
      <c r="AL53" s="308"/>
    </row>
    <row r="54" spans="2:40" s="54" customFormat="1" ht="14.25" hidden="1" customHeight="1">
      <c r="B54" s="31"/>
      <c r="C54" s="23"/>
      <c r="D54" s="297"/>
      <c r="E54" s="297"/>
      <c r="F54" s="297"/>
      <c r="G54" s="297"/>
      <c r="H54" s="300"/>
      <c r="I54" s="48"/>
      <c r="J54" s="297"/>
      <c r="K54" s="297"/>
      <c r="L54" s="297"/>
      <c r="M54" s="297"/>
      <c r="N54" s="300"/>
      <c r="O54" s="71"/>
      <c r="P54" s="297"/>
      <c r="Q54" s="297"/>
      <c r="R54" s="297"/>
      <c r="S54" s="297"/>
      <c r="T54" s="300"/>
      <c r="U54" s="49"/>
      <c r="V54" s="297"/>
      <c r="W54" s="297"/>
      <c r="X54" s="50"/>
      <c r="Y54" s="50"/>
      <c r="Z54" s="66"/>
      <c r="AA54" s="71"/>
      <c r="AB54" s="50"/>
      <c r="AC54" s="50"/>
      <c r="AD54" s="50"/>
      <c r="AE54" s="50"/>
      <c r="AF54" s="66"/>
      <c r="AG54" s="71"/>
      <c r="AH54" s="68"/>
      <c r="AI54" s="72"/>
      <c r="AJ54" s="68"/>
    </row>
    <row r="55" spans="2:40" s="54" customFormat="1" ht="14.25" hidden="1" customHeight="1">
      <c r="B55" s="293" t="s">
        <v>554</v>
      </c>
      <c r="C55" s="23"/>
      <c r="D55" s="50">
        <f>IS!P64</f>
        <v>0</v>
      </c>
      <c r="E55" s="50">
        <f>IS!Q64</f>
        <v>0</v>
      </c>
      <c r="F55" s="50">
        <f>IS!R64</f>
        <v>0</v>
      </c>
      <c r="G55" s="50">
        <f>IS!S64</f>
        <v>0</v>
      </c>
      <c r="H55" s="68">
        <f>IS!T64</f>
        <v>0</v>
      </c>
      <c r="I55" s="48"/>
      <c r="J55" s="50">
        <f>IS!V64</f>
        <v>0</v>
      </c>
      <c r="K55" s="50">
        <f>IS!W64</f>
        <v>0</v>
      </c>
      <c r="L55" s="50">
        <f>IS!X64</f>
        <v>0</v>
      </c>
      <c r="M55" s="50">
        <f>IS!Y64</f>
        <v>0</v>
      </c>
      <c r="N55" s="68">
        <f>IS!Z64</f>
        <v>0</v>
      </c>
      <c r="O55" s="71"/>
      <c r="P55" s="50">
        <f>IS!AB64</f>
        <v>0</v>
      </c>
      <c r="Q55" s="50">
        <f>IS!AC64</f>
        <v>0</v>
      </c>
      <c r="R55" s="50">
        <f>IS!AD64</f>
        <v>0</v>
      </c>
      <c r="S55" s="50">
        <f>IS!AE64</f>
        <v>0</v>
      </c>
      <c r="T55" s="68">
        <f>IS!AF64</f>
        <v>0</v>
      </c>
      <c r="U55" s="49"/>
      <c r="V55" s="50">
        <f>IS!AH64</f>
        <v>0</v>
      </c>
      <c r="W55" s="50">
        <f>IS!AI64</f>
        <v>0</v>
      </c>
      <c r="X55" s="46"/>
      <c r="Y55" s="46"/>
      <c r="Z55" s="57">
        <f>SUM(V55:Y55)</f>
        <v>0</v>
      </c>
      <c r="AA55" s="71"/>
      <c r="AB55" s="46"/>
      <c r="AC55" s="46"/>
      <c r="AD55" s="46"/>
      <c r="AE55" s="46"/>
      <c r="AF55" s="57">
        <f>SUM(AB55:AE55)</f>
        <v>0</v>
      </c>
      <c r="AG55" s="71"/>
      <c r="AH55" s="57">
        <f>AH56*AF82</f>
        <v>0</v>
      </c>
      <c r="AI55" s="72"/>
      <c r="AJ55" s="57">
        <f>AJ56*AH82</f>
        <v>0</v>
      </c>
      <c r="AL55" s="57">
        <f>AL56*AJ82</f>
        <v>0</v>
      </c>
    </row>
    <row r="56" spans="2:40" s="54" customFormat="1" ht="14.25" hidden="1" customHeight="1">
      <c r="B56" s="294" t="s">
        <v>555</v>
      </c>
      <c r="C56" s="23"/>
      <c r="D56" s="297">
        <f>D55/D82</f>
        <v>0</v>
      </c>
      <c r="E56" s="297">
        <f>E55/E82</f>
        <v>0</v>
      </c>
      <c r="F56" s="297">
        <f>F55/F82</f>
        <v>0</v>
      </c>
      <c r="G56" s="297">
        <f>G55/G82</f>
        <v>0</v>
      </c>
      <c r="H56" s="300">
        <f>H55/H82</f>
        <v>0</v>
      </c>
      <c r="I56" s="48"/>
      <c r="J56" s="297">
        <f>J55/J82</f>
        <v>0</v>
      </c>
      <c r="K56" s="297">
        <f>K55/K82</f>
        <v>0</v>
      </c>
      <c r="L56" s="297">
        <f>L55/L82</f>
        <v>0</v>
      </c>
      <c r="M56" s="297">
        <f>M55/M82</f>
        <v>0</v>
      </c>
      <c r="N56" s="300">
        <f>N55/N82</f>
        <v>0</v>
      </c>
      <c r="O56" s="71"/>
      <c r="P56" s="297">
        <f>P55/P82</f>
        <v>0</v>
      </c>
      <c r="Q56" s="297">
        <f>Q55/Q82</f>
        <v>0</v>
      </c>
      <c r="R56" s="297">
        <f>R55/R82</f>
        <v>0</v>
      </c>
      <c r="S56" s="297">
        <f>S55/S82</f>
        <v>0</v>
      </c>
      <c r="T56" s="300">
        <f>T55/T82</f>
        <v>0</v>
      </c>
      <c r="U56" s="49"/>
      <c r="V56" s="297">
        <f>V55/V82</f>
        <v>0</v>
      </c>
      <c r="W56" s="297">
        <f>W55/W82</f>
        <v>0</v>
      </c>
      <c r="X56" s="308"/>
      <c r="Y56" s="308"/>
      <c r="Z56" s="298">
        <f>Z55/Z82</f>
        <v>0</v>
      </c>
      <c r="AA56" s="71"/>
      <c r="AB56" s="308"/>
      <c r="AC56" s="308"/>
      <c r="AD56" s="308"/>
      <c r="AE56" s="308"/>
      <c r="AF56" s="298">
        <f>AF55/AF82</f>
        <v>0</v>
      </c>
      <c r="AG56" s="71"/>
      <c r="AH56" s="308"/>
      <c r="AI56" s="72"/>
      <c r="AJ56" s="308"/>
      <c r="AL56" s="308"/>
    </row>
    <row r="57" spans="2:40" s="54" customFormat="1" ht="14.25" hidden="1" customHeight="1">
      <c r="B57" s="31"/>
      <c r="C57" s="23"/>
      <c r="D57" s="46"/>
      <c r="E57" s="46"/>
      <c r="F57" s="46"/>
      <c r="G57" s="46"/>
      <c r="H57" s="66"/>
      <c r="I57" s="48"/>
      <c r="J57" s="46"/>
      <c r="K57" s="46"/>
      <c r="L57" s="46"/>
      <c r="M57" s="46"/>
      <c r="N57" s="66"/>
      <c r="O57" s="71"/>
      <c r="P57" s="46"/>
      <c r="Q57" s="46"/>
      <c r="R57" s="46"/>
      <c r="S57" s="46"/>
      <c r="T57" s="66"/>
      <c r="U57" s="49"/>
      <c r="V57" s="46"/>
      <c r="W57" s="46"/>
      <c r="X57" s="50"/>
      <c r="Y57" s="50"/>
      <c r="Z57" s="66"/>
      <c r="AA57" s="71"/>
      <c r="AB57" s="50"/>
      <c r="AC57" s="50"/>
      <c r="AD57" s="50"/>
      <c r="AE57" s="50"/>
      <c r="AF57" s="66"/>
      <c r="AG57" s="71"/>
      <c r="AH57" s="68"/>
      <c r="AI57" s="72"/>
      <c r="AJ57" s="68"/>
    </row>
    <row r="58" spans="2:40" s="54" customFormat="1" ht="14.25" customHeight="1">
      <c r="B58" s="810" t="s">
        <v>556</v>
      </c>
      <c r="C58" s="23"/>
      <c r="D58" s="50">
        <f>IS!P29+IS!P31</f>
        <v>402</v>
      </c>
      <c r="E58" s="50">
        <f>IS!Q29+IS!Q31</f>
        <v>418</v>
      </c>
      <c r="F58" s="50">
        <f>IS!R29+IS!R31</f>
        <v>-469</v>
      </c>
      <c r="G58" s="50">
        <f>IS!S29+IS!S31</f>
        <v>437</v>
      </c>
      <c r="H58" s="68">
        <f>IS!T29+IS!T31</f>
        <v>1548</v>
      </c>
      <c r="I58" s="48"/>
      <c r="J58" s="50">
        <f>IS!V29+IS!V31</f>
        <v>-406</v>
      </c>
      <c r="K58" s="50">
        <f>IS!W29+IS!W31</f>
        <v>-371</v>
      </c>
      <c r="L58" s="50">
        <f>IS!X29+IS!X31</f>
        <v>6</v>
      </c>
      <c r="M58" s="50">
        <f>IS!Y29+IS!Y31</f>
        <v>325</v>
      </c>
      <c r="N58" s="68">
        <f>IS!Z29+IS!Z31</f>
        <v>1540</v>
      </c>
      <c r="O58" s="71"/>
      <c r="P58" s="50">
        <f>IS!AB29+IS!AB31</f>
        <v>-424</v>
      </c>
      <c r="Q58" s="50">
        <f>IS!AC29+IS!AC31</f>
        <v>-301</v>
      </c>
      <c r="R58" s="50">
        <f>IS!AD29+IS!AD31</f>
        <v>-429</v>
      </c>
      <c r="S58" s="50">
        <f>IS!AE29+IS!AE31</f>
        <v>-412</v>
      </c>
      <c r="T58" s="68">
        <f>IS!AF29+IS!AF31</f>
        <v>-1794</v>
      </c>
      <c r="U58" s="49"/>
      <c r="V58" s="50">
        <f>IS!AH29+IS!AH31</f>
        <v>-428</v>
      </c>
      <c r="W58" s="50">
        <f>IS!AI29+IS!AI31</f>
        <v>-299</v>
      </c>
      <c r="X58" s="46"/>
      <c r="Y58" s="46"/>
      <c r="Z58" s="766">
        <f>Z31*Z59</f>
        <v>1107.7761380750278</v>
      </c>
      <c r="AA58" s="71"/>
      <c r="AB58" s="46"/>
      <c r="AC58" s="46"/>
      <c r="AD58" s="46"/>
      <c r="AE58" s="46"/>
      <c r="AF58" s="57">
        <f>AF31*AF59</f>
        <v>1613.7654852453645</v>
      </c>
      <c r="AG58" s="71"/>
      <c r="AH58" s="57">
        <f>AH59*AH$31</f>
        <v>1744.5273227150269</v>
      </c>
      <c r="AI58" s="72"/>
      <c r="AJ58" s="57">
        <f>AJ59*AJ$31</f>
        <v>1850.2322512291707</v>
      </c>
      <c r="AL58" s="57">
        <f>AL59*AL$31</f>
        <v>1886.3357803889662</v>
      </c>
    </row>
    <row r="59" spans="2:40" s="54" customFormat="1" ht="14.25" customHeight="1">
      <c r="B59" s="31" t="s">
        <v>543</v>
      </c>
      <c r="C59" s="21"/>
      <c r="D59" s="297">
        <f>D58/D31</f>
        <v>2.6864474739374498E-2</v>
      </c>
      <c r="E59" s="297">
        <f>E58/E31</f>
        <v>2.7062022530104882E-2</v>
      </c>
      <c r="F59" s="297">
        <f>F58/F31</f>
        <v>-2.8281975517095822E-2</v>
      </c>
      <c r="G59" s="297">
        <f>G58/G31</f>
        <v>2.301089989995261E-2</v>
      </c>
      <c r="H59" s="300">
        <f>H58/H31</f>
        <v>2.346023278370514E-2</v>
      </c>
      <c r="I59" s="48"/>
      <c r="J59" s="297">
        <f>J58/J31</f>
        <v>-2.6841200581779717E-2</v>
      </c>
      <c r="K59" s="297">
        <f>K58/K31</f>
        <v>-2.2224884682202121E-2</v>
      </c>
      <c r="L59" s="297">
        <f>L58/L31</f>
        <v>3.5549235691432633E-4</v>
      </c>
      <c r="M59" s="297">
        <f>M58/M31</f>
        <v>1.7219455335382008E-2</v>
      </c>
      <c r="N59" s="300">
        <f>N58/N31</f>
        <v>2.279084222521496E-2</v>
      </c>
      <c r="O59" s="86"/>
      <c r="P59" s="297">
        <f>P58/P31</f>
        <v>-2.46583309101483E-2</v>
      </c>
      <c r="Q59" s="297">
        <f>Q58/Q31</f>
        <v>-1.6609645734466393E-2</v>
      </c>
      <c r="R59" s="297">
        <f>R58/R31</f>
        <v>-2.5081852198316185E-2</v>
      </c>
      <c r="S59" s="297">
        <f>S58/S31</f>
        <v>-2.2124369025883363E-2</v>
      </c>
      <c r="T59" s="300">
        <f>T58/T31</f>
        <v>-2.5252311980068408E-2</v>
      </c>
      <c r="U59" s="82"/>
      <c r="V59" s="297">
        <f>V58/V31</f>
        <v>-2.3826754996381452E-2</v>
      </c>
      <c r="W59" s="297">
        <f>W58/W31</f>
        <v>-1.6469292206003856E-2</v>
      </c>
      <c r="X59" s="308"/>
      <c r="Y59" s="308"/>
      <c r="Z59" s="298">
        <f>0.015</f>
        <v>1.4999999999999999E-2</v>
      </c>
      <c r="AA59" s="298"/>
      <c r="AB59" s="298"/>
      <c r="AC59" s="298"/>
      <c r="AD59" s="298"/>
      <c r="AE59" s="298"/>
      <c r="AF59" s="298">
        <f>0.02</f>
        <v>0.02</v>
      </c>
      <c r="AG59" s="298"/>
      <c r="AH59" s="298">
        <f>0.02</f>
        <v>0.02</v>
      </c>
      <c r="AI59" s="298">
        <f t="shared" ref="AI59:AK59" si="30">AVERAGE(AC59,W59,Q59)</f>
        <v>-1.6539468970235123E-2</v>
      </c>
      <c r="AJ59" s="298">
        <f>0.02</f>
        <v>0.02</v>
      </c>
      <c r="AK59" s="298">
        <f t="shared" si="30"/>
        <v>-2.2124369025883363E-2</v>
      </c>
      <c r="AL59" s="298">
        <f>AVERAGE(AJ59,AH59,AF59)</f>
        <v>0.02</v>
      </c>
    </row>
    <row r="60" spans="2:40" s="54" customFormat="1" ht="14.25" customHeight="1">
      <c r="B60" s="39"/>
      <c r="C60" s="23"/>
      <c r="D60" s="46"/>
      <c r="E60" s="46"/>
      <c r="F60" s="46"/>
      <c r="G60" s="46"/>
      <c r="H60" s="66"/>
      <c r="I60" s="48"/>
      <c r="J60" s="46"/>
      <c r="K60" s="46"/>
      <c r="L60" s="46"/>
      <c r="M60" s="46"/>
      <c r="N60" s="66"/>
      <c r="O60" s="71"/>
      <c r="P60" s="46"/>
      <c r="Q60" s="46"/>
      <c r="R60" s="46"/>
      <c r="S60" s="46"/>
      <c r="T60" s="66"/>
      <c r="U60" s="49"/>
      <c r="V60" s="46"/>
      <c r="W60" s="46"/>
      <c r="X60" s="50"/>
      <c r="Y60" s="50"/>
      <c r="Z60" s="66"/>
      <c r="AA60" s="71"/>
      <c r="AB60" s="50"/>
      <c r="AC60" s="50"/>
      <c r="AD60" s="50"/>
      <c r="AE60" s="50"/>
      <c r="AF60" s="66"/>
      <c r="AG60" s="71"/>
      <c r="AH60" s="68"/>
      <c r="AI60" s="72"/>
      <c r="AJ60" s="68"/>
    </row>
    <row r="61" spans="2:40" s="54" customFormat="1" ht="14.25" customHeight="1">
      <c r="B61" s="28" t="s">
        <v>557</v>
      </c>
      <c r="C61" s="23"/>
      <c r="D61" s="50">
        <f>IS!P32</f>
        <v>1507</v>
      </c>
      <c r="E61" s="50">
        <f>IS!Q32</f>
        <v>1538</v>
      </c>
      <c r="F61" s="50">
        <f>IS!R32</f>
        <v>2589</v>
      </c>
      <c r="G61" s="50">
        <f>IS!S32</f>
        <v>1865</v>
      </c>
      <c r="H61" s="68">
        <f>IS!T32</f>
        <v>6739</v>
      </c>
      <c r="I61" s="48"/>
      <c r="J61" s="50">
        <f>IS!V32</f>
        <v>2452</v>
      </c>
      <c r="K61" s="50">
        <f>IS!W32</f>
        <v>2551</v>
      </c>
      <c r="L61" s="50">
        <f>IS!X32</f>
        <v>2042</v>
      </c>
      <c r="M61" s="50">
        <f>IS!Y32</f>
        <v>1970</v>
      </c>
      <c r="N61" s="68">
        <f>IS!Z32</f>
        <v>6939</v>
      </c>
      <c r="O61" s="71"/>
      <c r="P61" s="50">
        <f>IS!AB32</f>
        <v>2417</v>
      </c>
      <c r="Q61" s="50">
        <f>IS!AC32</f>
        <v>2554</v>
      </c>
      <c r="R61" s="50">
        <f>IS!AD32</f>
        <v>2546</v>
      </c>
      <c r="S61" s="50">
        <f>IS!AE32</f>
        <v>1102</v>
      </c>
      <c r="T61" s="68">
        <f>IS!AF32</f>
        <v>8724</v>
      </c>
      <c r="U61" s="49"/>
      <c r="V61" s="50">
        <f>IS!AH32</f>
        <v>2751</v>
      </c>
      <c r="W61" s="50">
        <f>IS!AI32</f>
        <v>1127</v>
      </c>
      <c r="X61" s="46"/>
      <c r="Y61" s="46"/>
      <c r="Z61" s="66">
        <f>Z31*0.109</f>
        <v>8049.8399366785361</v>
      </c>
      <c r="AA61" s="71"/>
      <c r="AB61" s="46"/>
      <c r="AC61" s="46"/>
      <c r="AD61" s="46"/>
      <c r="AE61" s="46"/>
      <c r="AF61" s="66">
        <f>AF31*0.112</f>
        <v>9037.0867173740407</v>
      </c>
      <c r="AG61" s="71"/>
      <c r="AH61" s="54">
        <f>AH31*0.115</f>
        <v>10031.032105611406</v>
      </c>
      <c r="AI61" s="72"/>
      <c r="AJ61" s="54">
        <f>AJ31*0.112</f>
        <v>10361.300606883357</v>
      </c>
      <c r="AL61" s="54">
        <f>AL31*0.113</f>
        <v>10657.797159197658</v>
      </c>
    </row>
    <row r="62" spans="2:40" s="54" customFormat="1" ht="14.25" customHeight="1">
      <c r="B62" s="31" t="s">
        <v>543</v>
      </c>
      <c r="C62" s="23"/>
      <c r="D62" s="297">
        <f>D61/D31</f>
        <v>0.10070836674685912</v>
      </c>
      <c r="E62" s="297">
        <f>E61/E31</f>
        <v>9.9572704907419401E-2</v>
      </c>
      <c r="F62" s="297">
        <f>F61/F31</f>
        <v>0.15612374118072725</v>
      </c>
      <c r="G62" s="297">
        <f>G61/G31</f>
        <v>9.8204412616502548E-2</v>
      </c>
      <c r="H62" s="300">
        <f>H61/H31</f>
        <v>0.10213081959262851</v>
      </c>
      <c r="I62" s="48"/>
      <c r="J62" s="297">
        <f>J61/J31</f>
        <v>0.16210498479439375</v>
      </c>
      <c r="K62" s="297">
        <f>K61/K31</f>
        <v>0.15281854669621997</v>
      </c>
      <c r="L62" s="297">
        <f>L61/L31</f>
        <v>0.12098589880317573</v>
      </c>
      <c r="M62" s="297">
        <f>M61/M31</f>
        <v>0.1043763908021617</v>
      </c>
      <c r="N62" s="300">
        <f>N61/N31</f>
        <v>0.10269198324725104</v>
      </c>
      <c r="O62" s="71"/>
      <c r="P62" s="297">
        <f>P61/P31</f>
        <v>0.14056411747601047</v>
      </c>
      <c r="Q62" s="297">
        <f>Q61/Q31</f>
        <v>0.14093367178015673</v>
      </c>
      <c r="R62" s="297">
        <f>R61/R31</f>
        <v>0.14885406922357344</v>
      </c>
      <c r="S62" s="297">
        <f>S61/S31</f>
        <v>5.917731715175599E-2</v>
      </c>
      <c r="T62" s="300">
        <f>T61/T31</f>
        <v>0.12279886829103501</v>
      </c>
      <c r="U62" s="49"/>
      <c r="V62" s="297">
        <f>V61/V31</f>
        <v>0.15314813783889106</v>
      </c>
      <c r="W62" s="297">
        <f>W61/W31</f>
        <v>6.2076562930322224E-2</v>
      </c>
      <c r="X62" s="299"/>
      <c r="Y62" s="299"/>
      <c r="Z62" s="298">
        <f>AVERAGE(T62,N62,H62)</f>
        <v>0.10920722371030485</v>
      </c>
      <c r="AA62" s="71"/>
      <c r="AB62" s="299"/>
      <c r="AC62" s="299"/>
      <c r="AD62" s="299"/>
      <c r="AE62" s="299"/>
      <c r="AF62" s="298">
        <f>AVERAGE(Z62,T62,N62)</f>
        <v>0.11156602508286363</v>
      </c>
      <c r="AG62" s="71"/>
      <c r="AH62" s="298">
        <f>AVERAGE(AF62,Z62,T62)</f>
        <v>0.11452403902806783</v>
      </c>
      <c r="AI62" s="72"/>
      <c r="AJ62" s="298">
        <f>AVERAGE(AH62,AF62,Z62)</f>
        <v>0.11176576260707877</v>
      </c>
      <c r="AL62" s="298">
        <f>AVERAGE(AJ62,AH62,AF62)</f>
        <v>0.11261860890600341</v>
      </c>
    </row>
    <row r="63" spans="2:40" s="54" customFormat="1" ht="14.25" customHeight="1">
      <c r="B63" s="31"/>
      <c r="C63" s="23"/>
      <c r="D63" s="46"/>
      <c r="E63" s="46"/>
      <c r="F63" s="46"/>
      <c r="G63" s="46"/>
      <c r="H63" s="66"/>
      <c r="I63" s="48"/>
      <c r="J63" s="46"/>
      <c r="K63" s="46"/>
      <c r="L63" s="46"/>
      <c r="M63" s="46"/>
      <c r="N63" s="66"/>
      <c r="O63" s="71"/>
      <c r="P63" s="46"/>
      <c r="Q63" s="46"/>
      <c r="R63" s="46"/>
      <c r="S63" s="46"/>
      <c r="T63" s="66"/>
      <c r="U63" s="49"/>
      <c r="V63" s="46"/>
      <c r="W63" s="46"/>
      <c r="X63" s="50"/>
      <c r="Y63" s="50"/>
      <c r="Z63" s="66"/>
      <c r="AA63" s="71"/>
      <c r="AB63" s="50"/>
      <c r="AC63" s="50"/>
      <c r="AD63" s="50"/>
      <c r="AE63" s="50"/>
      <c r="AF63" s="66"/>
      <c r="AG63" s="71"/>
      <c r="AH63" s="68"/>
      <c r="AI63" s="72"/>
      <c r="AJ63" s="68"/>
    </row>
    <row r="64" spans="2:40" s="54" customFormat="1" ht="14.25" customHeight="1">
      <c r="B64" s="741" t="s">
        <v>558</v>
      </c>
      <c r="C64" s="23"/>
      <c r="D64" s="312">
        <f>IS!P58</f>
        <v>268.3</v>
      </c>
      <c r="E64" s="312">
        <f>IS!Q58</f>
        <v>265.8</v>
      </c>
      <c r="F64" s="312">
        <f>IS!R58</f>
        <v>264.10000000000002</v>
      </c>
      <c r="G64" s="312">
        <f>IS!S58</f>
        <v>257.10000000000002</v>
      </c>
      <c r="H64" s="322">
        <f>IS!T58</f>
        <v>263.7</v>
      </c>
      <c r="I64" s="323"/>
      <c r="J64" s="312">
        <f>IS!V58</f>
        <v>254.7</v>
      </c>
      <c r="K64" s="312">
        <f>IS!W58</f>
        <v>252.8</v>
      </c>
      <c r="L64" s="312">
        <f>IS!X58</f>
        <v>249.3</v>
      </c>
      <c r="M64" s="312">
        <f>IS!Y58</f>
        <v>245.2</v>
      </c>
      <c r="N64" s="322">
        <f>IS!Z58</f>
        <v>250.3</v>
      </c>
      <c r="O64" s="326"/>
      <c r="P64" s="312">
        <f>IS!AB58</f>
        <v>240.7</v>
      </c>
      <c r="Q64" s="312">
        <f>IS!AC58</f>
        <v>238.9</v>
      </c>
      <c r="R64" s="312">
        <f>IS!AD58</f>
        <v>237.5</v>
      </c>
      <c r="S64" s="312">
        <f>IS!AE58</f>
        <v>236</v>
      </c>
      <c r="T64" s="322">
        <f>IS!AF58</f>
        <v>238.3</v>
      </c>
      <c r="U64" s="327"/>
      <c r="V64" s="312">
        <f>IS!AH58</f>
        <v>234.4</v>
      </c>
      <c r="W64" s="312">
        <f>IS!AI58</f>
        <v>233.5</v>
      </c>
      <c r="X64" s="312"/>
      <c r="Y64" s="312"/>
      <c r="Z64" s="322">
        <f>T64-T64* 0.02</f>
        <v>233.53400000000002</v>
      </c>
      <c r="AA64" s="322"/>
      <c r="AB64" s="322"/>
      <c r="AC64" s="322"/>
      <c r="AD64" s="322"/>
      <c r="AE64" s="322"/>
      <c r="AF64" s="322">
        <f>Z64-Z64* 0.018</f>
        <v>229.33038800000003</v>
      </c>
      <c r="AG64" s="322"/>
      <c r="AH64" s="322">
        <f>AF64-AF64* 0.017</f>
        <v>225.43177140400002</v>
      </c>
      <c r="AI64" s="322"/>
      <c r="AJ64" s="322">
        <f>AH64-AH64*0.016</f>
        <v>221.82486306153601</v>
      </c>
      <c r="AK64" s="322"/>
      <c r="AL64" s="322">
        <f>AJ64-AJ64* 0.017</f>
        <v>218.05384038948989</v>
      </c>
      <c r="AN64" s="767" t="s">
        <v>559</v>
      </c>
    </row>
    <row r="65" spans="2:91" s="54" customFormat="1" ht="14.25" customHeight="1">
      <c r="B65" s="741" t="s">
        <v>560</v>
      </c>
      <c r="C65" s="23"/>
      <c r="D65" s="312">
        <f>IS!P59</f>
        <v>269.2</v>
      </c>
      <c r="E65" s="312">
        <f>IS!Q59</f>
        <v>266.7</v>
      </c>
      <c r="F65" s="312">
        <f>IS!R59</f>
        <v>265.10000000000002</v>
      </c>
      <c r="G65" s="312">
        <f>IS!S59</f>
        <v>258.3</v>
      </c>
      <c r="H65" s="322">
        <f>IS!T59</f>
        <v>264.60000000000002</v>
      </c>
      <c r="I65" s="323"/>
      <c r="J65" s="312">
        <f>IS!V59</f>
        <v>255.7</v>
      </c>
      <c r="K65" s="312">
        <f>IS!W59</f>
        <v>253.6</v>
      </c>
      <c r="L65" s="312">
        <f>IS!X59</f>
        <v>250.2</v>
      </c>
      <c r="M65" s="312">
        <f>IS!Y59</f>
        <v>246.1</v>
      </c>
      <c r="N65" s="322">
        <f>IS!Z59</f>
        <v>251.2</v>
      </c>
      <c r="O65" s="326"/>
      <c r="P65" s="312">
        <f>IS!AB59</f>
        <v>241.6</v>
      </c>
      <c r="Q65" s="312">
        <f>IS!AC59</f>
        <v>239.6</v>
      </c>
      <c r="R65" s="312">
        <f>IS!AD59</f>
        <v>238.6</v>
      </c>
      <c r="S65" s="312">
        <f>IS!AE59</f>
        <v>237</v>
      </c>
      <c r="T65" s="322">
        <f>IS!AF59</f>
        <v>239.2</v>
      </c>
      <c r="U65" s="327"/>
      <c r="V65" s="312">
        <f>IS!AH59</f>
        <v>235.3</v>
      </c>
      <c r="W65" s="312">
        <f>IS!AI59</f>
        <v>234.3</v>
      </c>
      <c r="X65" s="312"/>
      <c r="Y65" s="312"/>
      <c r="Z65" s="322">
        <f>T65-T65* 0.0045</f>
        <v>238.12359999999998</v>
      </c>
      <c r="AA65" s="71"/>
      <c r="AB65" s="312"/>
      <c r="AC65" s="312"/>
      <c r="AD65" s="312"/>
      <c r="AE65" s="312"/>
      <c r="AF65" s="322">
        <f>Z65-Z65* 0.0047</f>
        <v>237.00441907999999</v>
      </c>
      <c r="AG65" s="71"/>
      <c r="AH65" s="322">
        <f>AF65-AF65* 0.0049</f>
        <v>235.843097426508</v>
      </c>
      <c r="AI65" s="72"/>
      <c r="AJ65" s="322">
        <f>AH65-AH65* 0.005</f>
        <v>234.66388193937544</v>
      </c>
      <c r="AL65" s="322">
        <f>AJ65-AJ65* 0.0046</f>
        <v>233.58442808245431</v>
      </c>
      <c r="AN65" s="748" t="s">
        <v>561</v>
      </c>
    </row>
    <row r="66" spans="2:91" ht="14.25" customHeight="1">
      <c r="U66" s="203"/>
    </row>
    <row r="67" spans="2:91" s="55" customFormat="1" ht="14.25" customHeight="1">
      <c r="B67" s="161" t="s">
        <v>562</v>
      </c>
      <c r="C67" s="32"/>
      <c r="D67" s="351" t="s">
        <v>563</v>
      </c>
      <c r="E67" s="351" t="s">
        <v>564</v>
      </c>
      <c r="F67" s="351" t="s">
        <v>565</v>
      </c>
      <c r="G67" s="351" t="s">
        <v>566</v>
      </c>
      <c r="H67" s="351" t="s">
        <v>567</v>
      </c>
      <c r="I67" s="37"/>
      <c r="J67" s="351" t="s">
        <v>568</v>
      </c>
      <c r="K67" s="351" t="s">
        <v>569</v>
      </c>
      <c r="L67" s="351" t="s">
        <v>570</v>
      </c>
      <c r="M67" s="351" t="s">
        <v>571</v>
      </c>
      <c r="N67" s="351" t="s">
        <v>572</v>
      </c>
      <c r="O67" s="37"/>
      <c r="P67" s="351" t="s">
        <v>573</v>
      </c>
      <c r="Q67" s="351" t="s">
        <v>574</v>
      </c>
      <c r="R67" s="351" t="s">
        <v>575</v>
      </c>
      <c r="S67" s="351" t="s">
        <v>576</v>
      </c>
      <c r="T67" s="351" t="s">
        <v>577</v>
      </c>
      <c r="U67" s="37"/>
      <c r="V67" s="351" t="s">
        <v>578</v>
      </c>
      <c r="W67" s="351" t="s">
        <v>579</v>
      </c>
      <c r="X67" s="351" t="s">
        <v>580</v>
      </c>
      <c r="Y67" s="351" t="s">
        <v>581</v>
      </c>
      <c r="Z67" s="351" t="s">
        <v>582</v>
      </c>
      <c r="AA67" s="37"/>
      <c r="AB67" s="351" t="s">
        <v>583</v>
      </c>
      <c r="AC67" s="351" t="s">
        <v>584</v>
      </c>
      <c r="AD67" s="351" t="s">
        <v>585</v>
      </c>
      <c r="AE67" s="351" t="s">
        <v>586</v>
      </c>
      <c r="AF67" s="351" t="s">
        <v>587</v>
      </c>
      <c r="AG67" s="37"/>
      <c r="AH67" s="351" t="s">
        <v>588</v>
      </c>
      <c r="AI67" s="37"/>
      <c r="AJ67" s="351" t="s">
        <v>589</v>
      </c>
      <c r="AK67" s="351"/>
      <c r="AL67" s="351" t="s">
        <v>590</v>
      </c>
    </row>
    <row r="68" spans="2:91" ht="3.95" customHeight="1">
      <c r="B68" s="282"/>
      <c r="C68" s="36"/>
      <c r="D68" s="282"/>
      <c r="E68" s="282"/>
      <c r="F68" s="282"/>
      <c r="G68" s="282"/>
      <c r="H68" s="282"/>
      <c r="I68" s="36"/>
      <c r="J68" s="282"/>
      <c r="K68" s="282"/>
      <c r="L68" s="282"/>
      <c r="M68" s="282"/>
      <c r="N68" s="282"/>
      <c r="O68" s="36"/>
      <c r="P68" s="282"/>
      <c r="Q68" s="282"/>
      <c r="R68" s="282"/>
      <c r="S68" s="282"/>
      <c r="T68" s="282"/>
      <c r="U68" s="36"/>
      <c r="V68" s="282"/>
      <c r="W68" s="282"/>
      <c r="X68" s="282"/>
      <c r="Y68" s="282"/>
      <c r="Z68" s="282"/>
      <c r="AA68" s="36"/>
      <c r="AB68" s="282"/>
      <c r="AC68" s="282"/>
      <c r="AD68" s="282"/>
      <c r="AE68" s="282"/>
      <c r="AF68" s="282"/>
      <c r="AG68" s="36"/>
      <c r="AH68" s="282"/>
      <c r="AI68" s="36"/>
      <c r="AJ68" s="283"/>
      <c r="AK68" s="282"/>
      <c r="AL68" s="282"/>
    </row>
    <row r="69" spans="2:91" ht="3.95" customHeight="1">
      <c r="U69" s="203"/>
    </row>
    <row r="70" spans="2:91" ht="14.25" customHeight="1">
      <c r="B70" s="28" t="s">
        <v>591</v>
      </c>
      <c r="D70" s="50">
        <f>BS!P18</f>
        <v>2527</v>
      </c>
      <c r="E70" s="50">
        <f>BS!Q18</f>
        <v>3401</v>
      </c>
      <c r="F70" s="50">
        <f>BS!R18</f>
        <v>2484</v>
      </c>
      <c r="G70" s="50">
        <f>BS!S18</f>
        <v>2505</v>
      </c>
      <c r="H70" s="68">
        <f>BS!T18</f>
        <v>2505</v>
      </c>
      <c r="J70" s="50">
        <f>BS!V18</f>
        <v>2583</v>
      </c>
      <c r="K70" s="50">
        <f>BS!W18</f>
        <v>3427</v>
      </c>
      <c r="L70" s="50">
        <f>BS!X18</f>
        <v>2405</v>
      </c>
      <c r="M70" s="50">
        <f>BS!Y18</f>
        <v>2132</v>
      </c>
      <c r="N70" s="68">
        <f>BS!Z18</f>
        <v>2132</v>
      </c>
      <c r="P70" s="50">
        <f>BS!AB18</f>
        <v>2257</v>
      </c>
      <c r="Q70" s="50">
        <f>BS!AC18</f>
        <v>2930</v>
      </c>
      <c r="R70" s="50">
        <f>BS!AD18</f>
        <v>2141</v>
      </c>
      <c r="S70" s="50">
        <f>BS!AE18</f>
        <v>2351</v>
      </c>
      <c r="T70" s="68">
        <f>BS!AF18</f>
        <v>2351</v>
      </c>
      <c r="U70" s="203"/>
      <c r="V70" s="50">
        <f>BS!AH18</f>
        <v>2024</v>
      </c>
      <c r="W70" s="50">
        <f>BS!AI18</f>
        <v>3306</v>
      </c>
      <c r="X70" s="46"/>
      <c r="Y70" s="46"/>
      <c r="Z70" s="304">
        <f>T70*1.04</f>
        <v>2445.04</v>
      </c>
      <c r="AB70" s="46"/>
      <c r="AC70" s="46"/>
      <c r="AD70" s="46"/>
      <c r="AE70" s="46"/>
      <c r="AF70" s="304">
        <f>Z70*1.04</f>
        <v>2542.8416000000002</v>
      </c>
      <c r="AH70" s="304">
        <f>AF70*1.035</f>
        <v>2631.8410560000002</v>
      </c>
      <c r="AJ70" s="304">
        <f>AH70*1.045</f>
        <v>2750.2739035200002</v>
      </c>
      <c r="AL70" s="304">
        <f>AJ70*1.03</f>
        <v>2832.7821206256003</v>
      </c>
      <c r="AR70" s="54"/>
      <c r="AS70" s="54"/>
      <c r="AT70" s="54"/>
      <c r="AU70" s="54"/>
      <c r="AV70" s="54"/>
      <c r="AW70" s="54"/>
      <c r="AX70" s="54"/>
      <c r="AY70" s="54"/>
    </row>
    <row r="71" spans="2:91" ht="14.25" customHeight="1">
      <c r="B71" s="31" t="s">
        <v>592</v>
      </c>
      <c r="D71" s="315">
        <f>D70/D31*90</f>
        <v>15.198476343223737</v>
      </c>
      <c r="E71" s="315">
        <f>E70/E31*91</f>
        <v>20.03696749967629</v>
      </c>
      <c r="F71" s="315">
        <f>F70/F31*92</f>
        <v>13.780859916782246</v>
      </c>
      <c r="G71" s="315">
        <f>G70/G31*92</f>
        <v>12.135221947238167</v>
      </c>
      <c r="H71" s="316">
        <f>H70/H31*365</f>
        <v>13.856768307468478</v>
      </c>
      <c r="I71" s="317"/>
      <c r="J71" s="315">
        <f>J70/J31*90</f>
        <v>15.368901229670765</v>
      </c>
      <c r="K71" s="315">
        <f>K70/K31*91</f>
        <v>18.681902593901636</v>
      </c>
      <c r="L71" s="315">
        <f>L70/L31*92</f>
        <v>13.109373148477307</v>
      </c>
      <c r="M71" s="315">
        <f>M70/M31*92</f>
        <v>10.39228568400975</v>
      </c>
      <c r="N71" s="316">
        <f>N70/N31*365</f>
        <v>11.516478962868685</v>
      </c>
      <c r="O71" s="317"/>
      <c r="P71" s="315">
        <f>P70/P31*90</f>
        <v>11.813317824949113</v>
      </c>
      <c r="Q71" s="315">
        <f>Q70/Q31*91</f>
        <v>14.713055954088953</v>
      </c>
      <c r="R71" s="315">
        <f>R70/R31*92</f>
        <v>11.516136576239477</v>
      </c>
      <c r="S71" s="315">
        <f>S70/S31*92</f>
        <v>11.614864139190205</v>
      </c>
      <c r="T71" s="316">
        <f>T70/T31*365</f>
        <v>12.078811424067116</v>
      </c>
      <c r="U71" s="318"/>
      <c r="V71" s="315">
        <f>V70/V31*90</f>
        <v>10.140845070422536</v>
      </c>
      <c r="W71" s="315">
        <f>W70/W31*91</f>
        <v>16.570972183971357</v>
      </c>
      <c r="X71" s="319"/>
      <c r="Y71" s="319"/>
      <c r="Z71" s="316">
        <f>Z70/Z31*365</f>
        <v>12.084205048198417</v>
      </c>
      <c r="AA71" s="317"/>
      <c r="AB71" s="319"/>
      <c r="AC71" s="319"/>
      <c r="AD71" s="319"/>
      <c r="AE71" s="319"/>
      <c r="AF71" s="316">
        <f>AF70/AF31*365</f>
        <v>11.502751700738992</v>
      </c>
      <c r="AG71" s="316"/>
      <c r="AH71" s="316">
        <f t="shared" ref="AH71:AL71" si="31">AH70/AH31*365</f>
        <v>11.012977245262901</v>
      </c>
      <c r="AI71" s="316"/>
      <c r="AJ71" s="316">
        <f t="shared" si="31"/>
        <v>10.851069903444925</v>
      </c>
      <c r="AK71" s="316"/>
      <c r="AL71" s="316">
        <f t="shared" si="31"/>
        <v>10.962687394024179</v>
      </c>
      <c r="AR71" s="54"/>
      <c r="AS71" s="54"/>
      <c r="AT71" s="54"/>
      <c r="AU71" s="54"/>
      <c r="AV71" s="54"/>
      <c r="AW71" s="54"/>
      <c r="AX71" s="54"/>
      <c r="AY71" s="54"/>
      <c r="BV71" s="771"/>
      <c r="BW71" s="771"/>
      <c r="BX71" s="771"/>
      <c r="BY71" s="771"/>
      <c r="BZ71" s="771"/>
      <c r="CA71" s="771"/>
      <c r="CB71" s="771"/>
      <c r="CC71" s="771"/>
      <c r="CD71" s="770"/>
      <c r="CE71" s="770"/>
      <c r="CF71" s="770"/>
      <c r="CG71" s="770"/>
      <c r="CH71" s="770"/>
      <c r="CI71" s="770"/>
      <c r="CJ71" s="770"/>
      <c r="CK71" s="770"/>
      <c r="CL71" s="770"/>
      <c r="CM71" s="770"/>
    </row>
    <row r="72" spans="2:91" ht="14.25" customHeight="1">
      <c r="B72" s="28"/>
      <c r="D72" s="46"/>
      <c r="E72" s="46"/>
      <c r="F72" s="46"/>
      <c r="G72" s="46"/>
      <c r="J72" s="46"/>
      <c r="K72" s="46"/>
      <c r="L72" s="46"/>
      <c r="M72" s="46"/>
      <c r="P72" s="46"/>
      <c r="Q72" s="46"/>
      <c r="R72" s="46"/>
      <c r="S72" s="46"/>
      <c r="U72" s="203"/>
      <c r="V72" s="46"/>
      <c r="W72" s="46"/>
      <c r="X72" s="46"/>
      <c r="Y72" s="46"/>
      <c r="AB72" s="46"/>
      <c r="AC72" s="46"/>
      <c r="AD72" s="46"/>
      <c r="AE72" s="46"/>
      <c r="AR72" s="54"/>
      <c r="AS72" s="54"/>
      <c r="AT72" s="54"/>
      <c r="AU72" s="54"/>
      <c r="AV72" s="54"/>
      <c r="AW72" s="54"/>
      <c r="AX72" s="54"/>
      <c r="AY72" s="54"/>
      <c r="BB72" s="683">
        <v>2024</v>
      </c>
      <c r="BC72" s="684">
        <v>2025</v>
      </c>
      <c r="BD72" s="684">
        <v>2026</v>
      </c>
      <c r="BE72" s="684">
        <v>2027</v>
      </c>
      <c r="BF72" s="684">
        <v>2028</v>
      </c>
      <c r="BG72" s="684">
        <v>2029</v>
      </c>
      <c r="BH72" s="687" t="s">
        <v>540</v>
      </c>
      <c r="BK72" s="54"/>
      <c r="BL72" s="54"/>
      <c r="BM72" s="54"/>
      <c r="BN72" s="54"/>
      <c r="BO72" s="54"/>
      <c r="BP72" s="54"/>
      <c r="BQ72" s="54"/>
      <c r="BR72" s="54"/>
      <c r="BS72" s="54"/>
      <c r="BT72" s="54"/>
      <c r="BV72" s="771"/>
      <c r="BW72" s="771"/>
      <c r="BX72" s="771"/>
      <c r="BY72" s="771"/>
      <c r="BZ72" s="771"/>
      <c r="CA72" s="771"/>
      <c r="CB72" s="771"/>
      <c r="CC72" s="771"/>
      <c r="CD72" s="770"/>
      <c r="CE72" s="770"/>
      <c r="CF72" s="772"/>
      <c r="CG72" s="773"/>
      <c r="CH72" s="773"/>
      <c r="CI72" s="773"/>
      <c r="CJ72" s="773"/>
      <c r="CK72" s="773"/>
      <c r="CL72" s="774"/>
      <c r="CM72" s="770"/>
    </row>
    <row r="73" spans="2:91" ht="14.25" customHeight="1">
      <c r="B73" s="28" t="s">
        <v>593</v>
      </c>
      <c r="D73" s="50">
        <f>BS!P19</f>
        <v>3144</v>
      </c>
      <c r="E73" s="50">
        <f>BS!Q19</f>
        <v>3431</v>
      </c>
      <c r="F73" s="50">
        <f>BS!R19</f>
        <v>3113</v>
      </c>
      <c r="G73" s="50">
        <f>BS!S19</f>
        <v>3088</v>
      </c>
      <c r="H73" s="68">
        <f>BS!T19</f>
        <v>3088</v>
      </c>
      <c r="J73" s="50">
        <f>BS!V19</f>
        <v>3471</v>
      </c>
      <c r="K73" s="50">
        <f>BS!W19</f>
        <v>3498</v>
      </c>
      <c r="L73" s="50">
        <f>BS!X19</f>
        <v>3312</v>
      </c>
      <c r="M73" s="50">
        <f>BS!Y19</f>
        <v>3132</v>
      </c>
      <c r="N73" s="68">
        <f>BS!Z19</f>
        <v>3132</v>
      </c>
      <c r="P73" s="50">
        <f>BS!AB19</f>
        <v>3278</v>
      </c>
      <c r="Q73" s="50">
        <f>BS!AC19</f>
        <v>3097</v>
      </c>
      <c r="R73" s="50">
        <f>BS!AD19</f>
        <v>3234</v>
      </c>
      <c r="S73" s="50">
        <f>BS!AE19</f>
        <v>3474</v>
      </c>
      <c r="T73" s="68">
        <f>BS!AF19</f>
        <v>3474</v>
      </c>
      <c r="U73" s="203"/>
      <c r="V73" s="50">
        <f>BS!AH19</f>
        <v>3599</v>
      </c>
      <c r="W73" s="50">
        <f>BS!AI19</f>
        <v>3699</v>
      </c>
      <c r="X73" s="46"/>
      <c r="Y73" s="46"/>
      <c r="Z73" s="304">
        <f>Z31*0.05</f>
        <v>3692.5871269167601</v>
      </c>
      <c r="AB73" s="46"/>
      <c r="AC73" s="46"/>
      <c r="AD73" s="46"/>
      <c r="AE73" s="46"/>
      <c r="AF73" s="304">
        <f>AF31*0.047</f>
        <v>3792.3488903266066</v>
      </c>
      <c r="AG73" s="304"/>
      <c r="AH73" s="304">
        <f>AH31*0.047</f>
        <v>4099.639208380313</v>
      </c>
      <c r="AI73" s="304"/>
      <c r="AJ73" s="304">
        <f>AJ31*0.048</f>
        <v>4440.5574029500094</v>
      </c>
      <c r="AK73" s="304"/>
      <c r="AL73" s="304">
        <f>AL31*0.049</f>
        <v>4621.5226619529667</v>
      </c>
      <c r="AR73" s="682"/>
      <c r="AS73" s="683">
        <v>2024</v>
      </c>
      <c r="AT73" s="684">
        <v>2025</v>
      </c>
      <c r="AU73" s="684">
        <v>2026</v>
      </c>
      <c r="AV73" s="684">
        <v>2027</v>
      </c>
      <c r="AW73" s="684">
        <v>2028</v>
      </c>
      <c r="AX73" s="684">
        <v>2029</v>
      </c>
      <c r="AY73" s="687" t="s">
        <v>540</v>
      </c>
      <c r="BA73" s="688" t="s">
        <v>594</v>
      </c>
      <c r="BB73" s="754">
        <v>7716</v>
      </c>
      <c r="BC73" s="756">
        <f>SUM(BC74:BC77)</f>
        <v>8337.0685560000002</v>
      </c>
      <c r="BD73" s="756">
        <f t="shared" ref="BD73:BG73" si="32">SUM(BD74:BD77)</f>
        <v>9658.5161171999971</v>
      </c>
      <c r="BE73" s="756">
        <f t="shared" si="32"/>
        <v>10991.390763830999</v>
      </c>
      <c r="BF73" s="756">
        <f t="shared" si="32"/>
        <v>12260.059788319266</v>
      </c>
      <c r="BG73" s="756">
        <f t="shared" si="32"/>
        <v>13221.315270910623</v>
      </c>
      <c r="BH73" s="758">
        <f>((BG73/BC73)^(1/4))-1</f>
        <v>0.12218722961366879</v>
      </c>
      <c r="BK73" s="54"/>
      <c r="BL73" s="682"/>
      <c r="BM73" s="683">
        <v>2024</v>
      </c>
      <c r="BN73" s="684">
        <v>2025</v>
      </c>
      <c r="BO73" s="684">
        <v>2026</v>
      </c>
      <c r="BP73" s="684">
        <v>2027</v>
      </c>
      <c r="BQ73" s="684">
        <v>2028</v>
      </c>
      <c r="BR73" s="684">
        <v>2029</v>
      </c>
      <c r="BS73" s="760"/>
      <c r="BT73" s="54"/>
      <c r="BV73" s="775"/>
      <c r="BW73" s="772"/>
      <c r="BX73" s="773"/>
      <c r="BY73" s="773"/>
      <c r="BZ73" s="773"/>
      <c r="CA73" s="773"/>
      <c r="CB73" s="773"/>
      <c r="CC73" s="774"/>
      <c r="CD73" s="770"/>
      <c r="CE73" s="776"/>
      <c r="CF73" s="777"/>
      <c r="CG73" s="778"/>
      <c r="CH73" s="778"/>
      <c r="CI73" s="778"/>
      <c r="CJ73" s="778"/>
      <c r="CK73" s="778"/>
      <c r="CL73" s="774"/>
      <c r="CM73" s="770"/>
    </row>
    <row r="74" spans="2:91" ht="14.25" customHeight="1">
      <c r="B74" s="31" t="s">
        <v>595</v>
      </c>
      <c r="D74" s="315">
        <f>D73/D34*90</f>
        <v>21.67445423209498</v>
      </c>
      <c r="E74" s="315">
        <f>E73/E34*91</f>
        <v>23.144625648628615</v>
      </c>
      <c r="F74" s="315">
        <f>F73/F34*92</f>
        <v>19.801977459724814</v>
      </c>
      <c r="G74" s="315">
        <f>G73/G34*92</f>
        <v>17.02294924800767</v>
      </c>
      <c r="H74" s="316">
        <f>H73/H34*365</f>
        <v>19.535157807165017</v>
      </c>
      <c r="I74" s="317"/>
      <c r="J74" s="315">
        <f>J73/J34*90</f>
        <v>23.883027522935777</v>
      </c>
      <c r="K74" s="315">
        <f>K73/K34*91</f>
        <v>21.798123673217834</v>
      </c>
      <c r="L74" s="315">
        <f>L73/L34*92</f>
        <v>20.546459878624411</v>
      </c>
      <c r="M74" s="315">
        <f>M73/M34*92</f>
        <v>17.380059110923458</v>
      </c>
      <c r="N74" s="316">
        <f>N73/N34*365</f>
        <v>19.345765924321398</v>
      </c>
      <c r="O74" s="317"/>
      <c r="P74" s="315">
        <f>P73/P34*90</f>
        <v>19.406657018813313</v>
      </c>
      <c r="Q74" s="315">
        <f>Q73/Q34*91</f>
        <v>17.719396416221315</v>
      </c>
      <c r="R74" s="315">
        <f>R73/R34*92</f>
        <v>19.852405418028958</v>
      </c>
      <c r="S74" s="315">
        <f>S73/S34*92</f>
        <v>17.823332589783629</v>
      </c>
      <c r="T74" s="316">
        <f>T73/T34*365</f>
        <v>19.777736184549155</v>
      </c>
      <c r="U74" s="318"/>
      <c r="V74" s="315">
        <f>V73/V34*90</f>
        <v>20.710358056265985</v>
      </c>
      <c r="W74" s="315">
        <f>W73/W34*91</f>
        <v>19.395505617977527</v>
      </c>
      <c r="X74" s="319"/>
      <c r="Y74" s="319"/>
      <c r="Z74" s="316">
        <f>Z73/Z34*365</f>
        <v>20.361099256413215</v>
      </c>
      <c r="AA74" s="317"/>
      <c r="AB74" s="319"/>
      <c r="AC74" s="319"/>
      <c r="AD74" s="319"/>
      <c r="AE74" s="319"/>
      <c r="AF74" s="316">
        <f>AF73/AF34*365</f>
        <v>19.251575881355912</v>
      </c>
      <c r="AG74" s="316"/>
      <c r="AH74" s="316">
        <f t="shared" ref="AH74:AL74" si="33">AH73/AH34*365</f>
        <v>19.132920820901745</v>
      </c>
      <c r="AI74" s="316"/>
      <c r="AJ74" s="316">
        <f t="shared" si="33"/>
        <v>19.582456787825549</v>
      </c>
      <c r="AK74" s="316"/>
      <c r="AL74" s="316">
        <f t="shared" si="33"/>
        <v>20.002636862229981</v>
      </c>
      <c r="AO74" s="287"/>
      <c r="AR74" s="688" t="s">
        <v>596</v>
      </c>
      <c r="AS74" s="757">
        <v>52528</v>
      </c>
      <c r="AT74" s="682">
        <f>SUM(AT75:AT78)</f>
        <v>56474.428639999998</v>
      </c>
      <c r="AU74" s="682">
        <f t="shared" ref="AU74:AX74" si="34">SUM(AU75:AU78)</f>
        <v>64247.107108799995</v>
      </c>
      <c r="AV74" s="682">
        <f t="shared" si="34"/>
        <v>72085.222858880006</v>
      </c>
      <c r="AW74" s="682">
        <f t="shared" si="34"/>
        <v>79234.629004216011</v>
      </c>
      <c r="AX74" s="682">
        <f t="shared" si="34"/>
        <v>84940.665897256971</v>
      </c>
      <c r="AY74" s="758">
        <f>((AX74/AT74)^(1/4))-1</f>
        <v>0.10742915755774085</v>
      </c>
      <c r="BA74" s="692" t="s">
        <v>597</v>
      </c>
      <c r="BB74" s="756">
        <f>BB73*0.657</f>
        <v>5069.4120000000003</v>
      </c>
      <c r="BC74" s="756">
        <f>BB74*1.073</f>
        <v>5439.4790759999996</v>
      </c>
      <c r="BD74" s="756">
        <f>BC74*1.15</f>
        <v>6255.4009373999988</v>
      </c>
      <c r="BE74" s="756">
        <f>BD74*1.15</f>
        <v>7193.7110780099983</v>
      </c>
      <c r="BF74" s="756">
        <f>BE74*1.13</f>
        <v>8128.893518151297</v>
      </c>
      <c r="BG74" s="756">
        <f>BF74*1.08</f>
        <v>8779.204999603402</v>
      </c>
      <c r="BH74" s="758">
        <f t="shared" ref="BH74:BH76" si="35">((BG74/BC74)^(1/4))-1</f>
        <v>0.12713119561434194</v>
      </c>
      <c r="BL74" s="688" t="s">
        <v>596</v>
      </c>
      <c r="BM74" s="757">
        <v>52528</v>
      </c>
      <c r="BN74" s="682">
        <f>AT74-(AT74*0.04)</f>
        <v>54215.451494399997</v>
      </c>
      <c r="BO74" s="682">
        <f>AU74-(AU74*0.08)</f>
        <v>59107.338540095996</v>
      </c>
      <c r="BP74" s="682">
        <f>AV74-(AV74*0.12)</f>
        <v>63434.996115814407</v>
      </c>
      <c r="BQ74" s="682">
        <f>AW74-(AW74*0.16)</f>
        <v>66557.08836354145</v>
      </c>
      <c r="BR74" s="682">
        <f>AX74-(AX74*0.22)</f>
        <v>66253.719399860434</v>
      </c>
      <c r="BS74" s="287"/>
      <c r="BV74" s="776"/>
      <c r="BW74" s="777"/>
      <c r="BX74" s="775"/>
      <c r="BY74" s="775"/>
      <c r="BZ74" s="775"/>
      <c r="CA74" s="775"/>
      <c r="CB74" s="775"/>
      <c r="CC74" s="774"/>
      <c r="CD74" s="770"/>
      <c r="CE74" s="779"/>
      <c r="CF74" s="778"/>
      <c r="CG74" s="778"/>
      <c r="CH74" s="778"/>
      <c r="CI74" s="778"/>
      <c r="CJ74" s="778"/>
      <c r="CK74" s="778"/>
      <c r="CL74" s="774"/>
      <c r="CM74" s="770"/>
    </row>
    <row r="75" spans="2:91" ht="14.25" customHeight="1">
      <c r="B75" s="28"/>
      <c r="D75" s="46"/>
      <c r="E75" s="46"/>
      <c r="F75" s="46"/>
      <c r="G75" s="46"/>
      <c r="J75" s="46"/>
      <c r="K75" s="46"/>
      <c r="L75" s="46"/>
      <c r="M75" s="46"/>
      <c r="P75" s="46"/>
      <c r="Q75" s="46"/>
      <c r="R75" s="46"/>
      <c r="S75" s="46"/>
      <c r="U75" s="203"/>
      <c r="V75" s="46"/>
      <c r="W75" s="46"/>
      <c r="X75" s="46"/>
      <c r="Y75" s="46"/>
      <c r="AB75" s="46"/>
      <c r="AC75" s="46"/>
      <c r="AD75" s="46"/>
      <c r="AE75" s="46"/>
      <c r="AR75" s="692" t="s">
        <v>597</v>
      </c>
      <c r="AS75" s="682">
        <f>AS74*0.37</f>
        <v>19435.36</v>
      </c>
      <c r="AT75" s="682">
        <f>AS75*1.03</f>
        <v>20018.4208</v>
      </c>
      <c r="AU75" s="682">
        <f>AT75*1.15</f>
        <v>23021.183919999999</v>
      </c>
      <c r="AV75" s="682">
        <f>AU75*1.15</f>
        <v>26474.361507999998</v>
      </c>
      <c r="AW75" s="682">
        <f>AV75*1.125</f>
        <v>29783.656696499998</v>
      </c>
      <c r="AX75" s="682">
        <f>AW75*1.1</f>
        <v>32762.022366150002</v>
      </c>
      <c r="AY75" s="758">
        <f t="shared" ref="AY75:AY78" si="36">((AX75/AT75)^(1/4))-1</f>
        <v>0.1310589016598569</v>
      </c>
      <c r="BA75" s="692" t="s">
        <v>301</v>
      </c>
      <c r="BB75" s="756">
        <f>BB73*0.172</f>
        <v>1327.1519999999998</v>
      </c>
      <c r="BC75" s="756">
        <f>BB75*1.14</f>
        <v>1512.9532799999997</v>
      </c>
      <c r="BD75" s="756">
        <f>BC75*1.25</f>
        <v>1891.1915999999997</v>
      </c>
      <c r="BE75" s="756">
        <f>BD75*1.15</f>
        <v>2174.8703399999995</v>
      </c>
      <c r="BF75" s="756">
        <f>BE75*1.12</f>
        <v>2435.8547807999998</v>
      </c>
      <c r="BG75" s="756">
        <f>BF75*1.1</f>
        <v>2679.4402588799999</v>
      </c>
      <c r="BH75" s="758">
        <f t="shared" si="35"/>
        <v>0.15359838744324339</v>
      </c>
      <c r="BK75" s="55"/>
      <c r="BL75" s="688" t="s">
        <v>594</v>
      </c>
      <c r="BM75" s="754">
        <v>7716</v>
      </c>
      <c r="BN75" s="756">
        <f>BC73*1.0042</f>
        <v>8372.0842439352</v>
      </c>
      <c r="BO75" s="756">
        <f>BD73*1.0042</f>
        <v>9699.0818848922372</v>
      </c>
      <c r="BP75" s="756">
        <f>BE73*1.0044</f>
        <v>11039.752883191855</v>
      </c>
      <c r="BQ75" s="756">
        <f>BF73*1.0045</f>
        <v>12315.230057366702</v>
      </c>
      <c r="BR75" s="756">
        <f>BG73*1.0046</f>
        <v>13282.133321156811</v>
      </c>
      <c r="BS75" s="287"/>
      <c r="BT75" s="55"/>
      <c r="BV75" s="779"/>
      <c r="BW75" s="775"/>
      <c r="BX75" s="775"/>
      <c r="BY75" s="775"/>
      <c r="BZ75" s="775"/>
      <c r="CA75" s="775"/>
      <c r="CB75" s="775"/>
      <c r="CC75" s="774"/>
      <c r="CD75" s="770"/>
      <c r="CE75" s="779"/>
      <c r="CF75" s="778"/>
      <c r="CG75" s="778"/>
      <c r="CH75" s="778"/>
      <c r="CI75" s="778"/>
      <c r="CJ75" s="778"/>
      <c r="CK75" s="778"/>
      <c r="CL75" s="774"/>
      <c r="CM75" s="770"/>
    </row>
    <row r="76" spans="2:91" ht="14.25" customHeight="1">
      <c r="B76" s="28" t="s">
        <v>598</v>
      </c>
      <c r="D76" s="50">
        <f>BS!P20</f>
        <v>12836</v>
      </c>
      <c r="E76" s="50">
        <f>BS!Q20</f>
        <v>12366</v>
      </c>
      <c r="F76" s="50">
        <f>BS!R20</f>
        <v>12933</v>
      </c>
      <c r="G76" s="50">
        <f>BS!S20</f>
        <v>12851</v>
      </c>
      <c r="H76" s="68">
        <f>BS!T20</f>
        <v>12851</v>
      </c>
      <c r="J76" s="50">
        <f>BS!V20</f>
        <v>13650</v>
      </c>
      <c r="K76" s="50">
        <f>BS!W20</f>
        <v>13489</v>
      </c>
      <c r="L76" s="50">
        <f>BS!X20</f>
        <v>14054</v>
      </c>
      <c r="M76" s="50">
        <f>BS!Y20</f>
        <v>13815</v>
      </c>
      <c r="N76" s="68">
        <f>BS!Z20</f>
        <v>13815</v>
      </c>
      <c r="P76" s="50">
        <f>BS!AB20</f>
        <v>14633</v>
      </c>
      <c r="Q76" s="50">
        <f>BS!AC20</f>
        <v>14417</v>
      </c>
      <c r="R76" s="50">
        <f>BS!AD20</f>
        <v>14685</v>
      </c>
      <c r="S76" s="50">
        <f>BS!AE20</f>
        <v>13541</v>
      </c>
      <c r="T76" s="68">
        <f>BS!AF20</f>
        <v>13541</v>
      </c>
      <c r="U76" s="203"/>
      <c r="V76" s="50">
        <f>BS!AH20</f>
        <v>15375</v>
      </c>
      <c r="W76" s="50">
        <f>BS!AI20</f>
        <v>15690</v>
      </c>
      <c r="X76" s="46"/>
      <c r="Y76" s="46"/>
      <c r="Z76" s="304">
        <f>Z31*Z77</f>
        <v>14519.592886206308</v>
      </c>
      <c r="AB76" s="46"/>
      <c r="AC76" s="46"/>
      <c r="AD76" s="46"/>
      <c r="AE76" s="46"/>
      <c r="AF76" s="304">
        <f>AF31*AF77</f>
        <v>15913.317138544966</v>
      </c>
      <c r="AH76" s="57">
        <f>AH31*AH77</f>
        <v>16992.486421391197</v>
      </c>
      <c r="AJ76" s="57">
        <f>AJ77*AJ$31</f>
        <v>18151.807327544862</v>
      </c>
      <c r="AL76" s="57">
        <f>AL77*AL$31</f>
        <v>18493.632259863858</v>
      </c>
      <c r="AR76" s="692" t="s">
        <v>599</v>
      </c>
      <c r="AS76" s="682">
        <f>AS74*0.172</f>
        <v>9034.8159999999989</v>
      </c>
      <c r="AT76" s="682">
        <f>AS76*1.07</f>
        <v>9667.2531199999994</v>
      </c>
      <c r="AU76" s="682">
        <f>AT76*1.2</f>
        <v>11600.703743999999</v>
      </c>
      <c r="AV76" s="682">
        <f>AU76*1.15</f>
        <v>13340.809305599998</v>
      </c>
      <c r="AW76" s="682">
        <f>AV76*1.1</f>
        <v>14674.890236159999</v>
      </c>
      <c r="AX76" s="682">
        <f>AW76*1.05</f>
        <v>15408.634747968001</v>
      </c>
      <c r="AY76" s="758">
        <f t="shared" si="36"/>
        <v>0.12360915123990024</v>
      </c>
      <c r="BA76" s="692" t="s">
        <v>306</v>
      </c>
      <c r="BB76" s="756">
        <f>BB73*0.161</f>
        <v>1242.2760000000001</v>
      </c>
      <c r="BC76" s="756">
        <f>BB76*1.05</f>
        <v>1304.3898000000002</v>
      </c>
      <c r="BD76" s="756">
        <f>BC76*1.095</f>
        <v>1428.3068310000001</v>
      </c>
      <c r="BE76" s="756">
        <f>BD76*1.075</f>
        <v>1535.4298433250001</v>
      </c>
      <c r="BF76" s="756">
        <f>BE76*1.045</f>
        <v>1604.524186274625</v>
      </c>
      <c r="BG76" s="756">
        <f>BF76*1.04</f>
        <v>1668.70515372561</v>
      </c>
      <c r="BH76" s="758">
        <f t="shared" si="35"/>
        <v>6.3513613095976806E-2</v>
      </c>
      <c r="BS76" s="287"/>
      <c r="BV76" s="779"/>
      <c r="BW76" s="775"/>
      <c r="BX76" s="775"/>
      <c r="BY76" s="775"/>
      <c r="BZ76" s="775"/>
      <c r="CA76" s="775"/>
      <c r="CB76" s="775"/>
      <c r="CC76" s="774"/>
      <c r="CD76" s="770"/>
      <c r="CE76" s="779"/>
      <c r="CF76" s="778"/>
      <c r="CG76" s="778"/>
      <c r="CH76" s="778"/>
      <c r="CI76" s="778"/>
      <c r="CJ76" s="778"/>
      <c r="CK76" s="778"/>
      <c r="CL76" s="774"/>
      <c r="CM76" s="770"/>
    </row>
    <row r="77" spans="2:91" ht="14.25" customHeight="1">
      <c r="B77" s="31" t="s">
        <v>543</v>
      </c>
      <c r="D77" s="297">
        <f>D76/D31</f>
        <v>0.85779203421545036</v>
      </c>
      <c r="E77" s="297">
        <f>E76/E31</f>
        <v>0.80059562346238511</v>
      </c>
      <c r="F77" s="297">
        <f>F76/F31</f>
        <v>0.77989507326780438</v>
      </c>
      <c r="G77" s="297">
        <f>G76/G31</f>
        <v>0.67668895792743933</v>
      </c>
      <c r="H77" s="300">
        <f>H76/H31</f>
        <v>0.19475933559650824</v>
      </c>
      <c r="J77" s="297">
        <f>J76/J31</f>
        <v>0.90241967473224916</v>
      </c>
      <c r="K77" s="297">
        <f>K76/K31</f>
        <v>0.80806326004912243</v>
      </c>
      <c r="L77" s="297">
        <f>L76/L31</f>
        <v>0.83268159734565705</v>
      </c>
      <c r="M77" s="297">
        <f>M76/M31</f>
        <v>0.73195930910246898</v>
      </c>
      <c r="N77" s="300">
        <f>N76/N31</f>
        <v>0.20445161385801602</v>
      </c>
      <c r="P77" s="297">
        <f>P76/P31</f>
        <v>0.85100319860424545</v>
      </c>
      <c r="Q77" s="297">
        <f>Q76/Q31</f>
        <v>0.79555236728837875</v>
      </c>
      <c r="R77" s="297">
        <f>R76/R31</f>
        <v>0.85857109448082325</v>
      </c>
      <c r="S77" s="297">
        <f>S76/S31</f>
        <v>0.7271506819890452</v>
      </c>
      <c r="T77" s="300">
        <f>T76/T31</f>
        <v>0.19060287431555537</v>
      </c>
      <c r="U77" s="203"/>
      <c r="V77" s="297">
        <f>V76/V31</f>
        <v>0.85592607025552525</v>
      </c>
      <c r="W77" s="297">
        <f>W76/W31</f>
        <v>0.86422473147893142</v>
      </c>
      <c r="X77" s="308"/>
      <c r="Y77" s="308"/>
      <c r="Z77" s="298">
        <f>AVERAGE(T77,N77,H77)</f>
        <v>0.19660460792335988</v>
      </c>
      <c r="AB77" s="308"/>
      <c r="AC77" s="308"/>
      <c r="AD77" s="308"/>
      <c r="AE77" s="308"/>
      <c r="AF77" s="298">
        <f>AVERAGE(Z77,T77,N77)</f>
        <v>0.19721969869897707</v>
      </c>
      <c r="AH77" s="308">
        <f>AVERAGE(AF77,Z77,T77)</f>
        <v>0.19480906031263076</v>
      </c>
      <c r="AJ77" s="308">
        <f>AVERAGE(AH77,AF77,Z77)</f>
        <v>0.19621112231165591</v>
      </c>
      <c r="AL77" s="308">
        <f>AVERAGE(AJ77,AH77,AF77)</f>
        <v>0.19607996044108791</v>
      </c>
      <c r="AR77" s="692" t="s">
        <v>306</v>
      </c>
      <c r="AS77" s="682">
        <f>AS74*0.225</f>
        <v>11818.800000000001</v>
      </c>
      <c r="AT77" s="682">
        <f>AS77*1.2</f>
        <v>14182.560000000001</v>
      </c>
      <c r="AU77" s="682">
        <f>AT77*1.12</f>
        <v>15884.467200000003</v>
      </c>
      <c r="AV77" s="682">
        <f>AU77*1.08</f>
        <v>17155.224576000004</v>
      </c>
      <c r="AW77" s="682">
        <f>AV77*1.08</f>
        <v>18527.642542080004</v>
      </c>
      <c r="AX77" s="682">
        <f>AW77*1.055</f>
        <v>19546.662881894405</v>
      </c>
      <c r="AY77" s="758">
        <f t="shared" si="36"/>
        <v>8.3501453659838409E-2</v>
      </c>
      <c r="BA77" s="692" t="s">
        <v>311</v>
      </c>
      <c r="BB77" s="756">
        <f>BB73*0.01</f>
        <v>77.16</v>
      </c>
      <c r="BC77" s="756">
        <f>BB77*1.04</f>
        <v>80.246399999999994</v>
      </c>
      <c r="BD77" s="756">
        <f>BC77*1.042</f>
        <v>83.616748799999996</v>
      </c>
      <c r="BE77" s="756">
        <f>BD77*1.045</f>
        <v>87.379502495999986</v>
      </c>
      <c r="BF77" s="756">
        <f>BE77*1.039</f>
        <v>90.787303093343979</v>
      </c>
      <c r="BG77" s="756">
        <f>BF77*1.035</f>
        <v>93.964858701611007</v>
      </c>
      <c r="BH77" s="758"/>
      <c r="BS77" s="287"/>
      <c r="BV77" s="779"/>
      <c r="BW77" s="775"/>
      <c r="BX77" s="775"/>
      <c r="BY77" s="775"/>
      <c r="BZ77" s="775"/>
      <c r="CA77" s="775"/>
      <c r="CB77" s="775"/>
      <c r="CC77" s="774"/>
      <c r="CD77" s="770"/>
      <c r="CE77" s="779"/>
      <c r="CF77" s="778"/>
      <c r="CG77" s="778"/>
      <c r="CH77" s="778"/>
      <c r="CI77" s="778"/>
      <c r="CJ77" s="778"/>
      <c r="CK77" s="778"/>
      <c r="CL77" s="774"/>
      <c r="CM77" s="770"/>
    </row>
    <row r="78" spans="2:91" ht="14.25" customHeight="1">
      <c r="B78" s="28"/>
      <c r="D78" s="46"/>
      <c r="E78" s="46"/>
      <c r="F78" s="46"/>
      <c r="G78" s="46"/>
      <c r="J78" s="46"/>
      <c r="K78" s="46"/>
      <c r="L78" s="46"/>
      <c r="M78" s="46"/>
      <c r="P78" s="46"/>
      <c r="Q78" s="46"/>
      <c r="R78" s="46"/>
      <c r="S78" s="46"/>
      <c r="U78" s="203"/>
      <c r="V78" s="46"/>
      <c r="W78" s="46"/>
      <c r="X78" s="46"/>
      <c r="Y78" s="46"/>
      <c r="AB78" s="46"/>
      <c r="AC78" s="46"/>
      <c r="AD78" s="46"/>
      <c r="AE78" s="46"/>
      <c r="AR78" s="692" t="s">
        <v>311</v>
      </c>
      <c r="AS78" s="682">
        <f>AS74*0.233</f>
        <v>12239.024000000001</v>
      </c>
      <c r="AT78" s="682">
        <f>AS78*1.03</f>
        <v>12606.194720000001</v>
      </c>
      <c r="AU78" s="682">
        <f>AT78*1.09</f>
        <v>13740.752244800002</v>
      </c>
      <c r="AV78" s="682">
        <f>AU78*1.1</f>
        <v>15114.827469280002</v>
      </c>
      <c r="AW78" s="682">
        <f>AV78*1.075</f>
        <v>16248.439529476002</v>
      </c>
      <c r="AX78" s="682">
        <f>AW78*1.06</f>
        <v>17223.345901244564</v>
      </c>
      <c r="AY78" s="758">
        <f t="shared" si="36"/>
        <v>8.1143590961231915E-2</v>
      </c>
      <c r="BB78" s="755"/>
      <c r="BC78" s="755"/>
      <c r="BD78" s="755"/>
      <c r="BE78" s="755"/>
      <c r="BF78" s="755"/>
      <c r="BG78" s="755"/>
      <c r="BL78" s="688" t="s">
        <v>600</v>
      </c>
      <c r="BM78" s="754">
        <v>6241</v>
      </c>
      <c r="BN78" s="756">
        <f>BM78*1.05</f>
        <v>6553.05</v>
      </c>
      <c r="BO78" s="756">
        <f>BN78*1.05</f>
        <v>6880.7025000000003</v>
      </c>
      <c r="BP78" s="756">
        <f>BO78*1.06</f>
        <v>7293.5446500000007</v>
      </c>
      <c r="BQ78" s="756">
        <f>BP78*1.04</f>
        <v>7585.2864360000012</v>
      </c>
      <c r="BR78" s="756">
        <f>BQ78*1.03</f>
        <v>7812.845029080001</v>
      </c>
      <c r="BS78" s="287"/>
      <c r="BV78" s="779"/>
      <c r="BW78" s="775"/>
      <c r="BX78" s="775"/>
      <c r="BY78" s="775"/>
      <c r="BZ78" s="775"/>
      <c r="CA78" s="775"/>
      <c r="CB78" s="775"/>
      <c r="CC78" s="774"/>
      <c r="CD78" s="770"/>
      <c r="CE78" s="770"/>
      <c r="CF78" s="778"/>
      <c r="CG78" s="778"/>
      <c r="CH78" s="778"/>
      <c r="CI78" s="778"/>
      <c r="CJ78" s="778"/>
      <c r="CK78" s="778"/>
      <c r="CL78" s="770"/>
      <c r="CM78" s="770"/>
    </row>
    <row r="79" spans="2:91" ht="14.25" customHeight="1">
      <c r="B79" s="741" t="s">
        <v>601</v>
      </c>
      <c r="D79" s="50">
        <f>BS!P24</f>
        <v>7561</v>
      </c>
      <c r="E79" s="50">
        <f>BS!Q24</f>
        <v>7569</v>
      </c>
      <c r="F79" s="50">
        <f>BS!R24</f>
        <v>7629</v>
      </c>
      <c r="G79" s="50">
        <f>BS!S24</f>
        <v>9075</v>
      </c>
      <c r="H79" s="68">
        <f>BS!T24</f>
        <v>9075</v>
      </c>
      <c r="J79" s="50">
        <f>BS!V24</f>
        <v>7938</v>
      </c>
      <c r="K79" s="50">
        <f>BS!W24</f>
        <v>7966</v>
      </c>
      <c r="L79" s="50">
        <f>BS!X24</f>
        <v>8046</v>
      </c>
      <c r="M79" s="50">
        <f>BS!Y24</f>
        <v>9470</v>
      </c>
      <c r="N79" s="68">
        <f>BS!Z24</f>
        <v>9470</v>
      </c>
      <c r="P79" s="50">
        <f>BS!AB24</f>
        <v>8354</v>
      </c>
      <c r="Q79" s="50">
        <f>BS!AC24</f>
        <v>8394</v>
      </c>
      <c r="R79" s="50">
        <f>BS!AD24</f>
        <v>8454</v>
      </c>
      <c r="S79" s="50">
        <f>BS!AE24</f>
        <v>9726</v>
      </c>
      <c r="T79" s="68">
        <f>BS!AF24</f>
        <v>9726</v>
      </c>
      <c r="U79" s="203"/>
      <c r="V79" s="50">
        <f>BS!AH24</f>
        <v>8713</v>
      </c>
      <c r="W79" s="50">
        <f>BS!AI24</f>
        <v>8670</v>
      </c>
      <c r="X79" s="46"/>
      <c r="Y79" s="46"/>
      <c r="Z79" s="57">
        <f>T79*1.022</f>
        <v>9939.9719999999998</v>
      </c>
      <c r="AA79" s="57"/>
      <c r="AB79" s="57"/>
      <c r="AC79" s="57"/>
      <c r="AD79" s="57"/>
      <c r="AE79" s="57"/>
      <c r="AF79" s="57">
        <f>Z79*1.027</f>
        <v>10208.351243999999</v>
      </c>
      <c r="AG79" s="57"/>
      <c r="AH79" s="57">
        <f>AF79*1.03</f>
        <v>10514.60178132</v>
      </c>
      <c r="AI79" s="57"/>
      <c r="AJ79" s="57">
        <f>AH79*1.035</f>
        <v>10882.612843666198</v>
      </c>
      <c r="AK79" s="57"/>
      <c r="AL79" s="57">
        <f>AJ79*1.02</f>
        <v>11100.265100539522</v>
      </c>
      <c r="AR79" s="682"/>
      <c r="AS79" s="682"/>
      <c r="AT79" s="682"/>
      <c r="AU79" s="682"/>
      <c r="AV79" s="682"/>
      <c r="AW79" s="682"/>
      <c r="AX79" s="682"/>
      <c r="AY79" s="682"/>
      <c r="BH79" s="687" t="s">
        <v>540</v>
      </c>
      <c r="BL79" s="688" t="s">
        <v>602</v>
      </c>
      <c r="BM79" s="754">
        <v>3075</v>
      </c>
      <c r="BN79" s="756">
        <f>BM79*1.05</f>
        <v>3228.75</v>
      </c>
      <c r="BO79" s="756">
        <f>BN79*1.09</f>
        <v>3519.3375000000001</v>
      </c>
      <c r="BP79" s="756">
        <f>BO79*1.13</f>
        <v>3976.8513749999997</v>
      </c>
      <c r="BQ79" s="756">
        <f>BP79*1.15</f>
        <v>4573.3790812499992</v>
      </c>
      <c r="BR79" s="756">
        <f>BQ79*1.2</f>
        <v>5488.0548974999992</v>
      </c>
      <c r="BS79" s="287"/>
      <c r="BV79" s="775"/>
      <c r="BW79" s="775"/>
      <c r="BX79" s="775"/>
      <c r="BY79" s="775"/>
      <c r="BZ79" s="775"/>
      <c r="CA79" s="775"/>
      <c r="CB79" s="775"/>
      <c r="CC79" s="775"/>
      <c r="CD79" s="770"/>
      <c r="CE79" s="770"/>
      <c r="CF79" s="770"/>
      <c r="CG79" s="770"/>
      <c r="CH79" s="770"/>
      <c r="CI79" s="770"/>
      <c r="CJ79" s="770"/>
      <c r="CK79" s="770"/>
      <c r="CL79" s="774"/>
      <c r="CM79" s="770"/>
    </row>
    <row r="80" spans="2:91" ht="14.25" customHeight="1">
      <c r="B80" s="31" t="s">
        <v>603</v>
      </c>
      <c r="D80" s="297"/>
      <c r="E80" s="297"/>
      <c r="F80" s="297"/>
      <c r="G80" s="297"/>
      <c r="H80" s="300"/>
      <c r="J80" s="297"/>
      <c r="K80" s="297"/>
      <c r="L80" s="297"/>
      <c r="M80" s="297"/>
      <c r="N80" s="300"/>
      <c r="P80" s="297"/>
      <c r="Q80" s="297"/>
      <c r="R80" s="297"/>
      <c r="S80" s="297"/>
      <c r="T80" s="300"/>
      <c r="U80" s="203"/>
      <c r="V80" s="297"/>
      <c r="W80" s="297"/>
      <c r="X80" s="308"/>
      <c r="Y80" s="308"/>
      <c r="Z80" s="311"/>
      <c r="AB80" s="308"/>
      <c r="AC80" s="308"/>
      <c r="AD80" s="308"/>
      <c r="AE80" s="308"/>
      <c r="AF80" s="311"/>
      <c r="AH80" s="308"/>
      <c r="AJ80" s="308"/>
      <c r="AL80" s="308"/>
      <c r="AS80" s="755"/>
      <c r="AT80" s="755"/>
      <c r="AU80" s="755"/>
      <c r="AV80" s="755"/>
      <c r="AW80" s="755"/>
      <c r="AX80" s="755"/>
      <c r="AY80" s="687" t="s">
        <v>540</v>
      </c>
      <c r="BA80" s="688" t="s">
        <v>600</v>
      </c>
      <c r="BB80" s="754">
        <v>6241</v>
      </c>
      <c r="BC80" s="756">
        <f>SUM(BC81:BC84)</f>
        <v>6656.032741</v>
      </c>
      <c r="BD80" s="756">
        <f t="shared" ref="BD80:BG80" si="37">SUM(BD81:BD84)</f>
        <v>7524.5112347449995</v>
      </c>
      <c r="BE80" s="756">
        <f t="shared" si="37"/>
        <v>8330.1908486594984</v>
      </c>
      <c r="BF80" s="756">
        <f t="shared" si="37"/>
        <v>9032.0812476961019</v>
      </c>
      <c r="BG80" s="756">
        <f t="shared" si="37"/>
        <v>9690.4420630815821</v>
      </c>
      <c r="BH80" s="758">
        <f>((BG80/BC80)^(1/4))-1</f>
        <v>9.8454405372133902E-2</v>
      </c>
      <c r="BL80" s="688" t="s">
        <v>604</v>
      </c>
      <c r="BM80" s="757">
        <v>1483</v>
      </c>
      <c r="BN80" s="756">
        <f>BM80-(BM80*0.0004)</f>
        <v>1482.4068</v>
      </c>
      <c r="BO80" s="756">
        <f t="shared" ref="BO80:BR80" si="38">BN80-(BN80*0.0004)</f>
        <v>1481.8138372799999</v>
      </c>
      <c r="BP80" s="756">
        <f t="shared" si="38"/>
        <v>1481.2211117450879</v>
      </c>
      <c r="BQ80" s="756">
        <f t="shared" si="38"/>
        <v>1480.6286233003898</v>
      </c>
      <c r="BR80" s="756">
        <f t="shared" si="38"/>
        <v>1480.0363718510696</v>
      </c>
      <c r="BS80" s="287"/>
      <c r="BV80" s="770"/>
      <c r="BW80" s="778"/>
      <c r="BX80" s="778"/>
      <c r="BY80" s="778"/>
      <c r="BZ80" s="778"/>
      <c r="CA80" s="778"/>
      <c r="CB80" s="778"/>
      <c r="CC80" s="774"/>
      <c r="CD80" s="770"/>
      <c r="CE80" s="776"/>
      <c r="CF80" s="777"/>
      <c r="CG80" s="778"/>
      <c r="CH80" s="778"/>
      <c r="CI80" s="778"/>
      <c r="CJ80" s="778"/>
      <c r="CK80" s="778"/>
      <c r="CL80" s="774"/>
      <c r="CM80" s="770"/>
    </row>
    <row r="81" spans="2:91" ht="14.25" customHeight="1">
      <c r="D81" s="46"/>
      <c r="E81" s="46"/>
      <c r="F81" s="46"/>
      <c r="G81" s="46"/>
      <c r="J81" s="46"/>
      <c r="K81" s="46"/>
      <c r="L81" s="46"/>
      <c r="M81" s="46"/>
      <c r="P81" s="46"/>
      <c r="Q81" s="46"/>
      <c r="R81" s="46"/>
      <c r="S81" s="46"/>
      <c r="U81" s="203"/>
      <c r="V81" s="46"/>
      <c r="W81" s="46"/>
      <c r="X81" s="46"/>
      <c r="Y81" s="46"/>
      <c r="AB81" s="46"/>
      <c r="AC81" s="46"/>
      <c r="AD81" s="46"/>
      <c r="AE81" s="46"/>
      <c r="AR81" s="688" t="s">
        <v>602</v>
      </c>
      <c r="AS81" s="754">
        <v>3075</v>
      </c>
      <c r="AT81" s="756">
        <f>SUM(AT82:AT85)</f>
        <v>3240.7916999999998</v>
      </c>
      <c r="AU81" s="756">
        <f t="shared" ref="AU81:AX81" si="39">SUM(AU82:AU85)</f>
        <v>3619.86352425</v>
      </c>
      <c r="AV81" s="756">
        <f t="shared" si="39"/>
        <v>4091.29888558725</v>
      </c>
      <c r="AW81" s="756">
        <f t="shared" si="39"/>
        <v>4483.8881194898458</v>
      </c>
      <c r="AX81" s="756">
        <f t="shared" si="39"/>
        <v>4837.3722811415437</v>
      </c>
      <c r="AY81" s="758">
        <f>((AX81/AT81)^(1/4))-1</f>
        <v>0.10532399605544662</v>
      </c>
      <c r="BA81" s="692" t="s">
        <v>597</v>
      </c>
      <c r="BB81" s="756">
        <f>BB80*0.443</f>
        <v>2764.7629999999999</v>
      </c>
      <c r="BC81" s="756">
        <f>BB81*1.052</f>
        <v>2908.5306759999999</v>
      </c>
      <c r="BD81" s="756">
        <f>BC81*1.12</f>
        <v>3257.5543571200001</v>
      </c>
      <c r="BE81" s="756">
        <f>BD81*1.1</f>
        <v>3583.3097928320003</v>
      </c>
      <c r="BF81" s="756">
        <f>BE81*1.08</f>
        <v>3869.9745762585608</v>
      </c>
      <c r="BG81" s="756">
        <f>BF81*1.06</f>
        <v>4102.1730508340743</v>
      </c>
      <c r="BH81" s="758">
        <f t="shared" ref="BH81:BH84" si="40">((BG81/BC81)^(1/4))-1</f>
        <v>8.9770587159173632E-2</v>
      </c>
      <c r="BM81" s="762"/>
      <c r="BN81" s="762"/>
      <c r="BO81" s="762"/>
      <c r="BP81" s="762"/>
      <c r="BQ81" s="762"/>
      <c r="BR81" s="762"/>
      <c r="BV81" s="776"/>
      <c r="BW81" s="777"/>
      <c r="BX81" s="778"/>
      <c r="BY81" s="778"/>
      <c r="BZ81" s="778"/>
      <c r="CA81" s="778"/>
      <c r="CB81" s="778"/>
      <c r="CC81" s="774"/>
      <c r="CD81" s="770"/>
      <c r="CE81" s="779"/>
      <c r="CF81" s="778"/>
      <c r="CG81" s="778"/>
      <c r="CH81" s="778"/>
      <c r="CI81" s="778"/>
      <c r="CJ81" s="778"/>
      <c r="CK81" s="778"/>
      <c r="CL81" s="774"/>
      <c r="CM81" s="770"/>
    </row>
    <row r="82" spans="2:91" ht="14.25" customHeight="1">
      <c r="B82" s="741" t="s">
        <v>605</v>
      </c>
      <c r="D82" s="50">
        <f>IF($B$82="Intangibles excl. Goodwill",BS!P29,BS!P27)</f>
        <v>13455</v>
      </c>
      <c r="E82" s="50">
        <f>IF($B$82="Intangibles excl. Goodwill",BS!Q29,BS!Q27)</f>
        <v>13378</v>
      </c>
      <c r="F82" s="50">
        <f>IF($B$82="Intangibles excl. Goodwill",BS!R29,BS!R27)</f>
        <v>13285</v>
      </c>
      <c r="G82" s="50">
        <f>IF($B$82="Intangibles excl. Goodwill",BS!S29,BS!S27)</f>
        <v>13239</v>
      </c>
      <c r="H82" s="68">
        <f>IF($B$82="Intangibles excl. Goodwill",BS!T29,BS!T27)</f>
        <v>13239</v>
      </c>
      <c r="J82" s="50">
        <f>IF($B$82="Intangibles excl. Goodwill",BS!V29,BS!V27)</f>
        <v>13173</v>
      </c>
      <c r="K82" s="50">
        <f>IF($B$82="Intangibles excl. Goodwill",BS!W29,BS!W27)</f>
        <v>13131</v>
      </c>
      <c r="L82" s="50">
        <f>IF($B$82="Intangibles excl. Goodwill",BS!X29,BS!X27)</f>
        <v>13056</v>
      </c>
      <c r="M82" s="50">
        <f>IF($B$82="Intangibles excl. Goodwill",BS!Y29,BS!Y27)</f>
        <v>13011</v>
      </c>
      <c r="N82" s="68">
        <f>IF($B$82="Intangibles excl. Goodwill",BS!Z29,BS!Z27)</f>
        <v>13011</v>
      </c>
      <c r="P82" s="50">
        <f>IF($B$82="Intangibles excl. Goodwill",BS!AB29,BS!AB27)</f>
        <v>12940</v>
      </c>
      <c r="Q82" s="50">
        <f>IF($B$82="Intangibles excl. Goodwill",BS!AC29,BS!AC27)</f>
        <v>12827</v>
      </c>
      <c r="R82" s="50">
        <f>IF($B$82="Intangibles excl. Goodwill",BS!AD29,BS!AD27)</f>
        <v>12779</v>
      </c>
      <c r="S82" s="50">
        <f>IF($B$82="Intangibles excl. Goodwill",BS!AE29,BS!AE27)</f>
        <v>13082</v>
      </c>
      <c r="T82" s="68">
        <f>IF($B$82="Intangibles excl. Goodwill",BS!AF29,BS!AF27)</f>
        <v>13082</v>
      </c>
      <c r="U82" s="203"/>
      <c r="V82" s="50">
        <f>IF($B$82="Intangibles excl. Goodwill",BS!AH29,BS!AH27)</f>
        <v>13028</v>
      </c>
      <c r="W82" s="50">
        <f>IF($B$82="Intangibles excl. Goodwill",BS!AI29,BS!AI27)</f>
        <v>13322</v>
      </c>
      <c r="X82" s="46"/>
      <c r="Y82" s="46"/>
      <c r="Z82" s="57">
        <f>AVERAGE(T82,N82,H82)</f>
        <v>13110.666666666666</v>
      </c>
      <c r="AB82" s="46"/>
      <c r="AC82" s="46"/>
      <c r="AD82" s="46"/>
      <c r="AE82" s="46"/>
      <c r="AF82" s="57">
        <f>AVERAGE(Z82,T82,N82)</f>
        <v>13067.888888888889</v>
      </c>
      <c r="AH82" s="57">
        <f>AVERAGE(AF82,Z82,T82)</f>
        <v>13086.851851851852</v>
      </c>
      <c r="AJ82" s="57">
        <f>AVERAGE(AH82,AF82,Z82)</f>
        <v>13088.46913580247</v>
      </c>
      <c r="AL82" s="57">
        <f>AVERAGE(AJ82,AH82,AF82)</f>
        <v>13081.069958847736</v>
      </c>
      <c r="AR82" s="692" t="s">
        <v>597</v>
      </c>
      <c r="AS82" s="756">
        <f>AS81*0.263</f>
        <v>808.72500000000002</v>
      </c>
      <c r="AT82" s="756">
        <f>AS82*1.03</f>
        <v>832.98675000000003</v>
      </c>
      <c r="AU82" s="756">
        <f>AT82*1.1</f>
        <v>916.28542500000015</v>
      </c>
      <c r="AV82" s="756">
        <f>AU82*1.15</f>
        <v>1053.7282387500002</v>
      </c>
      <c r="AW82" s="756">
        <f>AV82*1.1</f>
        <v>1159.1010626250004</v>
      </c>
      <c r="AX82" s="756">
        <f>AW82*1.07</f>
        <v>1240.2381370087505</v>
      </c>
      <c r="AY82" s="758">
        <f t="shared" ref="AY82:AY84" si="41">((AX82/AT82)^(1/4))-1</f>
        <v>0.10462977945580909</v>
      </c>
      <c r="BA82" s="692" t="s">
        <v>301</v>
      </c>
      <c r="BB82" s="756">
        <f>BB80*0.122</f>
        <v>761.40199999999993</v>
      </c>
      <c r="BC82" s="756">
        <f>BB82*1.095</f>
        <v>833.73518999999987</v>
      </c>
      <c r="BD82" s="756">
        <f>BC82*1.15</f>
        <v>958.79546849999974</v>
      </c>
      <c r="BE82" s="756">
        <f>BD82*1.13</f>
        <v>1083.4388794049996</v>
      </c>
      <c r="BF82" s="756">
        <f>BE82*1.085</f>
        <v>1175.5311841544246</v>
      </c>
      <c r="BG82" s="756">
        <f>BF82*1.08</f>
        <v>1269.5736788867787</v>
      </c>
      <c r="BH82" s="758">
        <f t="shared" si="40"/>
        <v>0.11085517964567582</v>
      </c>
      <c r="BM82" s="761">
        <f>SUM(BM74:BM80)</f>
        <v>71043</v>
      </c>
      <c r="BN82" s="761">
        <f>SUM(BN74,BN75,BN78,BN79,BN80)</f>
        <v>73851.742538335195</v>
      </c>
      <c r="BO82" s="761">
        <f t="shared" ref="BO82:BR82" si="42">SUM(BO74,BO75,BO78,BO79,BO80)</f>
        <v>80688.274262268227</v>
      </c>
      <c r="BP82" s="761">
        <f t="shared" si="42"/>
        <v>87226.366135751348</v>
      </c>
      <c r="BQ82" s="761">
        <f t="shared" si="42"/>
        <v>92511.612561458533</v>
      </c>
      <c r="BR82" s="761">
        <f t="shared" si="42"/>
        <v>94316.789019448304</v>
      </c>
      <c r="BV82" s="779"/>
      <c r="BW82" s="778"/>
      <c r="BX82" s="778"/>
      <c r="BY82" s="778"/>
      <c r="BZ82" s="778"/>
      <c r="CA82" s="778"/>
      <c r="CB82" s="778"/>
      <c r="CC82" s="774"/>
      <c r="CD82" s="770"/>
      <c r="CE82" s="779"/>
      <c r="CF82" s="778"/>
      <c r="CG82" s="778"/>
      <c r="CH82" s="778"/>
      <c r="CI82" s="778"/>
      <c r="CJ82" s="778"/>
      <c r="CK82" s="778"/>
      <c r="CL82" s="774"/>
      <c r="CM82" s="770"/>
    </row>
    <row r="83" spans="2:91" ht="14.25" customHeight="1">
      <c r="B83" s="31" t="s">
        <v>606</v>
      </c>
      <c r="D83" s="297">
        <f>IFERROR(BS!P57/FCFF!D82,"")</f>
        <v>0</v>
      </c>
      <c r="E83" s="297">
        <f>IFERROR(BS!Q57/FCFF!E82,"")</f>
        <v>0</v>
      </c>
      <c r="F83" s="297">
        <f>IFERROR(BS!R57/FCFF!F82,"")</f>
        <v>0</v>
      </c>
      <c r="G83" s="297">
        <f>IFERROR(BS!S57/FCFF!G82,"")</f>
        <v>0</v>
      </c>
      <c r="H83" s="300">
        <f>IFERROR(BS!T57/FCFF!H82,"")</f>
        <v>0</v>
      </c>
      <c r="J83" s="297">
        <f>IFERROR(BS!V57/FCFF!J82,"")</f>
        <v>0</v>
      </c>
      <c r="K83" s="297">
        <f>IFERROR(BS!W57/FCFF!K82,"")</f>
        <v>0</v>
      </c>
      <c r="L83" s="297">
        <f>IFERROR(BS!X57/FCFF!L82,"")</f>
        <v>0</v>
      </c>
      <c r="M83" s="297">
        <f>IFERROR(BS!Y57/FCFF!M82,"")</f>
        <v>0</v>
      </c>
      <c r="N83" s="300">
        <f>IFERROR(BS!Z57/FCFF!N82,"")</f>
        <v>0</v>
      </c>
      <c r="P83" s="297">
        <f>IFERROR(BS!AB57/FCFF!P82,"")</f>
        <v>0</v>
      </c>
      <c r="Q83" s="297">
        <f>IFERROR(BS!AC57/FCFF!Q82,"")</f>
        <v>0</v>
      </c>
      <c r="R83" s="297">
        <f>IFERROR(BS!AD57/FCFF!R82,"")</f>
        <v>0</v>
      </c>
      <c r="S83" s="297">
        <f>IFERROR(BS!AE57/FCFF!S82,"")</f>
        <v>0</v>
      </c>
      <c r="T83" s="300">
        <f>IFERROR(BS!AF57/FCFF!T82,"")</f>
        <v>0</v>
      </c>
      <c r="U83" s="203"/>
      <c r="V83" s="297">
        <f>IFERROR(BS!AH57/FCFF!V82,"")</f>
        <v>0</v>
      </c>
      <c r="W83" s="297">
        <f>IFERROR(BS!AI57/FCFF!W82,"")</f>
        <v>0</v>
      </c>
      <c r="X83" s="308"/>
      <c r="Y83" s="308"/>
      <c r="Z83" s="311">
        <f>AVERAGE(V83:Y83)</f>
        <v>0</v>
      </c>
      <c r="AB83" s="308"/>
      <c r="AC83" s="308"/>
      <c r="AD83" s="308"/>
      <c r="AE83" s="308"/>
      <c r="AF83" s="311" t="e">
        <f>AVERAGE(AB83:AE83)</f>
        <v>#DIV/0!</v>
      </c>
      <c r="AH83" s="308"/>
      <c r="AJ83" s="308"/>
      <c r="AL83" s="308"/>
      <c r="AR83" s="692" t="s">
        <v>301</v>
      </c>
      <c r="AS83" s="756">
        <f>AS81*0.479</f>
        <v>1472.925</v>
      </c>
      <c r="AT83" s="756">
        <f>AS83*1.08</f>
        <v>1590.759</v>
      </c>
      <c r="AU83" s="756">
        <f>AT83*1.14</f>
        <v>1813.4652599999999</v>
      </c>
      <c r="AV83" s="756">
        <f>AU83*1.15</f>
        <v>2085.4850489999999</v>
      </c>
      <c r="AW83" s="756">
        <f>AV83*1.115</f>
        <v>2325.3158296349998</v>
      </c>
      <c r="AX83" s="756">
        <f>AW83*1.1</f>
        <v>2557.8474125984999</v>
      </c>
      <c r="AY83" s="758">
        <f t="shared" si="41"/>
        <v>0.12607563332180316</v>
      </c>
      <c r="BA83" s="692" t="s">
        <v>306</v>
      </c>
      <c r="BB83" s="756">
        <f>BB80*0.41</f>
        <v>2558.81</v>
      </c>
      <c r="BC83" s="756">
        <f>BB83*1.075</f>
        <v>2750.72075</v>
      </c>
      <c r="BD83" s="756">
        <f>BC83*1.14</f>
        <v>3135.8216549999997</v>
      </c>
      <c r="BE83" s="756">
        <f>BD83*1.11</f>
        <v>3480.7620370499999</v>
      </c>
      <c r="BF83" s="756">
        <f>BE83*1.09</f>
        <v>3794.0306203845003</v>
      </c>
      <c r="BG83" s="756">
        <f>BF83*1.085</f>
        <v>4116.5232231171831</v>
      </c>
      <c r="BH83" s="758">
        <f t="shared" si="40"/>
        <v>0.10604046611808693</v>
      </c>
      <c r="BV83" s="779"/>
      <c r="BW83" s="778"/>
      <c r="BX83" s="778"/>
      <c r="BY83" s="778"/>
      <c r="BZ83" s="778"/>
      <c r="CA83" s="778"/>
      <c r="CB83" s="778"/>
      <c r="CC83" s="774"/>
      <c r="CD83" s="770"/>
      <c r="CE83" s="779"/>
      <c r="CF83" s="778"/>
      <c r="CG83" s="778"/>
      <c r="CH83" s="778"/>
      <c r="CI83" s="778"/>
      <c r="CJ83" s="778"/>
      <c r="CK83" s="778"/>
      <c r="CL83" s="774"/>
      <c r="CM83" s="770"/>
    </row>
    <row r="84" spans="2:91" ht="14.25" customHeight="1">
      <c r="D84" s="46"/>
      <c r="E84" s="46"/>
      <c r="F84" s="46"/>
      <c r="G84" s="46"/>
      <c r="J84" s="46"/>
      <c r="K84" s="46"/>
      <c r="L84" s="46"/>
      <c r="M84" s="46"/>
      <c r="P84" s="46"/>
      <c r="Q84" s="46"/>
      <c r="R84" s="46"/>
      <c r="S84" s="46"/>
      <c r="U84" s="203"/>
      <c r="V84" s="46"/>
      <c r="W84" s="46"/>
      <c r="X84" s="46"/>
      <c r="Y84" s="46"/>
      <c r="AB84" s="46"/>
      <c r="AC84" s="46"/>
      <c r="AD84" s="46"/>
      <c r="AE84" s="46"/>
      <c r="AR84" s="692" t="s">
        <v>306</v>
      </c>
      <c r="AS84" s="756">
        <f>AS81*0.256</f>
        <v>787.2</v>
      </c>
      <c r="AT84" s="756">
        <f>AS84*1.03</f>
        <v>810.81600000000003</v>
      </c>
      <c r="AU84" s="756">
        <f>AT84*1.09</f>
        <v>883.78944000000013</v>
      </c>
      <c r="AV84" s="756">
        <f>AU84*1.07</f>
        <v>945.65470080000023</v>
      </c>
      <c r="AW84" s="756">
        <f>AV84*1.05</f>
        <v>992.93743584000026</v>
      </c>
      <c r="AX84" s="756">
        <f>AW84*1.04</f>
        <v>1032.6549332736004</v>
      </c>
      <c r="AY84" s="758">
        <f t="shared" si="41"/>
        <v>6.2327021755991918E-2</v>
      </c>
      <c r="BA84" s="692" t="s">
        <v>311</v>
      </c>
      <c r="BB84" s="756">
        <f>BB80*0.025</f>
        <v>156.02500000000001</v>
      </c>
      <c r="BC84" s="756">
        <f>BB84*1.045</f>
        <v>163.04612499999999</v>
      </c>
      <c r="BD84" s="756">
        <f>BC84*1.057</f>
        <v>172.33975412499998</v>
      </c>
      <c r="BE84" s="756">
        <f>BD84*1.06</f>
        <v>182.68013937249998</v>
      </c>
      <c r="BF84" s="756">
        <f>BE84*1.054</f>
        <v>192.544866898615</v>
      </c>
      <c r="BG84" s="756">
        <f>BF84*1.05</f>
        <v>202.17211024354575</v>
      </c>
      <c r="BH84" s="758">
        <f t="shared" si="40"/>
        <v>5.5243511968013692E-2</v>
      </c>
      <c r="BV84" s="779"/>
      <c r="BW84" s="778"/>
      <c r="BX84" s="778"/>
      <c r="BY84" s="778"/>
      <c r="BZ84" s="778"/>
      <c r="CA84" s="778"/>
      <c r="CB84" s="778"/>
      <c r="CC84" s="774"/>
      <c r="CD84" s="770"/>
      <c r="CE84" s="779"/>
      <c r="CF84" s="778"/>
      <c r="CG84" s="778"/>
      <c r="CH84" s="778"/>
      <c r="CI84" s="778"/>
      <c r="CJ84" s="778"/>
      <c r="CK84" s="778"/>
      <c r="CL84" s="774"/>
      <c r="CM84" s="770"/>
    </row>
    <row r="85" spans="2:91" ht="14.25" customHeight="1">
      <c r="B85" s="741" t="s">
        <v>607</v>
      </c>
      <c r="D85" s="50">
        <f>BS!P37</f>
        <v>5392</v>
      </c>
      <c r="E85" s="50">
        <f>BS!Q37</f>
        <v>5385</v>
      </c>
      <c r="F85" s="50">
        <f>BS!R37</f>
        <v>5868</v>
      </c>
      <c r="G85" s="50">
        <f>BS!S37</f>
        <v>5270</v>
      </c>
      <c r="H85" s="68">
        <f>BS!T37</f>
        <v>5270</v>
      </c>
      <c r="J85" s="50">
        <f>BS!V37</f>
        <v>5983</v>
      </c>
      <c r="K85" s="50">
        <f>BS!W37</f>
        <v>6439</v>
      </c>
      <c r="L85" s="50">
        <f>BS!X37</f>
        <v>7033</v>
      </c>
      <c r="M85" s="50">
        <f>BS!Y37</f>
        <v>5512</v>
      </c>
      <c r="N85" s="68">
        <f>BS!Z37</f>
        <v>5512</v>
      </c>
      <c r="P85" s="50">
        <f>BS!AB37</f>
        <v>6268</v>
      </c>
      <c r="Q85" s="50">
        <f>BS!AC37</f>
        <v>6220</v>
      </c>
      <c r="R85" s="50">
        <f>BS!AD37</f>
        <v>6307</v>
      </c>
      <c r="S85" s="50">
        <f>BS!AE37</f>
        <v>5405</v>
      </c>
      <c r="T85" s="68">
        <f>BS!AF37</f>
        <v>5405</v>
      </c>
      <c r="U85" s="203"/>
      <c r="V85" s="50">
        <f>BS!AH37</f>
        <v>6270</v>
      </c>
      <c r="W85" s="50">
        <f>BS!AI37</f>
        <v>6472</v>
      </c>
      <c r="X85" s="46"/>
      <c r="Y85" s="46"/>
      <c r="Z85" s="304">
        <f>T85*1.01</f>
        <v>5459.05</v>
      </c>
      <c r="AB85" s="46"/>
      <c r="AC85" s="46"/>
      <c r="AD85" s="46"/>
      <c r="AE85" s="46"/>
      <c r="AF85" s="304">
        <f>Z85*1.015</f>
        <v>5540.9357499999996</v>
      </c>
      <c r="AH85" s="57">
        <f>AF85*1.02</f>
        <v>5651.754465</v>
      </c>
      <c r="AJ85" s="57">
        <f>AH85*1.02</f>
        <v>5764.7895543000004</v>
      </c>
      <c r="AL85" s="57">
        <f>AJ85*1.02</f>
        <v>5880.0853453860009</v>
      </c>
      <c r="AR85" s="692" t="s">
        <v>311</v>
      </c>
      <c r="AS85" s="759">
        <f>AS81*0.002</f>
        <v>6.15</v>
      </c>
      <c r="AT85" s="759">
        <f>AS85*1.013</f>
        <v>6.2299499999999997</v>
      </c>
      <c r="AU85" s="759">
        <f>AT85*1.015</f>
        <v>6.3233992499999987</v>
      </c>
      <c r="AV85" s="759">
        <f>AU85*1.017</f>
        <v>6.4308970372499985</v>
      </c>
      <c r="AW85" s="759">
        <f>AV85*1.016</f>
        <v>6.5337913898459989</v>
      </c>
      <c r="AX85" s="759">
        <f>AW85*1.015</f>
        <v>6.6317982606936887</v>
      </c>
      <c r="AY85" s="758">
        <f>((AX85/AT85)^(1/4))-1</f>
        <v>1.5749661670851234E-2</v>
      </c>
      <c r="BB85" s="756"/>
      <c r="BC85" s="755"/>
      <c r="BD85" s="755"/>
      <c r="BE85" s="755"/>
      <c r="BF85" s="755"/>
      <c r="BG85" s="755"/>
      <c r="BN85" s="287">
        <f>BN74/BN82</f>
        <v>0.73411201457105324</v>
      </c>
      <c r="BO85" s="287">
        <f>BO74/BO82</f>
        <v>0.73253938171950728</v>
      </c>
      <c r="BP85" s="287">
        <f>BP74/BP82</f>
        <v>0.72724565892255366</v>
      </c>
      <c r="BQ85" s="287">
        <f>BQ74/BQ82</f>
        <v>0.71944577032775614</v>
      </c>
      <c r="BR85" s="287">
        <f>BR74/BR82</f>
        <v>0.70245944638974922</v>
      </c>
      <c r="BV85" s="779"/>
      <c r="BW85" s="778"/>
      <c r="BX85" s="778"/>
      <c r="BY85" s="778"/>
      <c r="BZ85" s="778"/>
      <c r="CA85" s="778"/>
      <c r="CB85" s="778"/>
      <c r="CC85" s="774"/>
      <c r="CD85" s="770"/>
      <c r="CE85" s="770"/>
      <c r="CF85" s="778"/>
      <c r="CG85" s="778"/>
      <c r="CH85" s="778"/>
      <c r="CI85" s="778"/>
      <c r="CJ85" s="778"/>
      <c r="CK85" s="778"/>
      <c r="CL85" s="770"/>
      <c r="CM85" s="770"/>
    </row>
    <row r="86" spans="2:91" ht="14.25" customHeight="1">
      <c r="B86" s="31" t="s">
        <v>608</v>
      </c>
      <c r="D86" s="315">
        <f>D85/D34*90</f>
        <v>37.17196476445806</v>
      </c>
      <c r="E86" s="315">
        <f>E85/E34*91</f>
        <v>36.325796886582651</v>
      </c>
      <c r="F86" s="315">
        <f>F85/F34*92</f>
        <v>37.326695706285001</v>
      </c>
      <c r="G86" s="315">
        <f>G85/G34*92</f>
        <v>29.051471028821382</v>
      </c>
      <c r="H86" s="316">
        <f>H85/H34*365</f>
        <v>33.338821775828897</v>
      </c>
      <c r="I86" s="317"/>
      <c r="J86" s="315">
        <f>J85/J34*90</f>
        <v>41.167431192660551</v>
      </c>
      <c r="K86" s="315">
        <f>K85/K34*91</f>
        <v>40.125248236663701</v>
      </c>
      <c r="L86" s="315">
        <f>L85/L34*92</f>
        <v>43.630209035738368</v>
      </c>
      <c r="M86" s="315">
        <f>M85/M34*92</f>
        <v>30.587128294830809</v>
      </c>
      <c r="N86" s="316">
        <f>N85/N34*365</f>
        <v>34.046571447911731</v>
      </c>
      <c r="O86" s="317"/>
      <c r="P86" s="315">
        <f>P85/P34*90</f>
        <v>37.108275226943825</v>
      </c>
      <c r="Q86" s="315">
        <f>Q85/Q34*91</f>
        <v>35.587551084564602</v>
      </c>
      <c r="R86" s="315">
        <f>R85/R34*92</f>
        <v>38.716487622606259</v>
      </c>
      <c r="S86" s="315">
        <f>S85/S34*92</f>
        <v>27.730314521525766</v>
      </c>
      <c r="T86" s="316">
        <f>T85/T34*365</f>
        <v>30.771060471355263</v>
      </c>
      <c r="U86" s="318"/>
      <c r="V86" s="315">
        <f>V85/V34*90</f>
        <v>36.080562659846549</v>
      </c>
      <c r="W86" s="315">
        <f>W85/W34*91</f>
        <v>33.935580524344573</v>
      </c>
      <c r="X86" s="319"/>
      <c r="Y86" s="319"/>
      <c r="Z86" s="316">
        <f>Z85/Z34*365</f>
        <v>30.101458699644169</v>
      </c>
      <c r="AA86" s="317"/>
      <c r="AB86" s="319"/>
      <c r="AC86" s="319"/>
      <c r="AD86" s="319"/>
      <c r="AE86" s="319"/>
      <c r="AF86" s="316">
        <f>AF85/AF34*365</f>
        <v>28.128146467994373</v>
      </c>
      <c r="AG86" s="316"/>
      <c r="AH86" s="316">
        <f t="shared" ref="AH86:AL86" si="43">AH85/AH34*365</f>
        <v>26.376606618694325</v>
      </c>
      <c r="AI86" s="316"/>
      <c r="AJ86" s="316">
        <f>AJ85/AJ34*365</f>
        <v>25.422200884734004</v>
      </c>
      <c r="AK86" s="316"/>
      <c r="AL86" s="316">
        <f t="shared" si="43"/>
        <v>25.449883184814578</v>
      </c>
      <c r="AS86" s="755"/>
      <c r="AT86" s="755"/>
      <c r="AU86" s="755"/>
      <c r="AV86" s="755"/>
      <c r="AW86" s="755"/>
      <c r="AX86" s="755"/>
      <c r="BN86" s="287">
        <f>BN75/BN82</f>
        <v>0.11336339477148277</v>
      </c>
      <c r="BO86" s="287">
        <f>BO75/BO82</f>
        <v>0.12020435402257401</v>
      </c>
      <c r="BP86" s="287">
        <f>BP75/BP82</f>
        <v>0.12656440216723652</v>
      </c>
      <c r="BQ86" s="287">
        <f>BQ75/BQ82</f>
        <v>0.13312091008234544</v>
      </c>
      <c r="BR86" s="287">
        <f>BR75/BR82</f>
        <v>0.14082469790630817</v>
      </c>
      <c r="BV86" s="770"/>
      <c r="BW86" s="778"/>
      <c r="BX86" s="778"/>
      <c r="BY86" s="778"/>
      <c r="BZ86" s="778"/>
      <c r="CA86" s="778"/>
      <c r="CB86" s="778"/>
      <c r="CC86" s="770"/>
      <c r="CD86" s="770"/>
      <c r="CE86" s="770"/>
      <c r="CF86" s="770"/>
      <c r="CG86" s="770"/>
      <c r="CH86" s="770"/>
      <c r="CI86" s="770"/>
      <c r="CJ86" s="770"/>
      <c r="CK86" s="770"/>
      <c r="CL86" s="770"/>
      <c r="CM86" s="770"/>
    </row>
    <row r="87" spans="2:91" ht="14.25" customHeight="1">
      <c r="B87" s="28"/>
      <c r="D87" s="46"/>
      <c r="E87" s="46"/>
      <c r="F87" s="46"/>
      <c r="G87" s="46"/>
      <c r="J87" s="46"/>
      <c r="K87" s="46"/>
      <c r="L87" s="46"/>
      <c r="M87" s="46"/>
      <c r="P87" s="46"/>
      <c r="Q87" s="46"/>
      <c r="R87" s="46"/>
      <c r="S87" s="46"/>
      <c r="U87" s="203"/>
      <c r="V87" s="46"/>
      <c r="W87" s="46"/>
      <c r="X87" s="46"/>
      <c r="Y87" s="46"/>
      <c r="AB87" s="46"/>
      <c r="AC87" s="46"/>
      <c r="AD87" s="46"/>
      <c r="AE87" s="46"/>
      <c r="AY87" s="687" t="s">
        <v>540</v>
      </c>
      <c r="BN87" s="287">
        <f>BN78/BN82</f>
        <v>8.8732503455804343E-2</v>
      </c>
      <c r="BO87" s="287">
        <f>BO78/BO82</f>
        <v>8.5275122846661028E-2</v>
      </c>
      <c r="BP87" s="287">
        <f>BP78/BP82</f>
        <v>8.3616284537739172E-2</v>
      </c>
      <c r="BQ87" s="287">
        <f>BQ78/BQ82</f>
        <v>8.1992803130102654E-2</v>
      </c>
      <c r="BR87" s="287">
        <f>BR78/BR82</f>
        <v>8.2836206684994099E-2</v>
      </c>
      <c r="BV87" s="770"/>
      <c r="BW87" s="770"/>
      <c r="BX87" s="770"/>
      <c r="BY87" s="770"/>
      <c r="BZ87" s="770"/>
      <c r="CA87" s="770"/>
      <c r="CB87" s="770"/>
      <c r="CC87" s="774"/>
      <c r="CD87" s="770"/>
      <c r="CE87" s="770"/>
      <c r="CF87" s="770"/>
      <c r="CG87" s="770"/>
      <c r="CH87" s="770"/>
      <c r="CI87" s="770"/>
      <c r="CJ87" s="770"/>
      <c r="CK87" s="770"/>
      <c r="CL87" s="770"/>
      <c r="CM87" s="770"/>
    </row>
    <row r="88" spans="2:91" ht="14.25" customHeight="1">
      <c r="B88" s="741" t="s">
        <v>609</v>
      </c>
      <c r="D88" s="50">
        <f>BS!P40</f>
        <v>10155</v>
      </c>
      <c r="E88" s="50">
        <f>BS!Q40</f>
        <v>11094</v>
      </c>
      <c r="F88" s="50">
        <f>BS!R40</f>
        <v>10479</v>
      </c>
      <c r="G88" s="50">
        <f>BS!S40</f>
        <v>10215</v>
      </c>
      <c r="H88" s="68">
        <f>BS!T40</f>
        <v>10215</v>
      </c>
      <c r="J88" s="50">
        <f>BS!V40</f>
        <v>10884</v>
      </c>
      <c r="K88" s="50">
        <f>BS!W40</f>
        <v>10982</v>
      </c>
      <c r="L88" s="50">
        <f>BS!X40</f>
        <v>9992</v>
      </c>
      <c r="M88" s="50">
        <f>BS!Y40</f>
        <v>10919</v>
      </c>
      <c r="N88" s="68">
        <f>BS!Z40</f>
        <v>10919</v>
      </c>
      <c r="P88" s="50">
        <f>BS!AB40</f>
        <v>11263</v>
      </c>
      <c r="Q88" s="50">
        <f>BS!AC40</f>
        <v>12131</v>
      </c>
      <c r="R88" s="50">
        <f>BS!AD40</f>
        <v>11361</v>
      </c>
      <c r="S88" s="50">
        <f>BS!AE40</f>
        <v>13105</v>
      </c>
      <c r="T88" s="68">
        <f>BS!AF40</f>
        <v>13105</v>
      </c>
      <c r="U88" s="203"/>
      <c r="V88" s="50">
        <f>BS!AH40</f>
        <v>13274</v>
      </c>
      <c r="W88" s="50">
        <f>BS!AI40</f>
        <v>14764</v>
      </c>
      <c r="X88" s="46"/>
      <c r="Y88" s="46"/>
      <c r="Z88" s="304">
        <f>T88*1.05</f>
        <v>13760.25</v>
      </c>
      <c r="AA88" s="304">
        <f t="shared" ref="AA88" si="44">U88*1.002</f>
        <v>0</v>
      </c>
      <c r="AB88" s="304"/>
      <c r="AC88" s="304"/>
      <c r="AD88" s="304"/>
      <c r="AE88" s="304"/>
      <c r="AF88" s="304">
        <f>Z88*1.05</f>
        <v>14448.262500000001</v>
      </c>
      <c r="AG88" s="304"/>
      <c r="AH88" s="304">
        <f>AF88*1.05</f>
        <v>15170.675625000002</v>
      </c>
      <c r="AI88" s="304"/>
      <c r="AJ88" s="304">
        <f>AH88*1.05</f>
        <v>15929.209406250002</v>
      </c>
      <c r="AK88" s="304"/>
      <c r="AL88" s="304">
        <f>AJ88*1.05</f>
        <v>16725.669876562504</v>
      </c>
      <c r="AR88" s="688" t="s">
        <v>604</v>
      </c>
      <c r="AS88" s="757">
        <v>1483</v>
      </c>
      <c r="AT88" s="756">
        <f>SUM(AT89:AT92)</f>
        <v>1511.8443499999998</v>
      </c>
      <c r="AU88" s="756">
        <f t="shared" ref="AU88:AX88" si="45">SUM(AU89:AU92)</f>
        <v>1587.095217975</v>
      </c>
      <c r="AV88" s="756">
        <f t="shared" si="45"/>
        <v>1643.1627883890001</v>
      </c>
      <c r="AW88" s="756">
        <f t="shared" si="45"/>
        <v>1673.21470819917</v>
      </c>
      <c r="AX88" s="756">
        <f t="shared" si="45"/>
        <v>1699.8104000843091</v>
      </c>
      <c r="AY88" s="758">
        <f>((AX88/AT88)^(1/4))-1</f>
        <v>2.9729963527258541E-2</v>
      </c>
      <c r="BA88" s="694"/>
      <c r="BN88" s="287">
        <f>BN79/BN82</f>
        <v>4.3719347560743207E-2</v>
      </c>
      <c r="BO88" s="287">
        <f>BO79/BO82</f>
        <v>4.3616467599254714E-2</v>
      </c>
      <c r="BP88" s="287">
        <f>BP79/BP82</f>
        <v>4.5592308279938917E-2</v>
      </c>
      <c r="BQ88" s="287">
        <f>BQ79/BQ82</f>
        <v>4.9435729792427427E-2</v>
      </c>
      <c r="BR88" s="287">
        <f>BR79/BR82</f>
        <v>5.8187465397792029E-2</v>
      </c>
      <c r="BV88" s="776"/>
      <c r="BW88" s="777"/>
      <c r="BX88" s="778"/>
      <c r="BY88" s="778"/>
      <c r="BZ88" s="778"/>
      <c r="CA88" s="778"/>
      <c r="CB88" s="778"/>
      <c r="CC88" s="774"/>
      <c r="CD88" s="770"/>
      <c r="CE88" s="780"/>
      <c r="CF88" s="770"/>
      <c r="CG88" s="770"/>
      <c r="CH88" s="770"/>
      <c r="CI88" s="770"/>
      <c r="CJ88" s="770"/>
      <c r="CK88" s="770"/>
      <c r="CL88" s="770"/>
      <c r="CM88" s="770"/>
    </row>
    <row r="89" spans="2:91" ht="14.25" customHeight="1">
      <c r="B89" s="31" t="s">
        <v>610</v>
      </c>
      <c r="D89" s="297" t="e">
        <f>D88/D43</f>
        <v>#DIV/0!</v>
      </c>
      <c r="E89" s="297" t="e">
        <f>E88/E43</f>
        <v>#DIV/0!</v>
      </c>
      <c r="F89" s="297" t="e">
        <f>F88/F43</f>
        <v>#DIV/0!</v>
      </c>
      <c r="G89" s="297" t="e">
        <f>G88/G43</f>
        <v>#DIV/0!</v>
      </c>
      <c r="H89" s="300" t="e">
        <f>H88/H43</f>
        <v>#DIV/0!</v>
      </c>
      <c r="J89" s="297" t="e">
        <f>J88/J43</f>
        <v>#DIV/0!</v>
      </c>
      <c r="K89" s="297" t="e">
        <f>K88/K43</f>
        <v>#DIV/0!</v>
      </c>
      <c r="L89" s="297" t="e">
        <f>L88/L43</f>
        <v>#DIV/0!</v>
      </c>
      <c r="M89" s="297" t="e">
        <f>M88/M43</f>
        <v>#DIV/0!</v>
      </c>
      <c r="N89" s="300" t="e">
        <f>N88/N43</f>
        <v>#DIV/0!</v>
      </c>
      <c r="P89" s="297" t="e">
        <f>P88/P43</f>
        <v>#DIV/0!</v>
      </c>
      <c r="Q89" s="297" t="e">
        <f>Q88/Q43</f>
        <v>#DIV/0!</v>
      </c>
      <c r="R89" s="297" t="e">
        <f>R88/R43</f>
        <v>#DIV/0!</v>
      </c>
      <c r="S89" s="297" t="e">
        <f>S88/S43</f>
        <v>#DIV/0!</v>
      </c>
      <c r="T89" s="300" t="e">
        <f>T88/T43</f>
        <v>#DIV/0!</v>
      </c>
      <c r="U89" s="203"/>
      <c r="V89" s="297" t="e">
        <f>V88/V43</f>
        <v>#DIV/0!</v>
      </c>
      <c r="W89" s="297" t="e">
        <f>W88/W43</f>
        <v>#DIV/0!</v>
      </c>
      <c r="X89" s="308"/>
      <c r="Y89" s="308"/>
      <c r="Z89" s="320" t="e">
        <f>Z88/Z43</f>
        <v>#DIV/0!</v>
      </c>
      <c r="AB89" s="308"/>
      <c r="AC89" s="308"/>
      <c r="AD89" s="308"/>
      <c r="AE89" s="308"/>
      <c r="AF89" s="320" t="e">
        <f>AF88/AF43</f>
        <v>#DIV/0!</v>
      </c>
      <c r="AH89" s="308"/>
      <c r="AJ89" s="308"/>
      <c r="AL89" s="308"/>
      <c r="AR89" s="692" t="s">
        <v>597</v>
      </c>
      <c r="AS89" s="756">
        <f>AS88*0.364</f>
        <v>539.81200000000001</v>
      </c>
      <c r="AT89" s="756">
        <f>AS89*1.01</f>
        <v>545.21011999999996</v>
      </c>
      <c r="AU89" s="756">
        <f>AT89*1.05</f>
        <v>572.47062600000004</v>
      </c>
      <c r="AV89" s="756">
        <f>AU89*1.06</f>
        <v>606.81886356000007</v>
      </c>
      <c r="AW89" s="756">
        <f>AV89*1.03</f>
        <v>625.02342946680005</v>
      </c>
      <c r="AX89" s="756">
        <f>AW89*1.028</f>
        <v>642.52408549187044</v>
      </c>
      <c r="AY89" s="758">
        <f t="shared" ref="AY89:AY91" si="46">((AX89/AT89)^(1/4))-1</f>
        <v>4.1912806025734994E-2</v>
      </c>
      <c r="BA89" s="694"/>
      <c r="BN89" s="287">
        <f>BN80/BN82</f>
        <v>2.0072739640916496E-2</v>
      </c>
      <c r="BO89" s="287">
        <f>BO80/BO82</f>
        <v>1.8364673812003084E-2</v>
      </c>
      <c r="BP89" s="287">
        <f>BP80/BP82</f>
        <v>1.6981346092531786E-2</v>
      </c>
      <c r="BQ89" s="287">
        <f>BQ80/BQ82</f>
        <v>1.600478666736848E-2</v>
      </c>
      <c r="BR89" s="287">
        <f>BR80/BR82</f>
        <v>1.5692183621156604E-2</v>
      </c>
      <c r="BV89" s="779"/>
      <c r="BW89" s="778"/>
      <c r="BX89" s="778"/>
      <c r="BY89" s="778"/>
      <c r="BZ89" s="778"/>
      <c r="CA89" s="778"/>
      <c r="CB89" s="778"/>
      <c r="CC89" s="774"/>
      <c r="CD89" s="770"/>
      <c r="CE89" s="780"/>
      <c r="CF89" s="770"/>
      <c r="CG89" s="770"/>
      <c r="CH89" s="770"/>
      <c r="CI89" s="770"/>
      <c r="CJ89" s="770"/>
      <c r="CK89" s="770"/>
      <c r="CL89" s="770"/>
      <c r="CM89" s="770"/>
    </row>
    <row r="90" spans="2:91" ht="14.25" customHeight="1">
      <c r="U90" s="203"/>
      <c r="AR90" s="692" t="s">
        <v>301</v>
      </c>
      <c r="AS90" s="756">
        <f>AS88*0.045</f>
        <v>66.734999999999999</v>
      </c>
      <c r="AT90" s="756">
        <f>AS90*1.023</f>
        <v>68.269904999999994</v>
      </c>
      <c r="AU90" s="756">
        <f>AT90*1.045</f>
        <v>71.342050724999993</v>
      </c>
      <c r="AV90" s="756">
        <f>AU90*1.04</f>
        <v>74.195732753999991</v>
      </c>
      <c r="AW90" s="756">
        <f>AV90*1.03</f>
        <v>76.421604736619997</v>
      </c>
      <c r="AX90" s="756">
        <f>AW90*1.03</f>
        <v>78.714252878718597</v>
      </c>
      <c r="AY90" s="758">
        <f t="shared" si="46"/>
        <v>3.6229662027479792E-2</v>
      </c>
      <c r="BA90" s="694"/>
      <c r="BR90" s="287"/>
      <c r="BV90" s="779"/>
      <c r="BW90" s="778"/>
      <c r="BX90" s="778"/>
      <c r="BY90" s="778"/>
      <c r="BZ90" s="778"/>
      <c r="CA90" s="778"/>
      <c r="CB90" s="778"/>
      <c r="CC90" s="774"/>
      <c r="CD90" s="770"/>
      <c r="CE90" s="780"/>
      <c r="CF90" s="770"/>
      <c r="CG90" s="770"/>
      <c r="CH90" s="770"/>
      <c r="CI90" s="770"/>
      <c r="CJ90" s="770"/>
      <c r="CK90" s="770"/>
      <c r="CL90" s="770"/>
      <c r="CM90" s="770"/>
    </row>
    <row r="91" spans="2:91" ht="14.25" customHeight="1">
      <c r="B91" s="161" t="s">
        <v>611</v>
      </c>
      <c r="C91" s="184"/>
      <c r="D91" s="351" t="s">
        <v>563</v>
      </c>
      <c r="E91" s="351" t="s">
        <v>564</v>
      </c>
      <c r="F91" s="351" t="s">
        <v>565</v>
      </c>
      <c r="G91" s="351" t="s">
        <v>566</v>
      </c>
      <c r="H91" s="351" t="s">
        <v>567</v>
      </c>
      <c r="I91" s="37"/>
      <c r="J91" s="351" t="s">
        <v>568</v>
      </c>
      <c r="K91" s="351" t="s">
        <v>569</v>
      </c>
      <c r="L91" s="351" t="s">
        <v>570</v>
      </c>
      <c r="M91" s="351" t="s">
        <v>571</v>
      </c>
      <c r="N91" s="351" t="s">
        <v>572</v>
      </c>
      <c r="O91" s="37"/>
      <c r="P91" s="351" t="s">
        <v>573</v>
      </c>
      <c r="Q91" s="351" t="s">
        <v>574</v>
      </c>
      <c r="R91" s="351" t="s">
        <v>575</v>
      </c>
      <c r="S91" s="351" t="s">
        <v>576</v>
      </c>
      <c r="T91" s="351" t="s">
        <v>577</v>
      </c>
      <c r="U91" s="37"/>
      <c r="V91" s="351" t="s">
        <v>578</v>
      </c>
      <c r="W91" s="351" t="s">
        <v>579</v>
      </c>
      <c r="X91" s="351" t="s">
        <v>580</v>
      </c>
      <c r="Y91" s="351" t="s">
        <v>581</v>
      </c>
      <c r="Z91" s="351" t="s">
        <v>582</v>
      </c>
      <c r="AA91" s="37"/>
      <c r="AB91" s="351" t="s">
        <v>583</v>
      </c>
      <c r="AC91" s="351" t="s">
        <v>584</v>
      </c>
      <c r="AD91" s="351" t="s">
        <v>585</v>
      </c>
      <c r="AE91" s="351" t="s">
        <v>586</v>
      </c>
      <c r="AF91" s="351" t="s">
        <v>587</v>
      </c>
      <c r="AG91" s="37"/>
      <c r="AH91" s="351" t="s">
        <v>588</v>
      </c>
      <c r="AI91" s="37"/>
      <c r="AJ91" s="351" t="s">
        <v>589</v>
      </c>
      <c r="AK91" s="351"/>
      <c r="AL91" s="351" t="s">
        <v>590</v>
      </c>
      <c r="AR91" s="692" t="s">
        <v>306</v>
      </c>
      <c r="AS91" s="756">
        <f>AS88*0.591</f>
        <v>876.45299999999997</v>
      </c>
      <c r="AT91" s="756">
        <f>AS91*1.025</f>
        <v>898.36432499999989</v>
      </c>
      <c r="AU91" s="756">
        <f>AT91*1.05</f>
        <v>943.28254124999989</v>
      </c>
      <c r="AV91" s="756">
        <f>AU91*1.02</f>
        <v>962.14819207499988</v>
      </c>
      <c r="AW91" s="756">
        <f>AV91*1.01</f>
        <v>971.76967399574994</v>
      </c>
      <c r="AX91" s="756">
        <f>AW91*1.007</f>
        <v>978.57206171372013</v>
      </c>
      <c r="AY91" s="758">
        <f t="shared" si="46"/>
        <v>2.1609866944053868E-2</v>
      </c>
      <c r="BA91" s="694"/>
      <c r="BV91" s="779"/>
      <c r="BW91" s="778"/>
      <c r="BX91" s="778"/>
      <c r="BY91" s="778"/>
      <c r="BZ91" s="778"/>
      <c r="CA91" s="778"/>
      <c r="CB91" s="778"/>
      <c r="CC91" s="774"/>
      <c r="CD91" s="770"/>
      <c r="CE91" s="780"/>
      <c r="CF91" s="770"/>
      <c r="CG91" s="770"/>
      <c r="CH91" s="770"/>
      <c r="CI91" s="770"/>
      <c r="CJ91" s="770"/>
      <c r="CK91" s="770"/>
      <c r="CL91" s="770"/>
      <c r="CM91" s="770"/>
    </row>
    <row r="92" spans="2:91" ht="13.5" customHeight="1">
      <c r="B92" s="282"/>
      <c r="C92" s="36"/>
      <c r="D92" s="282"/>
      <c r="E92" s="282"/>
      <c r="F92" s="282"/>
      <c r="G92" s="282"/>
      <c r="H92" s="282"/>
      <c r="I92" s="36"/>
      <c r="J92" s="282"/>
      <c r="K92" s="282"/>
      <c r="L92" s="282"/>
      <c r="M92" s="282"/>
      <c r="N92" s="282"/>
      <c r="O92" s="36"/>
      <c r="P92" s="282"/>
      <c r="Q92" s="282"/>
      <c r="R92" s="282"/>
      <c r="S92" s="282"/>
      <c r="T92" s="282"/>
      <c r="U92" s="36"/>
      <c r="V92" s="282"/>
      <c r="W92" s="282"/>
      <c r="X92" s="282"/>
      <c r="Y92" s="282"/>
      <c r="Z92" s="282"/>
      <c r="AA92" s="36"/>
      <c r="AB92" s="282"/>
      <c r="AC92" s="282"/>
      <c r="AD92" s="282"/>
      <c r="AE92" s="282"/>
      <c r="AF92" s="282"/>
      <c r="AG92" s="36"/>
      <c r="AH92" s="282"/>
      <c r="AI92" s="36"/>
      <c r="AJ92" s="283"/>
      <c r="AK92" s="282"/>
      <c r="AL92" s="282"/>
      <c r="AR92" s="692" t="s">
        <v>311</v>
      </c>
      <c r="AS92" s="756">
        <f>AS88*0</f>
        <v>0</v>
      </c>
      <c r="AT92" s="756"/>
      <c r="AU92" s="756"/>
      <c r="AV92" s="756"/>
      <c r="AW92" s="756"/>
      <c r="AX92" s="756"/>
      <c r="AY92" s="758"/>
      <c r="BA92" s="694"/>
      <c r="BV92" s="779"/>
      <c r="BW92" s="778"/>
      <c r="BX92" s="778"/>
      <c r="BY92" s="778"/>
      <c r="BZ92" s="778"/>
      <c r="CA92" s="778"/>
      <c r="CB92" s="778"/>
      <c r="CC92" s="774"/>
      <c r="CD92" s="770"/>
      <c r="CE92" s="780"/>
      <c r="CF92" s="770"/>
      <c r="CG92" s="770"/>
      <c r="CH92" s="770"/>
      <c r="CI92" s="770"/>
      <c r="CJ92" s="770"/>
      <c r="CK92" s="770"/>
      <c r="CL92" s="770"/>
      <c r="CM92" s="770"/>
    </row>
    <row r="93" spans="2:91" ht="3.95" customHeight="1">
      <c r="U93" s="203"/>
      <c r="AY93" s="740"/>
      <c r="BV93" s="770"/>
      <c r="BW93" s="770"/>
      <c r="BX93" s="770"/>
      <c r="BY93" s="770"/>
      <c r="BZ93" s="770"/>
      <c r="CA93" s="770"/>
      <c r="CB93" s="770"/>
      <c r="CC93" s="774"/>
      <c r="CD93" s="770"/>
      <c r="CE93" s="770"/>
      <c r="CF93" s="770"/>
      <c r="CG93" s="770"/>
      <c r="CH93" s="770"/>
      <c r="CI93" s="770"/>
      <c r="CJ93" s="770"/>
      <c r="CK93" s="770"/>
      <c r="CL93" s="770"/>
      <c r="CM93" s="770"/>
    </row>
    <row r="94" spans="2:91" ht="14.25" customHeight="1">
      <c r="B94" s="741" t="s">
        <v>550</v>
      </c>
      <c r="D94" s="50">
        <f>CF!P17</f>
        <v>329</v>
      </c>
      <c r="E94" s="50">
        <f>CF!Q17</f>
        <v>672</v>
      </c>
      <c r="F94" s="50">
        <f>CF!R17</f>
        <v>293</v>
      </c>
      <c r="G94" s="50">
        <f>CF!S17</f>
        <v>439</v>
      </c>
      <c r="H94" s="68">
        <f>CF!T17</f>
        <v>1404</v>
      </c>
      <c r="J94" s="50">
        <f>CF!V17</f>
        <v>325</v>
      </c>
      <c r="K94" s="50">
        <f>CF!W17</f>
        <v>334</v>
      </c>
      <c r="L94" s="50">
        <f>CF!X17</f>
        <v>350</v>
      </c>
      <c r="M94" s="50">
        <f>CF!Y17</f>
        <v>421</v>
      </c>
      <c r="N94" s="68">
        <f>CF!Z17</f>
        <v>1430</v>
      </c>
      <c r="P94" s="50">
        <f>CF!AB17</f>
        <v>351</v>
      </c>
      <c r="Q94" s="50">
        <f>CF!AC17</f>
        <v>359</v>
      </c>
      <c r="R94" s="50">
        <f>CF!AD17</f>
        <v>390</v>
      </c>
      <c r="S94" s="50">
        <f>CF!AE17</f>
        <v>459</v>
      </c>
      <c r="T94" s="68">
        <f>CF!AF17</f>
        <v>1559</v>
      </c>
      <c r="U94" s="203"/>
      <c r="V94" s="50">
        <f>CF!AH17</f>
        <v>397</v>
      </c>
      <c r="W94" s="50">
        <f>CF!AI17</f>
        <v>399</v>
      </c>
      <c r="X94" s="46"/>
      <c r="Y94" s="46"/>
      <c r="Z94" s="304">
        <f>(Z82+Z79)*Z95</f>
        <v>1497.3896130918929</v>
      </c>
      <c r="AA94" s="304"/>
      <c r="AB94" s="304"/>
      <c r="AC94" s="304"/>
      <c r="AD94" s="304"/>
      <c r="AE94" s="304"/>
      <c r="AF94" s="304">
        <f>(AF82+AF79)*AF95</f>
        <v>1527.878413842991</v>
      </c>
      <c r="AG94" s="304"/>
      <c r="AH94" s="304">
        <f t="shared" ref="AH94:AL94" si="47">(AH82+AH79)*AH95</f>
        <v>1565.2106426657874</v>
      </c>
      <c r="AI94" s="304"/>
      <c r="AJ94" s="304">
        <f t="shared" si="47"/>
        <v>1573.4649422192012</v>
      </c>
      <c r="AK94" s="304"/>
      <c r="AL94" s="304">
        <f t="shared" si="47"/>
        <v>1592.7410963593293</v>
      </c>
      <c r="AR94" s="689"/>
      <c r="AS94" s="682"/>
      <c r="AT94" s="682"/>
      <c r="AU94" s="682"/>
      <c r="AV94" s="682"/>
      <c r="AW94" s="682"/>
      <c r="AX94" s="682"/>
      <c r="BV94" s="781"/>
      <c r="BW94" s="775"/>
      <c r="BX94" s="775"/>
      <c r="BY94" s="775"/>
      <c r="BZ94" s="775"/>
      <c r="CA94" s="775"/>
      <c r="CB94" s="775"/>
      <c r="CC94" s="770"/>
      <c r="CD94" s="770"/>
      <c r="CE94" s="770"/>
      <c r="CF94" s="770"/>
      <c r="CG94" s="770"/>
      <c r="CH94" s="770"/>
      <c r="CI94" s="770"/>
      <c r="CJ94" s="770"/>
      <c r="CK94" s="770"/>
      <c r="CL94" s="770"/>
      <c r="CM94" s="770"/>
    </row>
    <row r="95" spans="2:91" ht="14.25" customHeight="1">
      <c r="B95" s="746" t="s">
        <v>551</v>
      </c>
      <c r="D95" s="297">
        <f>D94/(D82+D79)</f>
        <v>1.5654739246288542E-2</v>
      </c>
      <c r="E95" s="297">
        <f>E94/(E82+E79)</f>
        <v>3.2080966248150093E-2</v>
      </c>
      <c r="F95" s="297">
        <f>F94/(F82+F79)</f>
        <v>1.4009754231615186E-2</v>
      </c>
      <c r="G95" s="297">
        <f>G94/(G82+G79)</f>
        <v>1.9673747423142422E-2</v>
      </c>
      <c r="H95" s="300">
        <f>H94/(H82+H79)</f>
        <v>6.2920139822532944E-2</v>
      </c>
      <c r="J95" s="297">
        <f>J94/(J82+J79)</f>
        <v>1.5394817867462461E-2</v>
      </c>
      <c r="K95" s="297">
        <f>K94/(K82+K79)</f>
        <v>1.5831634829596625E-2</v>
      </c>
      <c r="L95" s="297">
        <f>L94/(L82+L79)</f>
        <v>1.658610558240925E-2</v>
      </c>
      <c r="M95" s="297">
        <f>M94/(M82+M79)</f>
        <v>1.8726924958854144E-2</v>
      </c>
      <c r="N95" s="300">
        <f>N94/(N82+N79)</f>
        <v>6.3609270050264663E-2</v>
      </c>
      <c r="P95" s="297">
        <f>P94/(P82+P79)</f>
        <v>1.6483516483516484E-2</v>
      </c>
      <c r="Q95" s="297">
        <f>Q94/(Q82+Q79)</f>
        <v>1.6917204655765516E-2</v>
      </c>
      <c r="R95" s="297">
        <f>R94/(R82+R79)</f>
        <v>1.8367635284698348E-2</v>
      </c>
      <c r="S95" s="297">
        <f>S94/(S82+S79)</f>
        <v>2.0124517713083129E-2</v>
      </c>
      <c r="T95" s="300">
        <f>T94/(T82+T79)</f>
        <v>6.8353209400210446E-2</v>
      </c>
      <c r="U95" s="203"/>
      <c r="V95" s="297">
        <f>V94/(V82+V79)</f>
        <v>1.8260429603054136E-2</v>
      </c>
      <c r="W95" s="297">
        <f>W94/(W82+W79)</f>
        <v>1.8142961076755185E-2</v>
      </c>
      <c r="X95" s="297"/>
      <c r="Y95" s="297"/>
      <c r="Z95" s="320">
        <f>AVERAGE(T95,N95,H95)</f>
        <v>6.4960873091002694E-2</v>
      </c>
      <c r="AB95" s="297"/>
      <c r="AC95" s="297"/>
      <c r="AD95" s="297"/>
      <c r="AE95" s="297"/>
      <c r="AF95" s="320">
        <f>AVERAGE(Z95,T95,N95)</f>
        <v>6.5641117513825939E-2</v>
      </c>
      <c r="AH95" s="320">
        <f>AVERAGE(AF95,Z95,T95)</f>
        <v>6.6318400001679698E-2</v>
      </c>
      <c r="AJ95" s="320">
        <f>AVERAGE(AH95,AF95,Z95)</f>
        <v>6.5640130202169453E-2</v>
      </c>
      <c r="AL95" s="320">
        <f>AVERAGE(AJ95,AH95,AF95)</f>
        <v>6.5866549239225025E-2</v>
      </c>
      <c r="AR95" s="54"/>
      <c r="AS95" s="54"/>
      <c r="AT95" s="54"/>
      <c r="AU95" s="54"/>
      <c r="AV95" s="54"/>
      <c r="AW95" s="54"/>
      <c r="AX95" s="54"/>
      <c r="BV95" s="770"/>
      <c r="BW95" s="770"/>
      <c r="BX95" s="770"/>
      <c r="BY95" s="770"/>
      <c r="BZ95" s="770"/>
      <c r="CA95" s="770"/>
      <c r="CB95" s="770"/>
      <c r="CC95" s="770"/>
      <c r="CD95" s="770"/>
      <c r="CE95" s="770"/>
      <c r="CF95" s="770"/>
      <c r="CG95" s="770"/>
      <c r="CH95" s="770"/>
      <c r="CI95" s="770"/>
      <c r="CJ95" s="770"/>
      <c r="CK95" s="770"/>
      <c r="CL95" s="770"/>
      <c r="CM95" s="770"/>
    </row>
    <row r="96" spans="2:91" ht="14.25" customHeight="1">
      <c r="D96" s="46"/>
      <c r="E96" s="46"/>
      <c r="F96" s="46"/>
      <c r="G96" s="46"/>
      <c r="J96" s="46"/>
      <c r="K96" s="46"/>
      <c r="L96" s="46"/>
      <c r="M96" s="46"/>
      <c r="P96" s="46"/>
      <c r="Q96" s="46"/>
      <c r="R96" s="46"/>
      <c r="S96" s="46"/>
      <c r="U96" s="203"/>
      <c r="V96" s="46"/>
      <c r="W96" s="46"/>
      <c r="X96" s="46"/>
      <c r="Y96" s="46"/>
      <c r="AB96" s="46"/>
      <c r="AC96" s="46"/>
      <c r="AD96" s="46"/>
      <c r="AE96" s="46"/>
      <c r="AS96" s="683"/>
      <c r="AT96" s="684"/>
      <c r="AU96" s="684"/>
      <c r="AV96" s="684"/>
      <c r="AW96" s="684"/>
      <c r="AX96" s="684"/>
      <c r="BV96" s="770"/>
      <c r="BW96" s="770"/>
      <c r="BX96" s="770"/>
      <c r="BY96" s="770"/>
      <c r="BZ96" s="770"/>
      <c r="CA96" s="770"/>
      <c r="CB96" s="770"/>
      <c r="CC96" s="770"/>
      <c r="CD96" s="770"/>
      <c r="CE96" s="770"/>
      <c r="CF96" s="770"/>
      <c r="CG96" s="770"/>
      <c r="CH96" s="770"/>
      <c r="CI96" s="770"/>
      <c r="CJ96" s="770"/>
      <c r="CK96" s="770"/>
      <c r="CL96" s="770"/>
      <c r="CM96" s="770"/>
    </row>
    <row r="97" spans="2:91" ht="14.25" customHeight="1">
      <c r="B97" s="28" t="s">
        <v>612</v>
      </c>
      <c r="D97" s="50">
        <f>CF!P18</f>
        <v>54</v>
      </c>
      <c r="E97" s="50">
        <f>CF!Q18</f>
        <v>134</v>
      </c>
      <c r="F97" s="50">
        <f>CF!R18</f>
        <v>61</v>
      </c>
      <c r="G97" s="50">
        <f>CF!S18</f>
        <v>43</v>
      </c>
      <c r="H97" s="68">
        <f>CF!T18</f>
        <v>238</v>
      </c>
      <c r="J97" s="50">
        <f>CF!V18</f>
        <v>57</v>
      </c>
      <c r="K97" s="50">
        <f>CF!W18</f>
        <v>89</v>
      </c>
      <c r="L97" s="50">
        <f>CF!X18</f>
        <v>75</v>
      </c>
      <c r="M97" s="50">
        <f>CF!Y18</f>
        <v>44</v>
      </c>
      <c r="N97" s="68">
        <f>CF!Z18</f>
        <v>265</v>
      </c>
      <c r="P97" s="50">
        <f>CF!AB18</f>
        <v>61</v>
      </c>
      <c r="Q97" s="50">
        <f>CF!AC18</f>
        <v>93</v>
      </c>
      <c r="R97" s="50">
        <f>CF!AD18</f>
        <v>75</v>
      </c>
      <c r="S97" s="50">
        <f>CF!AE18</f>
        <v>48</v>
      </c>
      <c r="T97" s="68">
        <f>CF!AF18</f>
        <v>277</v>
      </c>
      <c r="U97" s="203"/>
      <c r="V97" s="50">
        <f>CF!AH18</f>
        <v>60</v>
      </c>
      <c r="W97" s="50">
        <f>CF!AI18</f>
        <v>81</v>
      </c>
      <c r="X97" s="46"/>
      <c r="Y97" s="46"/>
      <c r="Z97" s="304">
        <f>T97*1.03</f>
        <v>285.31</v>
      </c>
      <c r="AB97" s="46"/>
      <c r="AC97" s="46"/>
      <c r="AD97" s="46"/>
      <c r="AE97" s="46"/>
      <c r="AF97" s="304">
        <f>Z97*1.032</f>
        <v>294.43992000000003</v>
      </c>
      <c r="AH97" s="66">
        <f>AF97*1.033</f>
        <v>304.15643735999998</v>
      </c>
      <c r="AJ97" s="66">
        <f>AH97*1.0365</f>
        <v>315.25814732364</v>
      </c>
      <c r="AL97" s="66">
        <f>AJ97*1.033</f>
        <v>325.66166618532009</v>
      </c>
      <c r="AN97" s="287">
        <f>(AL97/Z97)^(1/4)-1</f>
        <v>3.3623588065931687E-2</v>
      </c>
      <c r="BV97" s="770"/>
      <c r="BW97" s="770"/>
      <c r="BX97" s="770"/>
      <c r="BY97" s="770"/>
      <c r="BZ97" s="770"/>
      <c r="CA97" s="770"/>
      <c r="CB97" s="770"/>
      <c r="CC97" s="770"/>
      <c r="CD97" s="770"/>
      <c r="CE97" s="770"/>
      <c r="CF97" s="770"/>
      <c r="CG97" s="770"/>
      <c r="CH97" s="770"/>
      <c r="CI97" s="770"/>
      <c r="CJ97" s="770"/>
      <c r="CK97" s="770"/>
      <c r="CL97" s="770"/>
      <c r="CM97" s="770"/>
    </row>
    <row r="98" spans="2:91" ht="14.25" hidden="1" customHeight="1">
      <c r="B98" s="31" t="s">
        <v>610</v>
      </c>
      <c r="D98" s="297" t="e">
        <f>D97/D43</f>
        <v>#DIV/0!</v>
      </c>
      <c r="E98" s="297" t="e">
        <f>E97/E43</f>
        <v>#DIV/0!</v>
      </c>
      <c r="F98" s="297" t="e">
        <f>F97/F43</f>
        <v>#DIV/0!</v>
      </c>
      <c r="G98" s="297" t="e">
        <f>G97/G43</f>
        <v>#DIV/0!</v>
      </c>
      <c r="H98" s="300" t="e">
        <f>H97/H43</f>
        <v>#DIV/0!</v>
      </c>
      <c r="J98" s="297" t="e">
        <f>J97/J43</f>
        <v>#DIV/0!</v>
      </c>
      <c r="K98" s="297" t="e">
        <f>K97/K43</f>
        <v>#DIV/0!</v>
      </c>
      <c r="L98" s="297" t="e">
        <f>L97/L43</f>
        <v>#DIV/0!</v>
      </c>
      <c r="M98" s="297" t="e">
        <f>M97/M43</f>
        <v>#DIV/0!</v>
      </c>
      <c r="N98" s="300" t="e">
        <f>N97/N43</f>
        <v>#DIV/0!</v>
      </c>
      <c r="P98" s="297" t="e">
        <f>P97/P43</f>
        <v>#DIV/0!</v>
      </c>
      <c r="Q98" s="297" t="e">
        <f>Q97/Q43</f>
        <v>#DIV/0!</v>
      </c>
      <c r="R98" s="297" t="e">
        <f>R97/R43</f>
        <v>#DIV/0!</v>
      </c>
      <c r="S98" s="297" t="e">
        <f>S97/S43</f>
        <v>#DIV/0!</v>
      </c>
      <c r="T98" s="300" t="e">
        <f>T97/T43</f>
        <v>#DIV/0!</v>
      </c>
      <c r="U98" s="203"/>
      <c r="V98" s="297" t="e">
        <f>V97/V43</f>
        <v>#DIV/0!</v>
      </c>
      <c r="W98" s="297" t="e">
        <f>W97/W43</f>
        <v>#DIV/0!</v>
      </c>
      <c r="X98" s="308"/>
      <c r="Y98" s="308"/>
      <c r="Z98" s="320" t="e">
        <f>Z97/Z43</f>
        <v>#DIV/0!</v>
      </c>
      <c r="AB98" s="308"/>
      <c r="AC98" s="308"/>
      <c r="AD98" s="308"/>
      <c r="AE98" s="308"/>
      <c r="AF98" s="330" t="e">
        <f>AF97/AF43</f>
        <v>#DIV/0!</v>
      </c>
      <c r="AH98" s="308"/>
      <c r="AJ98" s="308"/>
      <c r="AL98" s="308"/>
      <c r="AR98" s="686"/>
      <c r="AS98" s="686"/>
      <c r="AT98" s="686"/>
      <c r="AU98" s="686"/>
      <c r="AV98" s="686"/>
      <c r="AW98" s="686"/>
      <c r="AX98" s="686"/>
      <c r="BV98" s="770"/>
      <c r="BW98" s="770"/>
      <c r="BX98" s="770"/>
      <c r="BY98" s="770"/>
      <c r="BZ98" s="770"/>
      <c r="CA98" s="770"/>
      <c r="CB98" s="770"/>
      <c r="CC98" s="770"/>
      <c r="CD98" s="770"/>
      <c r="CE98" s="770"/>
      <c r="CF98" s="770"/>
      <c r="CG98" s="770"/>
      <c r="CH98" s="770"/>
      <c r="CI98" s="770"/>
      <c r="CJ98" s="770"/>
      <c r="CK98" s="770"/>
      <c r="CL98" s="770"/>
      <c r="CM98" s="770"/>
    </row>
    <row r="99" spans="2:91" ht="14.25" hidden="1" customHeight="1">
      <c r="B99" s="747" t="s">
        <v>613</v>
      </c>
      <c r="D99" s="297"/>
      <c r="E99" s="297"/>
      <c r="F99" s="297"/>
      <c r="G99" s="297"/>
      <c r="H99" s="300"/>
      <c r="J99" s="297"/>
      <c r="K99" s="297"/>
      <c r="L99" s="297"/>
      <c r="M99" s="297"/>
      <c r="N99" s="300"/>
      <c r="P99" s="297"/>
      <c r="Q99" s="297"/>
      <c r="R99" s="297"/>
      <c r="S99" s="297"/>
      <c r="T99" s="300"/>
      <c r="U99" s="203"/>
      <c r="V99" s="297"/>
      <c r="W99" s="297"/>
      <c r="X99" s="321"/>
      <c r="Y99" s="321"/>
      <c r="Z99" s="328" t="e">
        <f>AVERAGE(V99:Y99)</f>
        <v>#DIV/0!</v>
      </c>
      <c r="AB99" s="321"/>
      <c r="AC99" s="321"/>
      <c r="AD99" s="321"/>
      <c r="AE99" s="321"/>
      <c r="AF99" s="328" t="e">
        <f>AVERAGE(AB99:AE99)</f>
        <v>#DIV/0!</v>
      </c>
      <c r="AH99" s="321"/>
      <c r="AJ99" s="321"/>
      <c r="AL99" s="321"/>
      <c r="AT99" s="287"/>
      <c r="AU99" s="287"/>
      <c r="AV99" s="287"/>
      <c r="AW99" s="287"/>
      <c r="AX99" s="287"/>
      <c r="BV99" s="770"/>
      <c r="BW99" s="770"/>
      <c r="BX99" s="770"/>
      <c r="BY99" s="770"/>
      <c r="BZ99" s="770"/>
      <c r="CA99" s="770"/>
      <c r="CB99" s="770"/>
      <c r="CC99" s="770"/>
      <c r="CD99" s="770"/>
      <c r="CE99" s="770"/>
      <c r="CF99" s="770"/>
      <c r="CG99" s="770"/>
      <c r="CH99" s="770"/>
      <c r="CI99" s="770"/>
      <c r="CJ99" s="770"/>
      <c r="CK99" s="770"/>
      <c r="CL99" s="770"/>
      <c r="CM99" s="770"/>
    </row>
    <row r="100" spans="2:91" ht="14.25" hidden="1" customHeight="1">
      <c r="B100" s="747" t="s">
        <v>614</v>
      </c>
      <c r="D100" s="46"/>
      <c r="E100" s="46"/>
      <c r="F100" s="46"/>
      <c r="G100" s="46"/>
      <c r="J100" s="46"/>
      <c r="K100" s="46"/>
      <c r="L100" s="46"/>
      <c r="M100" s="46"/>
      <c r="P100" s="46"/>
      <c r="Q100" s="46"/>
      <c r="R100" s="46"/>
      <c r="S100" s="46"/>
      <c r="U100" s="203"/>
      <c r="V100" s="46"/>
      <c r="W100" s="46"/>
      <c r="X100" s="525"/>
      <c r="Y100" s="525"/>
      <c r="Z100" s="329" t="e">
        <f>AVERAGE(V100:Y100)</f>
        <v>#DIV/0!</v>
      </c>
      <c r="AB100" s="525"/>
      <c r="AC100" s="525"/>
      <c r="AD100" s="525"/>
      <c r="AE100" s="525"/>
      <c r="AF100" s="329" t="e">
        <f>AVERAGE(AB100:AE100)</f>
        <v>#DIV/0!</v>
      </c>
      <c r="AH100" s="328" t="e">
        <f>AH99*AH31/AE64</f>
        <v>#DIV/0!</v>
      </c>
      <c r="AJ100" s="328">
        <f>AJ99*AJ31/AH64</f>
        <v>0</v>
      </c>
      <c r="AL100" s="328">
        <f>AL99*AL31/AJ64</f>
        <v>0</v>
      </c>
      <c r="BV100" s="770"/>
      <c r="BW100" s="770"/>
      <c r="BX100" s="770"/>
      <c r="BY100" s="770"/>
      <c r="BZ100" s="770"/>
      <c r="CA100" s="770"/>
      <c r="CB100" s="770"/>
      <c r="CC100" s="770"/>
      <c r="CD100" s="770"/>
      <c r="CE100" s="770"/>
      <c r="CF100" s="770"/>
      <c r="CG100" s="770"/>
      <c r="CH100" s="770"/>
      <c r="CI100" s="770"/>
      <c r="CJ100" s="770"/>
      <c r="CK100" s="770"/>
      <c r="CL100" s="770"/>
      <c r="CM100" s="770"/>
    </row>
    <row r="101" spans="2:91" ht="14.25" hidden="1" customHeight="1">
      <c r="B101" s="747" t="s">
        <v>615</v>
      </c>
      <c r="D101" s="46"/>
      <c r="E101" s="46"/>
      <c r="F101" s="46"/>
      <c r="G101" s="46"/>
      <c r="J101" s="46"/>
      <c r="K101" s="46"/>
      <c r="L101" s="46"/>
      <c r="M101" s="46"/>
      <c r="P101" s="46"/>
      <c r="Q101" s="46"/>
      <c r="R101" s="46"/>
      <c r="S101" s="46"/>
      <c r="U101" s="203"/>
      <c r="V101" s="46"/>
      <c r="W101" s="46"/>
      <c r="X101" s="525"/>
      <c r="Y101" s="525"/>
      <c r="Z101" s="328" t="e">
        <f>AVERAGE(V101:Y101)</f>
        <v>#DIV/0!</v>
      </c>
      <c r="AB101" s="525"/>
      <c r="AC101" s="525"/>
      <c r="AD101" s="525"/>
      <c r="AE101" s="525"/>
      <c r="AF101" s="328" t="e">
        <f>AVERAGE(AB101:AE101)</f>
        <v>#DIV/0!</v>
      </c>
      <c r="AH101" s="328" t="e">
        <f>AH97/AH100</f>
        <v>#DIV/0!</v>
      </c>
      <c r="AJ101" s="328" t="e">
        <f>AJ97/AJ100</f>
        <v>#DIV/0!</v>
      </c>
      <c r="AL101" s="328" t="e">
        <f>AL97/AL100</f>
        <v>#DIV/0!</v>
      </c>
      <c r="BV101" s="770"/>
      <c r="BW101" s="770"/>
      <c r="BX101" s="770"/>
      <c r="BY101" s="770"/>
      <c r="BZ101" s="770"/>
      <c r="CA101" s="770"/>
      <c r="CB101" s="770"/>
      <c r="CC101" s="770"/>
      <c r="CD101" s="770"/>
      <c r="CE101" s="770"/>
      <c r="CF101" s="770"/>
      <c r="CG101" s="770"/>
      <c r="CH101" s="770"/>
      <c r="CI101" s="770"/>
      <c r="CJ101" s="770"/>
      <c r="CK101" s="770"/>
      <c r="CL101" s="770"/>
      <c r="CM101" s="770"/>
    </row>
    <row r="102" spans="2:91" ht="14.25" customHeight="1">
      <c r="D102" s="46"/>
      <c r="E102" s="46"/>
      <c r="F102" s="46"/>
      <c r="G102" s="46"/>
      <c r="J102" s="46"/>
      <c r="K102" s="46"/>
      <c r="L102" s="46"/>
      <c r="M102" s="46"/>
      <c r="P102" s="46"/>
      <c r="Q102" s="46"/>
      <c r="R102" s="46"/>
      <c r="S102" s="46"/>
      <c r="U102" s="203"/>
      <c r="V102" s="46"/>
      <c r="W102" s="46"/>
      <c r="X102" s="46"/>
      <c r="Y102" s="46"/>
      <c r="AB102" s="46"/>
      <c r="AC102" s="46"/>
      <c r="AD102" s="46"/>
      <c r="AE102" s="46"/>
      <c r="BV102" s="770"/>
      <c r="BW102" s="770"/>
      <c r="BX102" s="770"/>
      <c r="BY102" s="770"/>
      <c r="BZ102" s="770"/>
      <c r="CA102" s="770"/>
      <c r="CB102" s="770"/>
      <c r="CC102" s="770"/>
      <c r="CD102" s="770"/>
      <c r="CE102" s="770"/>
      <c r="CF102" s="770"/>
      <c r="CG102" s="770"/>
      <c r="CH102" s="770"/>
      <c r="CI102" s="770"/>
      <c r="CJ102" s="770"/>
      <c r="CK102" s="770"/>
      <c r="CL102" s="770"/>
      <c r="CM102" s="770"/>
    </row>
    <row r="103" spans="2:91" ht="14.25" customHeight="1">
      <c r="B103" s="741" t="s">
        <v>616</v>
      </c>
      <c r="D103" s="50">
        <f>SUM(CF!P21:P24)</f>
        <v>43</v>
      </c>
      <c r="E103" s="50">
        <f>SUM(CF!Q21:Q24)</f>
        <v>-505</v>
      </c>
      <c r="F103" s="50">
        <f>SUM(CF!R21:R24)</f>
        <v>-3</v>
      </c>
      <c r="G103" s="50">
        <f>SUM(CF!S21:S24)</f>
        <v>-77</v>
      </c>
      <c r="H103" s="68">
        <f>SUM(CF!T21:T24)</f>
        <v>-585</v>
      </c>
      <c r="J103" s="50">
        <f>SUM(CF!V21:V24)</f>
        <v>147</v>
      </c>
      <c r="K103" s="50">
        <f>SUM(CF!W21:W24)</f>
        <v>-1122</v>
      </c>
      <c r="L103" s="50">
        <f>SUM(CF!X21:X24)</f>
        <v>662</v>
      </c>
      <c r="M103" s="50">
        <f>SUM(CF!Y21:Y24)</f>
        <v>497</v>
      </c>
      <c r="N103" s="68">
        <f>SUM(CF!Z21:Z24)</f>
        <v>184</v>
      </c>
      <c r="P103" s="50">
        <f>SUM(CF!AB21:AB24)</f>
        <v>59</v>
      </c>
      <c r="Q103" s="50">
        <f>SUM(CF!AC21:AC24)</f>
        <v>-482</v>
      </c>
      <c r="R103" s="50">
        <f>SUM(CF!AD21:AD24)</f>
        <v>168</v>
      </c>
      <c r="S103" s="50">
        <f>SUM(CF!AE21:AE24)</f>
        <v>92</v>
      </c>
      <c r="T103" s="68">
        <f>SUM(CF!AF21:AF24)</f>
        <v>-163</v>
      </c>
      <c r="U103" s="203"/>
      <c r="V103" s="50">
        <f>SUM(CF!AH21:AH24)</f>
        <v>81</v>
      </c>
      <c r="W103" s="50">
        <f>SUM(CF!AI21:AI24)</f>
        <v>-2284</v>
      </c>
      <c r="X103" s="46"/>
      <c r="Y103" s="46"/>
      <c r="Z103" s="57">
        <f>(Z31-T31)*Z104</f>
        <v>-19.661197768346362</v>
      </c>
      <c r="AA103" s="57">
        <f t="shared" ref="AA103" si="48">(AA31-U31)*AA104</f>
        <v>0</v>
      </c>
      <c r="AB103" s="57"/>
      <c r="AC103" s="57"/>
      <c r="AD103" s="57"/>
      <c r="AE103" s="57"/>
      <c r="AF103" s="57">
        <f>(AF31-Z31)*AF104</f>
        <v>-82.038380687196394</v>
      </c>
      <c r="AG103" s="57"/>
      <c r="AH103" s="57">
        <f>(AH31-AB31)*AH104</f>
        <v>-610.5845629502594</v>
      </c>
      <c r="AI103" s="57"/>
      <c r="AJ103" s="57">
        <f>(AJ31-AD31)*AJ104</f>
        <v>-462.55806280729269</v>
      </c>
      <c r="AK103" s="57"/>
      <c r="AL103" s="57">
        <f>(AL31-AF31)*AL104</f>
        <v>-68.142573785900382</v>
      </c>
      <c r="BV103" s="770"/>
      <c r="BW103" s="770"/>
      <c r="BX103" s="770"/>
      <c r="BY103" s="770"/>
      <c r="BZ103" s="770"/>
      <c r="CA103" s="770"/>
      <c r="CB103" s="770"/>
      <c r="CC103" s="770"/>
      <c r="CD103" s="770"/>
      <c r="CE103" s="770"/>
      <c r="CF103" s="770"/>
      <c r="CG103" s="770"/>
      <c r="CH103" s="770"/>
      <c r="CI103" s="770"/>
      <c r="CJ103" s="770"/>
      <c r="CK103" s="770"/>
      <c r="CL103" s="770"/>
      <c r="CM103" s="770"/>
    </row>
    <row r="104" spans="2:91" ht="14.25" customHeight="1">
      <c r="B104" s="31" t="s">
        <v>617</v>
      </c>
      <c r="D104" s="297">
        <f>D103/(D31-IS!M17)</f>
        <v>-1.5551537070524412E-2</v>
      </c>
      <c r="E104" s="297">
        <f>E103/(E31-D31)</f>
        <v>-1.0477178423236515</v>
      </c>
      <c r="F104" s="297">
        <f>F103/(F31-E31)</f>
        <v>-2.6385224274406332E-3</v>
      </c>
      <c r="G104" s="297">
        <f>G103/(G31-F31)</f>
        <v>-3.1976744186046513E-2</v>
      </c>
      <c r="H104" s="300">
        <f>H103/IS!N17</f>
        <v>-8.7256130302487914E-3</v>
      </c>
      <c r="J104" s="297">
        <f>J103/(J31-IS!S17)</f>
        <v>-3.8033635187580857E-2</v>
      </c>
      <c r="K104" s="297">
        <f>K103/(K31-J31)</f>
        <v>-0.71601786853860883</v>
      </c>
      <c r="L104" s="297">
        <f>L103/(L31-K31)</f>
        <v>3.5783783783783782</v>
      </c>
      <c r="M104" s="297">
        <f>M103/(M31-L31)</f>
        <v>0.24899799599198397</v>
      </c>
      <c r="N104" s="300">
        <f>N103/IS!T17</f>
        <v>2.7885548011639186E-3</v>
      </c>
      <c r="P104" s="297">
        <f>P103/(P31-IS!Y17)</f>
        <v>-3.5139964264443123E-2</v>
      </c>
      <c r="Q104" s="297">
        <f>Q103/(Q31-P31)</f>
        <v>-0.51995685005393744</v>
      </c>
      <c r="R104" s="297">
        <f>R103/(R31-Q31)</f>
        <v>-0.16502946954813361</v>
      </c>
      <c r="S104" s="297">
        <f>S103/(S31-R31)</f>
        <v>6.0606060606060608E-2</v>
      </c>
      <c r="T104" s="300">
        <f>T103/IS!Z17</f>
        <v>-2.4122774563052197E-3</v>
      </c>
      <c r="U104" s="203"/>
      <c r="V104" s="297">
        <f>V103/(V31-IS!AE17)</f>
        <v>-0.12291350531107739</v>
      </c>
      <c r="W104" s="297">
        <f>W103/(W31-V31)</f>
        <v>-11.895833333333334</v>
      </c>
      <c r="X104" s="297"/>
      <c r="Y104" s="297"/>
      <c r="Z104" s="300">
        <v>-7.0000000000000001E-3</v>
      </c>
      <c r="AB104" s="297"/>
      <c r="AC104" s="297"/>
      <c r="AD104" s="297"/>
      <c r="AE104" s="297"/>
      <c r="AF104" s="300">
        <v>-1.2E-2</v>
      </c>
      <c r="AH104" s="300">
        <v>-7.0000000000000001E-3</v>
      </c>
      <c r="AJ104" s="300">
        <v>-5.0000000000000001E-3</v>
      </c>
      <c r="AL104" s="300">
        <v>-5.0000000000000001E-3</v>
      </c>
      <c r="BV104" s="770"/>
      <c r="BW104" s="770"/>
      <c r="BX104" s="770"/>
      <c r="BY104" s="770"/>
      <c r="BZ104" s="770"/>
      <c r="CA104" s="770"/>
      <c r="CB104" s="770"/>
      <c r="CC104" s="770"/>
      <c r="CD104" s="770"/>
      <c r="CE104" s="770"/>
      <c r="CF104" s="770"/>
      <c r="CG104" s="770"/>
      <c r="CH104" s="770"/>
      <c r="CI104" s="770"/>
      <c r="CJ104" s="770"/>
      <c r="CK104" s="770"/>
      <c r="CL104" s="770"/>
      <c r="CM104" s="770"/>
    </row>
    <row r="105" spans="2:91" ht="14.25" customHeight="1">
      <c r="D105" s="46"/>
      <c r="E105" s="46"/>
      <c r="F105" s="46"/>
      <c r="G105" s="46"/>
      <c r="J105" s="46"/>
      <c r="K105" s="46"/>
      <c r="L105" s="46"/>
      <c r="M105" s="46"/>
      <c r="P105" s="46"/>
      <c r="Q105" s="46"/>
      <c r="R105" s="46"/>
      <c r="S105" s="46"/>
      <c r="U105" s="203"/>
      <c r="V105" s="46"/>
      <c r="W105" s="46"/>
      <c r="X105" s="46"/>
      <c r="Y105" s="46"/>
      <c r="AB105" s="46"/>
      <c r="AC105" s="46"/>
      <c r="AD105" s="46"/>
      <c r="AE105" s="46"/>
      <c r="BV105" s="770"/>
      <c r="BW105" s="770"/>
      <c r="BX105" s="770"/>
      <c r="BY105" s="770"/>
      <c r="BZ105" s="770"/>
      <c r="CA105" s="770"/>
      <c r="CB105" s="770"/>
      <c r="CC105" s="770"/>
      <c r="CD105" s="770"/>
      <c r="CE105" s="770"/>
      <c r="CF105" s="770"/>
      <c r="CG105" s="770"/>
      <c r="CH105" s="770"/>
      <c r="CI105" s="770"/>
      <c r="CJ105" s="770"/>
      <c r="CK105" s="770"/>
      <c r="CL105" s="770"/>
      <c r="CM105" s="770"/>
    </row>
    <row r="106" spans="2:91" ht="14.25" customHeight="1">
      <c r="B106" s="28" t="s">
        <v>618</v>
      </c>
      <c r="D106" s="50">
        <f>CF!P28</f>
        <v>-268</v>
      </c>
      <c r="E106" s="50">
        <f>CF!Q28</f>
        <v>-572</v>
      </c>
      <c r="F106" s="50">
        <f>CF!R28</f>
        <v>-405</v>
      </c>
      <c r="G106" s="50">
        <f>CF!S28</f>
        <v>-693</v>
      </c>
      <c r="H106" s="68">
        <f>CF!T28</f>
        <v>-1670</v>
      </c>
      <c r="J106" s="50">
        <f>CF!V28</f>
        <v>-294</v>
      </c>
      <c r="K106" s="50">
        <f>CF!W28</f>
        <v>-329</v>
      </c>
      <c r="L106" s="50">
        <f>CF!X28</f>
        <v>-364</v>
      </c>
      <c r="M106" s="50">
        <f>CF!Y28</f>
        <v>-704</v>
      </c>
      <c r="N106" s="68">
        <f>CF!Z28</f>
        <v>-1691</v>
      </c>
      <c r="P106" s="50">
        <f>CF!AB28</f>
        <v>-378</v>
      </c>
      <c r="Q106" s="50">
        <f>CF!AC28</f>
        <v>-370</v>
      </c>
      <c r="R106" s="50">
        <f>CF!AD28</f>
        <v>-355</v>
      </c>
      <c r="S106" s="50">
        <f>CF!AE28</f>
        <v>-582</v>
      </c>
      <c r="T106" s="68">
        <f>CF!AF28</f>
        <v>-1685</v>
      </c>
      <c r="U106" s="203"/>
      <c r="V106" s="50">
        <f>CF!AH28</f>
        <v>-454</v>
      </c>
      <c r="W106" s="50">
        <f>CF!AI28</f>
        <v>-351</v>
      </c>
      <c r="X106" s="46"/>
      <c r="Y106" s="46"/>
      <c r="Z106" s="57">
        <f>-Z$31*(Z107+Sensitivity!$U$38)</f>
        <v>-1822.974247693784</v>
      </c>
      <c r="AA106" s="71"/>
      <c r="AB106" s="46"/>
      <c r="AC106" s="46"/>
      <c r="AD106" s="46"/>
      <c r="AE106" s="46"/>
      <c r="AF106" s="57">
        <f>-AF$31*(AF107+Sensitivity!$U$38)</f>
        <v>-1974.9208249700564</v>
      </c>
      <c r="AG106" s="57"/>
      <c r="AH106" s="57">
        <f>-AH$31*(AH107+Sensitivity!$U$38)</f>
        <v>-2118.9669916179109</v>
      </c>
      <c r="AI106" s="57"/>
      <c r="AJ106" s="57">
        <f>-AJ$31*(AJ107+Sensitivity!$U$38)</f>
        <v>-2265.0823777197784</v>
      </c>
      <c r="AK106" s="57"/>
      <c r="AL106" s="57">
        <f>-AL$31*(AL107+Sensitivity!$U$38)</f>
        <v>-2302.9950216733569</v>
      </c>
      <c r="BV106" s="770"/>
      <c r="BW106" s="770"/>
      <c r="BX106" s="770"/>
      <c r="BY106" s="770"/>
      <c r="BZ106" s="770"/>
      <c r="CA106" s="770"/>
      <c r="CB106" s="770"/>
      <c r="CC106" s="770"/>
      <c r="CD106" s="770"/>
      <c r="CE106" s="770"/>
      <c r="CF106" s="770"/>
      <c r="CG106" s="770"/>
      <c r="CH106" s="770"/>
      <c r="CI106" s="770"/>
      <c r="CJ106" s="770"/>
      <c r="CK106" s="770"/>
      <c r="CL106" s="770"/>
      <c r="CM106" s="770"/>
    </row>
    <row r="107" spans="2:91" ht="14.25" customHeight="1">
      <c r="B107" s="31" t="s">
        <v>543</v>
      </c>
      <c r="D107" s="297">
        <f>-D106/D31</f>
        <v>1.7909649826249666E-2</v>
      </c>
      <c r="E107" s="297">
        <f>-E106/E31</f>
        <v>3.7032241356985629E-2</v>
      </c>
      <c r="F107" s="297">
        <f>-F106/F31</f>
        <v>2.4422601459325816E-2</v>
      </c>
      <c r="G107" s="297">
        <f>-G106/G31</f>
        <v>3.6490969406561005E-2</v>
      </c>
      <c r="H107" s="300">
        <f>-H106/H31</f>
        <v>2.5309165858389913E-2</v>
      </c>
      <c r="J107" s="297">
        <f>-J106/J31</f>
        <v>1.943673145577152E-2</v>
      </c>
      <c r="K107" s="297">
        <f>-K106/K31</f>
        <v>1.9708860001198106E-2</v>
      </c>
      <c r="L107" s="297">
        <f>-L106/L31</f>
        <v>2.1566536319469132E-2</v>
      </c>
      <c r="M107" s="297">
        <f>-M106/M31</f>
        <v>3.7299989403412101E-2</v>
      </c>
      <c r="N107" s="300">
        <f>-N106/N31</f>
        <v>2.502552870314188E-2</v>
      </c>
      <c r="P107" s="297">
        <f>-P106/P31</f>
        <v>2.1983134632160513E-2</v>
      </c>
      <c r="Q107" s="297">
        <f>-Q106/Q31</f>
        <v>2.0417172497516831E-2</v>
      </c>
      <c r="R107" s="297">
        <f>-R106/R31</f>
        <v>2.0755378858746492E-2</v>
      </c>
      <c r="S107" s="297">
        <f>-S106/S31</f>
        <v>3.1253356245301255E-2</v>
      </c>
      <c r="T107" s="300">
        <f>-T106/T31</f>
        <v>2.3718029925538054E-2</v>
      </c>
      <c r="U107" s="203"/>
      <c r="V107" s="297">
        <f>-V106/V31</f>
        <v>2.5274174692423313E-2</v>
      </c>
      <c r="W107" s="297">
        <f>-W106/W31</f>
        <v>1.9333516937482788E-2</v>
      </c>
      <c r="X107" s="308"/>
      <c r="Y107" s="308"/>
      <c r="Z107" s="298">
        <f>AVERAGE(T107,N107,H107)</f>
        <v>2.4684241495689947E-2</v>
      </c>
      <c r="AB107" s="308"/>
      <c r="AC107" s="308"/>
      <c r="AD107" s="308"/>
      <c r="AE107" s="308"/>
      <c r="AF107" s="298">
        <f>AVERAGE(Z107,T107,N107)</f>
        <v>2.4475933374789958E-2</v>
      </c>
      <c r="AH107" s="308">
        <f>AVERAGE(AF107,Z107,T107)</f>
        <v>2.4292734932005986E-2</v>
      </c>
      <c r="AJ107" s="308">
        <f>AVERAGE(AH107,AF107,Z107)</f>
        <v>2.4484303267495299E-2</v>
      </c>
      <c r="AL107" s="308">
        <f>AVERAGE(AJ107,AH107,AF107)</f>
        <v>2.4417657191430412E-2</v>
      </c>
      <c r="BV107" s="770"/>
      <c r="BW107" s="770"/>
      <c r="BX107" s="770"/>
      <c r="BY107" s="770"/>
      <c r="BZ107" s="770"/>
      <c r="CA107" s="770"/>
      <c r="CB107" s="770"/>
      <c r="CC107" s="770"/>
      <c r="CD107" s="770"/>
      <c r="CE107" s="770"/>
      <c r="CF107" s="770"/>
      <c r="CG107" s="770"/>
      <c r="CH107" s="770"/>
      <c r="CI107" s="770"/>
      <c r="CJ107" s="770"/>
      <c r="CK107" s="770"/>
      <c r="CL107" s="770"/>
      <c r="CM107" s="770"/>
    </row>
    <row r="108" spans="2:91" ht="14.25" customHeight="1">
      <c r="D108" s="46"/>
      <c r="E108" s="46"/>
      <c r="F108" s="46"/>
      <c r="G108" s="46"/>
      <c r="J108" s="46"/>
      <c r="K108" s="46"/>
      <c r="L108" s="46"/>
      <c r="M108" s="46"/>
      <c r="P108" s="46"/>
      <c r="Q108" s="46"/>
      <c r="R108" s="46"/>
      <c r="S108" s="46"/>
      <c r="U108" s="203"/>
      <c r="V108" s="46"/>
      <c r="W108" s="46"/>
      <c r="X108" s="46"/>
      <c r="Y108" s="46"/>
      <c r="AB108" s="46"/>
      <c r="AC108" s="46"/>
      <c r="AD108" s="46"/>
      <c r="AE108" s="46"/>
      <c r="BV108" s="770"/>
      <c r="BW108" s="770"/>
      <c r="BX108" s="770"/>
      <c r="BY108" s="770"/>
      <c r="BZ108" s="770"/>
      <c r="CA108" s="770"/>
      <c r="CB108" s="770"/>
      <c r="CC108" s="770"/>
      <c r="CD108" s="770"/>
      <c r="CE108" s="770"/>
      <c r="CF108" s="770"/>
      <c r="CG108" s="770"/>
      <c r="CH108" s="770"/>
      <c r="CI108" s="770"/>
      <c r="CJ108" s="770"/>
      <c r="CK108" s="770"/>
      <c r="CL108" s="770"/>
      <c r="CM108" s="770"/>
    </row>
    <row r="109" spans="2:91" ht="14.25" hidden="1" customHeight="1">
      <c r="B109" s="28" t="s">
        <v>619</v>
      </c>
      <c r="D109" s="50">
        <f>CF!P29</f>
        <v>0</v>
      </c>
      <c r="E109" s="50">
        <f>CF!Q29</f>
        <v>0</v>
      </c>
      <c r="F109" s="50">
        <f>CF!R29</f>
        <v>0</v>
      </c>
      <c r="G109" s="50">
        <f>CF!S29</f>
        <v>0</v>
      </c>
      <c r="H109" s="68">
        <f>CF!T29</f>
        <v>0</v>
      </c>
      <c r="J109" s="50">
        <f>CF!V29</f>
        <v>0</v>
      </c>
      <c r="K109" s="50">
        <f>CF!W29</f>
        <v>0</v>
      </c>
      <c r="L109" s="50">
        <f>CF!X29</f>
        <v>0</v>
      </c>
      <c r="M109" s="50">
        <f>CF!Y29</f>
        <v>0</v>
      </c>
      <c r="N109" s="68">
        <f>CF!Z29</f>
        <v>0</v>
      </c>
      <c r="P109" s="50">
        <f>CF!AB29</f>
        <v>0</v>
      </c>
      <c r="Q109" s="50">
        <f>CF!AC29</f>
        <v>0</v>
      </c>
      <c r="R109" s="50">
        <f>CF!AD29</f>
        <v>0</v>
      </c>
      <c r="S109" s="50">
        <f>CF!AE29</f>
        <v>0</v>
      </c>
      <c r="T109" s="68">
        <f>CF!AF29</f>
        <v>0</v>
      </c>
      <c r="U109" s="203"/>
      <c r="V109" s="50">
        <f>CF!AH29</f>
        <v>0</v>
      </c>
      <c r="W109" s="50">
        <f>CF!AI29</f>
        <v>0</v>
      </c>
      <c r="X109" s="46"/>
      <c r="Y109" s="46"/>
      <c r="Z109" s="57">
        <f>SUM(V109:Y109)</f>
        <v>0</v>
      </c>
      <c r="AB109" s="46"/>
      <c r="AC109" s="46"/>
      <c r="AD109" s="46"/>
      <c r="AE109" s="46"/>
      <c r="AF109" s="57">
        <f>SUM(AB109:AE109)</f>
        <v>0</v>
      </c>
      <c r="AH109" s="57">
        <f>AH111*AH$106</f>
        <v>0</v>
      </c>
      <c r="AJ109" s="57">
        <f>AJ111*AJ$106</f>
        <v>0</v>
      </c>
      <c r="AL109" s="57">
        <f>AL111*AL$106</f>
        <v>0</v>
      </c>
      <c r="BV109" s="770"/>
      <c r="BW109" s="770"/>
      <c r="BX109" s="770"/>
      <c r="BY109" s="770"/>
      <c r="BZ109" s="770"/>
      <c r="CA109" s="770"/>
      <c r="CB109" s="770"/>
      <c r="CC109" s="770"/>
      <c r="CD109" s="770"/>
      <c r="CE109" s="770"/>
      <c r="CF109" s="770"/>
      <c r="CG109" s="770"/>
      <c r="CH109" s="770"/>
      <c r="CI109" s="770"/>
      <c r="CJ109" s="770"/>
      <c r="CK109" s="770"/>
      <c r="CL109" s="770"/>
      <c r="CM109" s="770"/>
    </row>
    <row r="110" spans="2:91" ht="14.25" hidden="1" customHeight="1">
      <c r="B110" s="28"/>
      <c r="D110" s="50"/>
      <c r="E110" s="50"/>
      <c r="F110" s="50"/>
      <c r="G110" s="50"/>
      <c r="H110" s="68"/>
      <c r="J110" s="50"/>
      <c r="K110" s="50"/>
      <c r="L110" s="50"/>
      <c r="M110" s="50"/>
      <c r="N110" s="68"/>
      <c r="P110" s="50"/>
      <c r="Q110" s="50"/>
      <c r="R110" s="50"/>
      <c r="S110" s="50"/>
      <c r="T110" s="68"/>
      <c r="U110" s="203"/>
      <c r="V110" s="50"/>
      <c r="W110" s="50"/>
      <c r="X110" s="46"/>
      <c r="Y110" s="46"/>
      <c r="Z110" s="57"/>
      <c r="AB110" s="46"/>
      <c r="AC110" s="46"/>
      <c r="AD110" s="46"/>
      <c r="AE110" s="46"/>
      <c r="AF110" s="57"/>
      <c r="AH110" s="57"/>
      <c r="AJ110" s="57"/>
      <c r="AL110" s="57"/>
      <c r="BV110" s="770"/>
      <c r="BW110" s="770"/>
      <c r="BX110" s="770"/>
      <c r="BY110" s="770"/>
      <c r="BZ110" s="770"/>
      <c r="CA110" s="770"/>
      <c r="CB110" s="770"/>
      <c r="CC110" s="770"/>
      <c r="CD110" s="770"/>
      <c r="CE110" s="770"/>
      <c r="CF110" s="770"/>
      <c r="CG110" s="770"/>
      <c r="CH110" s="770"/>
      <c r="CI110" s="770"/>
      <c r="CJ110" s="770"/>
      <c r="CK110" s="770"/>
      <c r="CL110" s="770"/>
      <c r="CM110" s="770"/>
    </row>
    <row r="111" spans="2:91" ht="14.25" hidden="1" customHeight="1">
      <c r="B111" s="31" t="s">
        <v>620</v>
      </c>
      <c r="D111" s="297">
        <f>-D109/D106</f>
        <v>0</v>
      </c>
      <c r="E111" s="297">
        <f t="shared" ref="E111:H111" si="49">-E109/E106</f>
        <v>0</v>
      </c>
      <c r="F111" s="297">
        <f t="shared" si="49"/>
        <v>0</v>
      </c>
      <c r="G111" s="297">
        <f t="shared" si="49"/>
        <v>0</v>
      </c>
      <c r="H111" s="300">
        <f t="shared" si="49"/>
        <v>0</v>
      </c>
      <c r="J111" s="297">
        <f>-J109/J106</f>
        <v>0</v>
      </c>
      <c r="K111" s="297">
        <f t="shared" ref="K111" si="50">-K109/K106</f>
        <v>0</v>
      </c>
      <c r="L111" s="297">
        <f t="shared" ref="L111" si="51">-L109/L106</f>
        <v>0</v>
      </c>
      <c r="M111" s="297">
        <f t="shared" ref="M111" si="52">-M109/M106</f>
        <v>0</v>
      </c>
      <c r="N111" s="300">
        <f t="shared" ref="N111" si="53">-N109/N106</f>
        <v>0</v>
      </c>
      <c r="P111" s="297">
        <f>-P109/P106</f>
        <v>0</v>
      </c>
      <c r="Q111" s="297">
        <f t="shared" ref="Q111" si="54">-Q109/Q106</f>
        <v>0</v>
      </c>
      <c r="R111" s="297">
        <f t="shared" ref="R111" si="55">-R109/R106</f>
        <v>0</v>
      </c>
      <c r="S111" s="297">
        <f t="shared" ref="S111" si="56">-S109/S106</f>
        <v>0</v>
      </c>
      <c r="T111" s="300">
        <f t="shared" ref="T111" si="57">-T109/T106</f>
        <v>0</v>
      </c>
      <c r="U111" s="203"/>
      <c r="V111" s="297">
        <f>-V109/V106</f>
        <v>0</v>
      </c>
      <c r="W111" s="297">
        <f t="shared" ref="W111" si="58">-W109/W106</f>
        <v>0</v>
      </c>
      <c r="X111" s="308"/>
      <c r="Y111" s="308"/>
      <c r="Z111" s="298">
        <f>-Z109/Z$31</f>
        <v>0</v>
      </c>
      <c r="AB111" s="308"/>
      <c r="AC111" s="308"/>
      <c r="AD111" s="308"/>
      <c r="AE111" s="308"/>
      <c r="AF111" s="298">
        <f>-AF109/AF$31</f>
        <v>0</v>
      </c>
      <c r="AH111" s="308"/>
      <c r="AJ111" s="308"/>
      <c r="AL111" s="308"/>
      <c r="BV111" s="770"/>
      <c r="BW111" s="770"/>
      <c r="BX111" s="770"/>
      <c r="BY111" s="770"/>
      <c r="BZ111" s="770"/>
      <c r="CA111" s="770"/>
      <c r="CB111" s="770"/>
      <c r="CC111" s="770"/>
      <c r="CD111" s="770"/>
      <c r="CE111" s="770"/>
      <c r="CF111" s="770"/>
      <c r="CG111" s="770"/>
      <c r="CH111" s="770"/>
      <c r="CI111" s="770"/>
      <c r="CJ111" s="770"/>
      <c r="CK111" s="770"/>
      <c r="CL111" s="770"/>
      <c r="CM111" s="770"/>
    </row>
    <row r="112" spans="2:91" ht="14.25" customHeight="1">
      <c r="B112" s="31"/>
      <c r="D112" s="297"/>
      <c r="E112" s="297"/>
      <c r="F112" s="297"/>
      <c r="G112" s="297"/>
      <c r="H112" s="300"/>
      <c r="J112" s="297"/>
      <c r="K112" s="297"/>
      <c r="L112" s="297"/>
      <c r="M112" s="297"/>
      <c r="N112" s="300"/>
      <c r="P112" s="297"/>
      <c r="Q112" s="297"/>
      <c r="R112" s="297"/>
      <c r="S112" s="297"/>
      <c r="T112" s="300"/>
      <c r="U112" s="203"/>
      <c r="V112" s="297"/>
      <c r="W112" s="297"/>
      <c r="X112" s="297"/>
      <c r="Y112" s="297"/>
      <c r="Z112" s="298"/>
      <c r="AA112" s="298"/>
      <c r="AB112" s="297"/>
      <c r="AC112" s="297"/>
      <c r="AD112" s="297"/>
      <c r="AE112" s="297"/>
      <c r="AF112" s="298"/>
      <c r="AH112" s="607"/>
      <c r="AJ112" s="607"/>
      <c r="AL112" s="607"/>
      <c r="AS112" s="287"/>
      <c r="BV112" s="770"/>
      <c r="BW112" s="770"/>
      <c r="BX112" s="770"/>
      <c r="BY112" s="770"/>
      <c r="BZ112" s="770"/>
      <c r="CA112" s="770"/>
      <c r="CB112" s="770"/>
      <c r="CC112" s="770"/>
      <c r="CD112" s="770"/>
      <c r="CE112" s="770"/>
      <c r="CF112" s="770"/>
      <c r="CG112" s="770"/>
      <c r="CH112" s="770"/>
      <c r="CI112" s="770"/>
      <c r="CJ112" s="770"/>
      <c r="CK112" s="770"/>
      <c r="CL112" s="770"/>
      <c r="CM112" s="770"/>
    </row>
    <row r="113" spans="1:45" ht="14.25" customHeight="1">
      <c r="B113" s="28" t="s">
        <v>621</v>
      </c>
      <c r="D113" s="50">
        <f>CF!P39</f>
        <v>-767</v>
      </c>
      <c r="E113" s="50">
        <f>CF!Q39</f>
        <v>-1511</v>
      </c>
      <c r="F113" s="50">
        <f>CF!R39</f>
        <v>-739</v>
      </c>
      <c r="G113" s="50">
        <f>CF!S39</f>
        <v>-766</v>
      </c>
      <c r="H113" s="68">
        <f>CF!T39</f>
        <v>-3016</v>
      </c>
      <c r="J113" s="50">
        <f>CF!V39</f>
        <v>-784</v>
      </c>
      <c r="K113" s="50">
        <f>CF!W39</f>
        <v>-758</v>
      </c>
      <c r="L113" s="50">
        <f>CF!X39</f>
        <v>-747</v>
      </c>
      <c r="M113" s="50">
        <f>CF!Y39</f>
        <v>-767</v>
      </c>
      <c r="N113" s="68">
        <f>CF!Z39</f>
        <v>-3056</v>
      </c>
      <c r="P113" s="50">
        <f>CF!AB39</f>
        <v>-780</v>
      </c>
      <c r="Q113" s="50">
        <f>CF!AC39</f>
        <v>-752</v>
      </c>
      <c r="R113" s="50">
        <f>CF!AD39</f>
        <v>-749</v>
      </c>
      <c r="S113" s="50">
        <f>CF!AE39</f>
        <v>-778</v>
      </c>
      <c r="T113" s="68">
        <f>CF!AF39</f>
        <v>-3059</v>
      </c>
      <c r="U113" s="203"/>
      <c r="V113" s="50">
        <f>CF!AH39</f>
        <v>-796</v>
      </c>
      <c r="W113" s="50">
        <f>CF!AI39</f>
        <v>-771</v>
      </c>
      <c r="X113" s="46"/>
      <c r="Y113" s="46"/>
      <c r="Z113" s="57">
        <f>T113+(T113*0.0005)</f>
        <v>-3060.5295000000001</v>
      </c>
      <c r="AA113" s="57"/>
      <c r="AB113" s="57"/>
      <c r="AC113" s="57"/>
      <c r="AD113" s="57"/>
      <c r="AE113" s="57"/>
      <c r="AF113" s="57">
        <f>Z113+(Z113*0.0005)</f>
        <v>-3062.0597647499999</v>
      </c>
      <c r="AG113" s="57"/>
      <c r="AH113" s="57">
        <f>AF113+(AF113*0.0005)</f>
        <v>-3063.590794632375</v>
      </c>
      <c r="AI113" s="57"/>
      <c r="AJ113" s="57">
        <f>AH113+(AH113*0.0005)</f>
        <v>-3065.1225900296913</v>
      </c>
      <c r="AK113" s="57"/>
      <c r="AL113" s="57">
        <f>AJ113+(AJ113*0.0005)</f>
        <v>-3066.6551513247064</v>
      </c>
      <c r="AS113" s="287"/>
    </row>
    <row r="114" spans="1:45" ht="14.25" customHeight="1">
      <c r="B114" s="31" t="s">
        <v>622</v>
      </c>
      <c r="D114" s="297">
        <f>-D113/D127</f>
        <v>0.59589723226692237</v>
      </c>
      <c r="E114" s="297">
        <f>-E113/E127</f>
        <v>0.75572671801540459</v>
      </c>
      <c r="F114" s="297">
        <f>-F113/F127</f>
        <v>0.34115876625865732</v>
      </c>
      <c r="G114" s="297">
        <f>-G113/G127</f>
        <v>0.45981615012532678</v>
      </c>
      <c r="H114" s="300">
        <f>-H113/H127</f>
        <v>0.50984087074593065</v>
      </c>
      <c r="J114" s="297">
        <f>-J113/J127</f>
        <v>0.38190803653768379</v>
      </c>
      <c r="K114" s="297">
        <f>-K113/K127</f>
        <v>0.35849750160874877</v>
      </c>
      <c r="L114" s="297">
        <f>-L113/L127</f>
        <v>0.43091697828234754</v>
      </c>
      <c r="M114" s="297">
        <f>-M113/M127</f>
        <v>0.44038021701521529</v>
      </c>
      <c r="N114" s="300">
        <f>-N113/N127</f>
        <v>0.50670887777350526</v>
      </c>
      <c r="P114" s="297">
        <f>-P113/P127</f>
        <v>0.38746190317718671</v>
      </c>
      <c r="Q114" s="297">
        <f>-Q113/Q127</f>
        <v>0.40537350965621449</v>
      </c>
      <c r="R114" s="297">
        <f>-R113/R127</f>
        <v>0.35212959934810889</v>
      </c>
      <c r="S114" s="297">
        <f>-S113/S127</f>
        <v>0.76834697563770082</v>
      </c>
      <c r="T114" s="300">
        <f>-T113/T127</f>
        <v>0.41573313187747046</v>
      </c>
      <c r="U114" s="203"/>
      <c r="V114" s="297">
        <f>-V113/V127</f>
        <v>0.34740735402240142</v>
      </c>
      <c r="W114" s="297">
        <f>-W113/W127</f>
        <v>0.84900022074536952</v>
      </c>
      <c r="X114" s="308"/>
      <c r="Y114" s="308"/>
      <c r="Z114" s="298">
        <f>-Z113/Z127</f>
        <v>0.44729124672038295</v>
      </c>
      <c r="AB114" s="308"/>
      <c r="AC114" s="308"/>
      <c r="AD114" s="308"/>
      <c r="AE114" s="308"/>
      <c r="AF114" s="298">
        <f>-AF113/AF127</f>
        <v>0.39862661113136205</v>
      </c>
      <c r="AH114" s="308"/>
      <c r="AJ114" s="308"/>
      <c r="AL114" s="308"/>
    </row>
    <row r="115" spans="1:45" ht="14.25" customHeight="1">
      <c r="B115" s="31"/>
      <c r="D115" s="297"/>
      <c r="E115" s="297"/>
      <c r="F115" s="297"/>
      <c r="G115" s="297"/>
      <c r="H115" s="300"/>
      <c r="J115" s="297"/>
      <c r="K115" s="297"/>
      <c r="L115" s="297"/>
      <c r="M115" s="297"/>
      <c r="N115" s="300"/>
      <c r="P115" s="297"/>
      <c r="Q115" s="297"/>
      <c r="R115" s="297"/>
      <c r="S115" s="297"/>
      <c r="T115" s="300"/>
      <c r="U115" s="203"/>
      <c r="V115" s="297"/>
      <c r="W115" s="297"/>
      <c r="X115" s="297"/>
      <c r="Y115" s="297"/>
      <c r="Z115" s="298"/>
      <c r="AA115" s="298"/>
      <c r="AB115" s="297"/>
      <c r="AC115" s="297"/>
      <c r="AD115" s="297"/>
      <c r="AE115" s="297"/>
      <c r="AF115" s="298"/>
      <c r="AH115" s="607"/>
      <c r="AJ115" s="607"/>
      <c r="AL115" s="607"/>
    </row>
    <row r="116" spans="1:45" ht="14.25" customHeight="1">
      <c r="B116" s="741" t="s">
        <v>623</v>
      </c>
      <c r="D116" s="50">
        <f>CF!P40</f>
        <v>-2000</v>
      </c>
      <c r="E116" s="50">
        <f>CF!Q40</f>
        <v>-2356</v>
      </c>
      <c r="F116" s="50">
        <f>CF!R40</f>
        <v>-1338</v>
      </c>
      <c r="G116" s="50">
        <f>CF!S40</f>
        <v>-4206</v>
      </c>
      <c r="H116" s="68">
        <f>CF!T40</f>
        <v>-7900</v>
      </c>
      <c r="J116" s="50">
        <f>CF!V40</f>
        <v>-500</v>
      </c>
      <c r="K116" s="50">
        <f>CF!W40</f>
        <v>-750</v>
      </c>
      <c r="L116" s="50">
        <f>CF!X40</f>
        <v>-1750</v>
      </c>
      <c r="M116" s="50">
        <f>CF!Y40</f>
        <v>-3000</v>
      </c>
      <c r="N116" s="68">
        <f>CF!Z40</f>
        <v>-6000</v>
      </c>
      <c r="P116" s="50">
        <f>CF!AB40</f>
        <v>-1000</v>
      </c>
      <c r="Q116" s="50">
        <f>CF!AC40</f>
        <v>-850</v>
      </c>
      <c r="R116" s="50">
        <f>CF!AD40</f>
        <v>-850</v>
      </c>
      <c r="S116" s="50">
        <f>CF!AE40</f>
        <v>-1000</v>
      </c>
      <c r="T116" s="68">
        <f>CF!AF40</f>
        <v>-3700</v>
      </c>
      <c r="U116" s="203"/>
      <c r="V116" s="50">
        <f>CF!AH40</f>
        <v>-750</v>
      </c>
      <c r="W116" s="50">
        <f>CF!AI40</f>
        <v>-500</v>
      </c>
      <c r="X116" s="610"/>
      <c r="Y116" s="610"/>
      <c r="Z116" s="57">
        <f>T116*0.95</f>
        <v>-3515</v>
      </c>
      <c r="AB116" s="610"/>
      <c r="AC116" s="610"/>
      <c r="AD116" s="610"/>
      <c r="AE116" s="610"/>
      <c r="AF116" s="57">
        <f>Z116*0.95</f>
        <v>-3339.25</v>
      </c>
      <c r="AH116" s="765">
        <f>AF116*0.95</f>
        <v>-3172.2874999999999</v>
      </c>
      <c r="AJ116" s="765">
        <f>AH116*0.95</f>
        <v>-3013.6731249999998</v>
      </c>
      <c r="AL116" s="765">
        <f>AJ116*0.95</f>
        <v>-2862.9894687499996</v>
      </c>
    </row>
    <row r="117" spans="1:45" ht="14.25" customHeight="1">
      <c r="U117" s="203"/>
      <c r="AS117" s="304"/>
    </row>
    <row r="118" spans="1:45" s="41" customFormat="1" ht="15" customHeight="1">
      <c r="A118" s="30" t="s">
        <v>41</v>
      </c>
      <c r="B118" s="161" t="s">
        <v>624</v>
      </c>
      <c r="C118" s="18"/>
      <c r="D118" s="162"/>
      <c r="E118" s="162"/>
      <c r="F118" s="162"/>
      <c r="G118" s="162"/>
      <c r="H118" s="162"/>
      <c r="I118" s="18"/>
      <c r="J118" s="162"/>
      <c r="K118" s="162"/>
      <c r="L118" s="162"/>
      <c r="M118" s="162"/>
      <c r="N118" s="162"/>
      <c r="O118" s="18"/>
      <c r="P118" s="162"/>
      <c r="Q118" s="162"/>
      <c r="R118" s="162"/>
      <c r="S118" s="162"/>
      <c r="T118" s="162"/>
      <c r="U118" s="18"/>
      <c r="V118" s="162"/>
      <c r="W118" s="162"/>
      <c r="X118" s="162"/>
      <c r="Y118" s="162"/>
      <c r="Z118" s="162"/>
      <c r="AA118" s="18"/>
      <c r="AB118" s="162"/>
      <c r="AC118" s="162"/>
      <c r="AD118" s="162"/>
      <c r="AE118" s="162"/>
      <c r="AF118" s="162"/>
      <c r="AG118" s="18"/>
      <c r="AH118" s="162"/>
      <c r="AI118" s="18"/>
      <c r="AJ118" s="163"/>
      <c r="AK118" s="18"/>
      <c r="AL118" s="163"/>
    </row>
    <row r="119" spans="1:45" s="41" customFormat="1" ht="15" customHeight="1">
      <c r="B119" s="164"/>
      <c r="C119" s="18"/>
      <c r="D119" s="893">
        <f>D$8</f>
        <v>2022</v>
      </c>
      <c r="E119" s="893">
        <f>F119</f>
        <v>0</v>
      </c>
      <c r="F119" s="893">
        <f>F$8</f>
        <v>0</v>
      </c>
      <c r="G119" s="893">
        <f>F119</f>
        <v>0</v>
      </c>
      <c r="H119" s="893">
        <f>F119</f>
        <v>0</v>
      </c>
      <c r="I119" s="169"/>
      <c r="J119" s="893">
        <f>J$8</f>
        <v>2023</v>
      </c>
      <c r="K119" s="893">
        <f>L119</f>
        <v>0</v>
      </c>
      <c r="L119" s="893">
        <f>L$8</f>
        <v>0</v>
      </c>
      <c r="M119" s="893">
        <f>L119</f>
        <v>0</v>
      </c>
      <c r="N119" s="893">
        <f>L119</f>
        <v>0</v>
      </c>
      <c r="O119" s="169"/>
      <c r="P119" s="893">
        <f>P$8</f>
        <v>2024</v>
      </c>
      <c r="Q119" s="893">
        <f>R119</f>
        <v>0</v>
      </c>
      <c r="R119" s="893">
        <f>R$8</f>
        <v>0</v>
      </c>
      <c r="S119" s="893">
        <f>R119</f>
        <v>0</v>
      </c>
      <c r="T119" s="893">
        <f>R119</f>
        <v>0</v>
      </c>
      <c r="U119" s="169"/>
      <c r="V119" s="892">
        <f>V$8</f>
        <v>2025</v>
      </c>
      <c r="W119" s="892">
        <f>X119</f>
        <v>0</v>
      </c>
      <c r="X119" s="892">
        <f>X$8</f>
        <v>0</v>
      </c>
      <c r="Y119" s="892">
        <f>X119</f>
        <v>0</v>
      </c>
      <c r="Z119" s="892">
        <f>X119</f>
        <v>0</v>
      </c>
      <c r="AA119" s="169"/>
      <c r="AB119" s="892">
        <f>AB$8</f>
        <v>2026</v>
      </c>
      <c r="AC119" s="892">
        <f>AD119</f>
        <v>0</v>
      </c>
      <c r="AD119" s="892">
        <f>AD$8</f>
        <v>0</v>
      </c>
      <c r="AE119" s="892">
        <f>AD119</f>
        <v>0</v>
      </c>
      <c r="AF119" s="892">
        <f>AD119</f>
        <v>0</v>
      </c>
      <c r="AG119" s="171"/>
      <c r="AH119" s="166">
        <f>AH$8</f>
        <v>2027</v>
      </c>
      <c r="AI119" s="167"/>
      <c r="AJ119" s="166">
        <f>AJ$8</f>
        <v>2028</v>
      </c>
      <c r="AK119" s="167"/>
      <c r="AL119" s="166">
        <f>AL$8</f>
        <v>2029</v>
      </c>
    </row>
    <row r="120" spans="1:45" s="41" customFormat="1" ht="14.25" customHeight="1">
      <c r="B120" s="164"/>
      <c r="C120" s="18"/>
      <c r="D120" s="168" t="s">
        <v>292</v>
      </c>
      <c r="E120" s="168" t="s">
        <v>293</v>
      </c>
      <c r="F120" s="168" t="s">
        <v>294</v>
      </c>
      <c r="G120" s="168" t="s">
        <v>295</v>
      </c>
      <c r="H120" s="168" t="s">
        <v>296</v>
      </c>
      <c r="I120" s="165"/>
      <c r="J120" s="168" t="s">
        <v>292</v>
      </c>
      <c r="K120" s="168" t="s">
        <v>293</v>
      </c>
      <c r="L120" s="168" t="s">
        <v>294</v>
      </c>
      <c r="M120" s="168" t="s">
        <v>295</v>
      </c>
      <c r="N120" s="168" t="s">
        <v>296</v>
      </c>
      <c r="O120" s="165"/>
      <c r="P120" s="168" t="s">
        <v>292</v>
      </c>
      <c r="Q120" s="168" t="s">
        <v>293</v>
      </c>
      <c r="R120" s="168" t="s">
        <v>294</v>
      </c>
      <c r="S120" s="168" t="s">
        <v>295</v>
      </c>
      <c r="T120" s="168" t="s">
        <v>296</v>
      </c>
      <c r="U120" s="165"/>
      <c r="V120" s="168" t="s">
        <v>292</v>
      </c>
      <c r="W120" s="168" t="s">
        <v>293</v>
      </c>
      <c r="X120" s="168" t="s">
        <v>294</v>
      </c>
      <c r="Y120" s="168" t="s">
        <v>295</v>
      </c>
      <c r="Z120" s="168" t="s">
        <v>296</v>
      </c>
      <c r="AA120" s="165"/>
      <c r="AB120" s="168" t="s">
        <v>292</v>
      </c>
      <c r="AC120" s="168" t="s">
        <v>293</v>
      </c>
      <c r="AD120" s="168" t="s">
        <v>294</v>
      </c>
      <c r="AE120" s="168" t="s">
        <v>295</v>
      </c>
      <c r="AF120" s="168" t="s">
        <v>296</v>
      </c>
      <c r="AG120" s="165"/>
      <c r="AH120" s="168" t="s">
        <v>296</v>
      </c>
      <c r="AI120" s="165"/>
      <c r="AJ120" s="168" t="s">
        <v>296</v>
      </c>
      <c r="AK120" s="165"/>
      <c r="AL120" s="168" t="s">
        <v>296</v>
      </c>
    </row>
    <row r="121" spans="1:45" s="41" customFormat="1" ht="3.95" customHeight="1">
      <c r="B121" s="176"/>
      <c r="C121" s="35"/>
      <c r="D121" s="177"/>
      <c r="E121" s="177"/>
      <c r="F121" s="177"/>
      <c r="G121" s="177"/>
      <c r="H121" s="177"/>
      <c r="I121" s="178"/>
      <c r="J121" s="177"/>
      <c r="K121" s="177"/>
      <c r="L121" s="177"/>
      <c r="M121" s="177"/>
      <c r="N121" s="177"/>
      <c r="O121" s="178"/>
      <c r="P121" s="177"/>
      <c r="Q121" s="177"/>
      <c r="R121" s="177"/>
      <c r="S121" s="177"/>
      <c r="T121" s="177"/>
      <c r="U121" s="178"/>
      <c r="V121" s="177"/>
      <c r="W121" s="177"/>
      <c r="X121" s="177"/>
      <c r="Y121" s="177"/>
      <c r="Z121" s="179"/>
      <c r="AA121" s="180"/>
      <c r="AB121" s="179"/>
      <c r="AC121" s="179"/>
      <c r="AD121" s="179"/>
      <c r="AE121" s="179"/>
      <c r="AF121" s="179"/>
      <c r="AG121" s="180"/>
      <c r="AH121" s="179"/>
      <c r="AI121" s="180"/>
      <c r="AJ121" s="179"/>
      <c r="AK121" s="180"/>
      <c r="AL121" s="179"/>
    </row>
    <row r="122" spans="1:45" ht="3.95" customHeight="1">
      <c r="U122" s="203"/>
    </row>
    <row r="123" spans="1:45" ht="14.25" customHeight="1">
      <c r="B123" s="28" t="s">
        <v>557</v>
      </c>
      <c r="D123" s="292">
        <f>D61</f>
        <v>1507</v>
      </c>
      <c r="E123" s="292">
        <f>E61</f>
        <v>1538</v>
      </c>
      <c r="F123" s="292">
        <f>F61</f>
        <v>2589</v>
      </c>
      <c r="G123" s="292">
        <f>G61</f>
        <v>1865</v>
      </c>
      <c r="H123" s="303">
        <f>H61</f>
        <v>6739</v>
      </c>
      <c r="J123" s="292">
        <f>J61</f>
        <v>2452</v>
      </c>
      <c r="K123" s="292">
        <f>K61</f>
        <v>2551</v>
      </c>
      <c r="L123" s="292">
        <f>L61</f>
        <v>2042</v>
      </c>
      <c r="M123" s="292">
        <f>M61</f>
        <v>1970</v>
      </c>
      <c r="N123" s="303">
        <f>N61</f>
        <v>6939</v>
      </c>
      <c r="P123" s="292">
        <f>P61</f>
        <v>2417</v>
      </c>
      <c r="Q123" s="292">
        <f>Q61</f>
        <v>2554</v>
      </c>
      <c r="R123" s="292">
        <f>R61</f>
        <v>2546</v>
      </c>
      <c r="S123" s="292">
        <f>S61</f>
        <v>1102</v>
      </c>
      <c r="T123" s="303">
        <f>T61</f>
        <v>8724</v>
      </c>
      <c r="U123" s="203"/>
      <c r="V123" s="292">
        <f>V61</f>
        <v>2751</v>
      </c>
      <c r="W123" s="292">
        <f>W61</f>
        <v>1127</v>
      </c>
      <c r="X123" s="292">
        <f>X61</f>
        <v>0</v>
      </c>
      <c r="Y123" s="292">
        <f>Y61</f>
        <v>0</v>
      </c>
      <c r="Z123" s="303">
        <f>Z61</f>
        <v>8049.8399366785361</v>
      </c>
      <c r="AB123" s="292">
        <f>AB61</f>
        <v>0</v>
      </c>
      <c r="AC123" s="292">
        <f>AC61</f>
        <v>0</v>
      </c>
      <c r="AD123" s="292">
        <f>AD61</f>
        <v>0</v>
      </c>
      <c r="AE123" s="292">
        <f>AE61</f>
        <v>0</v>
      </c>
      <c r="AF123" s="303">
        <f>AF61</f>
        <v>9037.0867173740407</v>
      </c>
      <c r="AH123" s="303">
        <f>AH61</f>
        <v>10031.032105611406</v>
      </c>
      <c r="AJ123" s="303">
        <f>AJ61</f>
        <v>10361.300606883357</v>
      </c>
      <c r="AL123" s="303">
        <f>AL61</f>
        <v>10657.797159197658</v>
      </c>
    </row>
    <row r="124" spans="1:45" ht="14.25" customHeight="1">
      <c r="B124" s="28"/>
      <c r="D124" s="46"/>
      <c r="E124" s="46"/>
      <c r="F124" s="46"/>
      <c r="G124" s="46"/>
      <c r="H124" s="304"/>
      <c r="J124" s="46"/>
      <c r="K124" s="46"/>
      <c r="L124" s="46"/>
      <c r="M124" s="46"/>
      <c r="N124" s="304"/>
      <c r="P124" s="46"/>
      <c r="Q124" s="46"/>
      <c r="R124" s="46"/>
      <c r="S124" s="46"/>
      <c r="T124" s="304"/>
      <c r="U124" s="203"/>
      <c r="V124" s="46"/>
      <c r="W124" s="46"/>
      <c r="X124" s="46"/>
      <c r="Y124" s="46"/>
      <c r="AB124" s="46"/>
      <c r="AC124" s="46"/>
      <c r="AD124" s="46"/>
      <c r="AE124" s="46"/>
      <c r="AS124" s="304"/>
    </row>
    <row r="125" spans="1:45" ht="14.25" customHeight="1">
      <c r="B125" s="741" t="s">
        <v>524</v>
      </c>
      <c r="D125" s="301">
        <f>IS!P44/IS!P41</f>
        <v>0.1458960244648318</v>
      </c>
      <c r="E125" s="301">
        <f>IS!Q44/IS!Q41</f>
        <v>-0.30000000000000004</v>
      </c>
      <c r="F125" s="301">
        <f>IS!R44/IS!R41</f>
        <v>0.16332681017612524</v>
      </c>
      <c r="G125" s="301">
        <f>IS!S44/IS!S41</f>
        <v>0.10676503972758229</v>
      </c>
      <c r="H125" s="302">
        <f>IS!T44/IS!T41</f>
        <v>0.12218856569709127</v>
      </c>
      <c r="J125" s="301">
        <f>IS!V44/IS!V41</f>
        <v>0.16278538812785387</v>
      </c>
      <c r="K125" s="301">
        <f>IS!W44/IS!W41</f>
        <v>0.17115635179153096</v>
      </c>
      <c r="L125" s="301">
        <f>IS!X44/IS!X41</f>
        <v>0.15107121766405873</v>
      </c>
      <c r="M125" s="301">
        <f>IS!Y44/IS!Y41</f>
        <v>0.11590010976948407</v>
      </c>
      <c r="N125" s="302">
        <f>IS!Z44/IS!Z41</f>
        <v>0.13084356680037026</v>
      </c>
      <c r="P125" s="301">
        <f>IS!AB44/IS!AB41</f>
        <v>0.16710751237067029</v>
      </c>
      <c r="Q125" s="301">
        <f>IS!AC44/IS!AC41</f>
        <v>0.27365728900255754</v>
      </c>
      <c r="R125" s="301">
        <f>IS!AD44/IS!AD41</f>
        <v>0.1645491873396065</v>
      </c>
      <c r="S125" s="301">
        <f>IS!AE44/IS!AE41</f>
        <v>8.1158469945355194E-2</v>
      </c>
      <c r="T125" s="302">
        <f>IS!AF44/IS!AF41</f>
        <v>0.15656973068655961</v>
      </c>
      <c r="U125" s="203"/>
      <c r="V125" s="301">
        <f>IS!AH44/IS!AH41</f>
        <v>0.16711801242236024</v>
      </c>
      <c r="W125" s="301">
        <f>IS!AI44/IS!AI41</f>
        <v>0.19420854271356786</v>
      </c>
      <c r="X125" s="308"/>
      <c r="Y125" s="308"/>
      <c r="Z125" s="310">
        <f>0.15</f>
        <v>0.15</v>
      </c>
      <c r="AB125" s="308"/>
      <c r="AC125" s="308"/>
      <c r="AD125" s="308"/>
      <c r="AE125" s="308"/>
      <c r="AF125" s="310">
        <f>0.15</f>
        <v>0.15</v>
      </c>
      <c r="AH125" s="308">
        <f>0.15</f>
        <v>0.15</v>
      </c>
      <c r="AJ125" s="308">
        <f>0.15</f>
        <v>0.15</v>
      </c>
      <c r="AL125" s="308">
        <f>0.15</f>
        <v>0.15</v>
      </c>
    </row>
    <row r="126" spans="1:45" ht="14.25" customHeight="1">
      <c r="B126" s="28"/>
      <c r="D126" s="46"/>
      <c r="E126" s="46"/>
      <c r="F126" s="46"/>
      <c r="G126" s="46"/>
      <c r="H126" s="304"/>
      <c r="J126" s="46"/>
      <c r="K126" s="46"/>
      <c r="L126" s="46"/>
      <c r="M126" s="46"/>
      <c r="N126" s="304"/>
      <c r="P126" s="46"/>
      <c r="Q126" s="46"/>
      <c r="R126" s="46"/>
      <c r="S126" s="46"/>
      <c r="T126" s="304"/>
      <c r="U126" s="203"/>
      <c r="V126" s="46"/>
      <c r="W126" s="46"/>
      <c r="X126" s="46"/>
      <c r="Y126" s="46"/>
      <c r="AB126" s="46"/>
      <c r="AC126" s="46"/>
      <c r="AD126" s="46"/>
      <c r="AE126" s="46"/>
    </row>
    <row r="127" spans="1:45" ht="14.25" customHeight="1">
      <c r="B127" s="28" t="s">
        <v>625</v>
      </c>
      <c r="D127" s="46">
        <f>D123*(1-D125)</f>
        <v>1287.1346911314986</v>
      </c>
      <c r="E127" s="46">
        <f t="shared" ref="E127:H127" si="59">E123*(1-E125)</f>
        <v>1999.4</v>
      </c>
      <c r="F127" s="46">
        <f t="shared" si="59"/>
        <v>2166.1468884540118</v>
      </c>
      <c r="G127" s="46">
        <f t="shared" si="59"/>
        <v>1665.8832009080591</v>
      </c>
      <c r="H127" s="305">
        <f t="shared" si="59"/>
        <v>5915.5712557673023</v>
      </c>
      <c r="J127" s="46">
        <f>J123*(1-J125)</f>
        <v>2052.8502283105026</v>
      </c>
      <c r="K127" s="46">
        <f t="shared" ref="K127:N127" si="60">K123*(1-K125)</f>
        <v>2114.3801465798047</v>
      </c>
      <c r="L127" s="46">
        <f t="shared" si="60"/>
        <v>1733.5125735299921</v>
      </c>
      <c r="M127" s="46">
        <f t="shared" si="60"/>
        <v>1741.6767837541165</v>
      </c>
      <c r="N127" s="305">
        <f t="shared" si="60"/>
        <v>6031.0764899722308</v>
      </c>
      <c r="P127" s="46">
        <f>P123*(1-P125)</f>
        <v>2013.10114260009</v>
      </c>
      <c r="Q127" s="46">
        <f t="shared" ref="Q127:S127" si="61">Q123*(1-Q125)</f>
        <v>1855.0792838874681</v>
      </c>
      <c r="R127" s="46">
        <f t="shared" si="61"/>
        <v>2127.0577690333616</v>
      </c>
      <c r="S127" s="46">
        <f t="shared" si="61"/>
        <v>1012.5633661202187</v>
      </c>
      <c r="T127" s="305">
        <f>T123*(1-T125)</f>
        <v>7358.0856694904533</v>
      </c>
      <c r="U127" s="203"/>
      <c r="V127" s="46">
        <f>V123*(1-V125)</f>
        <v>2291.2583478260872</v>
      </c>
      <c r="W127" s="46">
        <f t="shared" ref="W127" si="62">W123*(1-W125)</f>
        <v>908.12697236180907</v>
      </c>
      <c r="X127" s="46">
        <f>X123*(1-X125)</f>
        <v>0</v>
      </c>
      <c r="Y127" s="46">
        <f>Y123*(1-Y125)</f>
        <v>0</v>
      </c>
      <c r="Z127" s="305">
        <f>Z123*(1-Z125)</f>
        <v>6842.3639461767552</v>
      </c>
      <c r="AB127" s="46">
        <f>AB123*(1-AB125)</f>
        <v>0</v>
      </c>
      <c r="AC127" s="46">
        <f t="shared" ref="AC127:AE127" si="63">AC123*(1-AC125)</f>
        <v>0</v>
      </c>
      <c r="AD127" s="46">
        <f t="shared" si="63"/>
        <v>0</v>
      </c>
      <c r="AE127" s="46">
        <f t="shared" si="63"/>
        <v>0</v>
      </c>
      <c r="AF127" s="305">
        <f>AF123*(1-AF125)</f>
        <v>7681.5237097679346</v>
      </c>
      <c r="AH127" s="305">
        <f>AH123*(1-AH125)</f>
        <v>8526.3772897696945</v>
      </c>
      <c r="AJ127" s="305">
        <f>AJ123*(1-AJ125)</f>
        <v>8807.1055158508534</v>
      </c>
      <c r="AL127" s="305">
        <f>AL123*(1-AL125)</f>
        <v>9059.1275853180086</v>
      </c>
    </row>
    <row r="128" spans="1:45" ht="14.25" customHeight="1">
      <c r="D128" s="46"/>
      <c r="E128" s="46"/>
      <c r="F128" s="46"/>
      <c r="G128" s="46"/>
      <c r="H128" s="304"/>
      <c r="J128" s="46"/>
      <c r="K128" s="46"/>
      <c r="L128" s="46"/>
      <c r="M128" s="46"/>
      <c r="N128" s="304"/>
      <c r="P128" s="46"/>
      <c r="Q128" s="46"/>
      <c r="R128" s="46"/>
      <c r="S128" s="46"/>
      <c r="T128" s="304"/>
      <c r="U128" s="203"/>
      <c r="V128" s="46"/>
      <c r="W128" s="46"/>
      <c r="X128" s="46"/>
      <c r="Y128" s="46"/>
      <c r="AB128" s="46"/>
      <c r="AC128" s="46"/>
      <c r="AD128" s="46"/>
      <c r="AE128" s="46"/>
    </row>
    <row r="129" spans="1:38" ht="14.25" customHeight="1">
      <c r="B129" s="28" t="s">
        <v>550</v>
      </c>
      <c r="D129" s="292">
        <f>D94</f>
        <v>329</v>
      </c>
      <c r="E129" s="292">
        <f>E94</f>
        <v>672</v>
      </c>
      <c r="F129" s="292">
        <f>F94</f>
        <v>293</v>
      </c>
      <c r="G129" s="292">
        <f>G94</f>
        <v>439</v>
      </c>
      <c r="H129" s="303">
        <f>H94</f>
        <v>1404</v>
      </c>
      <c r="J129" s="292">
        <f>J94</f>
        <v>325</v>
      </c>
      <c r="K129" s="292">
        <f>K94</f>
        <v>334</v>
      </c>
      <c r="L129" s="292">
        <f>L94</f>
        <v>350</v>
      </c>
      <c r="M129" s="292">
        <f>M94</f>
        <v>421</v>
      </c>
      <c r="N129" s="303">
        <f>N94</f>
        <v>1430</v>
      </c>
      <c r="P129" s="292">
        <f>P94</f>
        <v>351</v>
      </c>
      <c r="Q129" s="292">
        <f>Q94</f>
        <v>359</v>
      </c>
      <c r="R129" s="292">
        <f>R94</f>
        <v>390</v>
      </c>
      <c r="S129" s="292">
        <f>S94</f>
        <v>459</v>
      </c>
      <c r="T129" s="303">
        <f>T94</f>
        <v>1559</v>
      </c>
      <c r="U129" s="203"/>
      <c r="V129" s="292">
        <f>V94</f>
        <v>397</v>
      </c>
      <c r="W129" s="292">
        <f>W94</f>
        <v>399</v>
      </c>
      <c r="X129" s="292">
        <f>X94</f>
        <v>0</v>
      </c>
      <c r="Y129" s="292">
        <f>Y94</f>
        <v>0</v>
      </c>
      <c r="Z129" s="303">
        <f>Z94</f>
        <v>1497.3896130918929</v>
      </c>
      <c r="AB129" s="292">
        <f>AB94</f>
        <v>0</v>
      </c>
      <c r="AC129" s="292">
        <f>AC94</f>
        <v>0</v>
      </c>
      <c r="AD129" s="292">
        <f>AD94</f>
        <v>0</v>
      </c>
      <c r="AE129" s="292">
        <f>AE94</f>
        <v>0</v>
      </c>
      <c r="AF129" s="303">
        <f>AF94</f>
        <v>1527.878413842991</v>
      </c>
      <c r="AH129" s="303">
        <f>AH94</f>
        <v>1565.2106426657874</v>
      </c>
      <c r="AJ129" s="303">
        <f>AJ94</f>
        <v>1573.4649422192012</v>
      </c>
      <c r="AL129" s="303">
        <f>AL94</f>
        <v>1592.7410963593293</v>
      </c>
    </row>
    <row r="130" spans="1:38" ht="14.25" customHeight="1">
      <c r="D130" s="46"/>
      <c r="E130" s="46"/>
      <c r="F130" s="46"/>
      <c r="G130" s="46"/>
      <c r="H130" s="304"/>
      <c r="J130" s="46"/>
      <c r="K130" s="46"/>
      <c r="L130" s="46"/>
      <c r="M130" s="46"/>
      <c r="N130" s="304"/>
      <c r="P130" s="46"/>
      <c r="Q130" s="46"/>
      <c r="R130" s="46"/>
      <c r="S130" s="46"/>
      <c r="T130" s="304"/>
      <c r="U130" s="203"/>
      <c r="V130" s="46"/>
      <c r="W130" s="46"/>
      <c r="X130" s="46"/>
      <c r="Y130" s="46"/>
      <c r="AB130" s="46"/>
      <c r="AC130" s="46"/>
      <c r="AD130" s="46"/>
      <c r="AE130" s="46"/>
    </row>
    <row r="131" spans="1:38" ht="14.25" customHeight="1">
      <c r="B131" s="28" t="s">
        <v>626</v>
      </c>
      <c r="D131" s="292">
        <f>D97</f>
        <v>54</v>
      </c>
      <c r="E131" s="292">
        <f>E97</f>
        <v>134</v>
      </c>
      <c r="F131" s="292">
        <f>F97</f>
        <v>61</v>
      </c>
      <c r="G131" s="292">
        <f>G97</f>
        <v>43</v>
      </c>
      <c r="H131" s="303">
        <f>H97</f>
        <v>238</v>
      </c>
      <c r="J131" s="292">
        <f>J97</f>
        <v>57</v>
      </c>
      <c r="K131" s="292">
        <f>K97</f>
        <v>89</v>
      </c>
      <c r="L131" s="292">
        <f>L97</f>
        <v>75</v>
      </c>
      <c r="M131" s="292">
        <f>M97</f>
        <v>44</v>
      </c>
      <c r="N131" s="303">
        <f>N97</f>
        <v>265</v>
      </c>
      <c r="P131" s="292">
        <f>P97</f>
        <v>61</v>
      </c>
      <c r="Q131" s="292">
        <f>Q97</f>
        <v>93</v>
      </c>
      <c r="R131" s="292">
        <f>R97</f>
        <v>75</v>
      </c>
      <c r="S131" s="292">
        <f>S97</f>
        <v>48</v>
      </c>
      <c r="T131" s="303">
        <f>T97</f>
        <v>277</v>
      </c>
      <c r="U131" s="203"/>
      <c r="V131" s="292">
        <f>V97</f>
        <v>60</v>
      </c>
      <c r="W131" s="292">
        <f>W97</f>
        <v>81</v>
      </c>
      <c r="X131" s="292">
        <f>X97</f>
        <v>0</v>
      </c>
      <c r="Y131" s="292">
        <f>Y97</f>
        <v>0</v>
      </c>
      <c r="Z131" s="303">
        <f>Z97</f>
        <v>285.31</v>
      </c>
      <c r="AB131" s="292">
        <f>AB97</f>
        <v>0</v>
      </c>
      <c r="AC131" s="292">
        <f>AC97</f>
        <v>0</v>
      </c>
      <c r="AD131" s="292">
        <f>AD97</f>
        <v>0</v>
      </c>
      <c r="AE131" s="292">
        <f>AE97</f>
        <v>0</v>
      </c>
      <c r="AF131" s="303">
        <f>AF97</f>
        <v>294.43992000000003</v>
      </c>
      <c r="AH131" s="303">
        <f>AH97</f>
        <v>304.15643735999998</v>
      </c>
      <c r="AJ131" s="303">
        <f>AJ97</f>
        <v>315.25814732364</v>
      </c>
      <c r="AL131" s="303">
        <f>AL97</f>
        <v>325.66166618532009</v>
      </c>
    </row>
    <row r="132" spans="1:38" ht="14.25" customHeight="1">
      <c r="D132" s="46"/>
      <c r="E132" s="46"/>
      <c r="F132" s="46"/>
      <c r="G132" s="46"/>
      <c r="H132" s="304"/>
      <c r="J132" s="46"/>
      <c r="K132" s="46"/>
      <c r="L132" s="46"/>
      <c r="M132" s="46"/>
      <c r="N132" s="304"/>
      <c r="P132" s="46"/>
      <c r="Q132" s="46"/>
      <c r="R132" s="46"/>
      <c r="S132" s="46"/>
      <c r="T132" s="304"/>
      <c r="U132" s="203"/>
      <c r="V132" s="46"/>
      <c r="W132" s="46"/>
      <c r="X132" s="46"/>
      <c r="Y132" s="46"/>
      <c r="AB132" s="46"/>
      <c r="AC132" s="46"/>
      <c r="AD132" s="46"/>
      <c r="AE132" s="46"/>
    </row>
    <row r="133" spans="1:38" ht="14.25" customHeight="1">
      <c r="B133" s="28" t="s">
        <v>616</v>
      </c>
      <c r="D133" s="292">
        <f>D103</f>
        <v>43</v>
      </c>
      <c r="E133" s="292">
        <f>E103</f>
        <v>-505</v>
      </c>
      <c r="F133" s="292">
        <f>F103</f>
        <v>-3</v>
      </c>
      <c r="G133" s="292">
        <f>G103</f>
        <v>-77</v>
      </c>
      <c r="H133" s="303">
        <f>H103</f>
        <v>-585</v>
      </c>
      <c r="J133" s="292">
        <f>J103</f>
        <v>147</v>
      </c>
      <c r="K133" s="292">
        <f>K103</f>
        <v>-1122</v>
      </c>
      <c r="L133" s="292">
        <f>L103</f>
        <v>662</v>
      </c>
      <c r="M133" s="292">
        <f>M103</f>
        <v>497</v>
      </c>
      <c r="N133" s="303">
        <f>N103</f>
        <v>184</v>
      </c>
      <c r="P133" s="292">
        <f>P103</f>
        <v>59</v>
      </c>
      <c r="Q133" s="292">
        <f>Q103</f>
        <v>-482</v>
      </c>
      <c r="R133" s="292">
        <f>R103</f>
        <v>168</v>
      </c>
      <c r="S133" s="292">
        <f>S103</f>
        <v>92</v>
      </c>
      <c r="T133" s="303">
        <f>T103</f>
        <v>-163</v>
      </c>
      <c r="U133" s="203"/>
      <c r="V133" s="292">
        <f>V103</f>
        <v>81</v>
      </c>
      <c r="W133" s="292">
        <f>W103</f>
        <v>-2284</v>
      </c>
      <c r="X133" s="292">
        <f>X103</f>
        <v>0</v>
      </c>
      <c r="Y133" s="292">
        <f>Y103</f>
        <v>0</v>
      </c>
      <c r="Z133" s="303">
        <f>Z103</f>
        <v>-19.661197768346362</v>
      </c>
      <c r="AB133" s="292">
        <f>AB103</f>
        <v>0</v>
      </c>
      <c r="AC133" s="292"/>
      <c r="AD133" s="292"/>
      <c r="AE133" s="292">
        <f>AE103</f>
        <v>0</v>
      </c>
      <c r="AF133" s="303">
        <f>AF103</f>
        <v>-82.038380687196394</v>
      </c>
      <c r="AH133" s="303">
        <f>AH103</f>
        <v>-610.5845629502594</v>
      </c>
      <c r="AJ133" s="303">
        <f>AJ103</f>
        <v>-462.55806280729269</v>
      </c>
      <c r="AL133" s="303">
        <f>AL103</f>
        <v>-68.142573785900382</v>
      </c>
    </row>
    <row r="134" spans="1:38" ht="14.25" customHeight="1">
      <c r="D134" s="46"/>
      <c r="E134" s="46"/>
      <c r="F134" s="46"/>
      <c r="G134" s="46"/>
      <c r="H134" s="304"/>
      <c r="J134" s="46"/>
      <c r="K134" s="46"/>
      <c r="L134" s="46"/>
      <c r="M134" s="46"/>
      <c r="N134" s="304"/>
      <c r="P134" s="46"/>
      <c r="Q134" s="46"/>
      <c r="R134" s="46"/>
      <c r="S134" s="46"/>
      <c r="T134" s="304"/>
      <c r="U134" s="203"/>
      <c r="V134" s="46"/>
      <c r="W134" s="46"/>
      <c r="X134" s="46"/>
      <c r="Y134" s="46"/>
      <c r="AB134" s="46"/>
      <c r="AC134" s="46"/>
      <c r="AD134" s="46"/>
      <c r="AE134" s="46"/>
    </row>
    <row r="135" spans="1:38" ht="14.25" customHeight="1">
      <c r="B135" s="28" t="s">
        <v>627</v>
      </c>
      <c r="D135" s="46">
        <f>D106+D109</f>
        <v>-268</v>
      </c>
      <c r="E135" s="46">
        <f>E106+E109</f>
        <v>-572</v>
      </c>
      <c r="F135" s="46">
        <f>F106+F109</f>
        <v>-405</v>
      </c>
      <c r="G135" s="46">
        <f>G106+G109</f>
        <v>-693</v>
      </c>
      <c r="H135" s="66">
        <f>H106+H109</f>
        <v>-1670</v>
      </c>
      <c r="J135" s="46">
        <f>J106+J109</f>
        <v>-294</v>
      </c>
      <c r="K135" s="46">
        <f>K106+K109</f>
        <v>-329</v>
      </c>
      <c r="L135" s="46">
        <f>L106+L109</f>
        <v>-364</v>
      </c>
      <c r="M135" s="46">
        <f>M106+M109</f>
        <v>-704</v>
      </c>
      <c r="N135" s="66">
        <f>N106+N109</f>
        <v>-1691</v>
      </c>
      <c r="P135" s="46">
        <f>P106+P109</f>
        <v>-378</v>
      </c>
      <c r="Q135" s="46">
        <f>Q106+Q109</f>
        <v>-370</v>
      </c>
      <c r="R135" s="46">
        <f>R106+R109</f>
        <v>-355</v>
      </c>
      <c r="S135" s="46">
        <f>S106+S109</f>
        <v>-582</v>
      </c>
      <c r="T135" s="66">
        <f>T106+T109</f>
        <v>-1685</v>
      </c>
      <c r="U135" s="203"/>
      <c r="V135" s="46">
        <f>V106+V109</f>
        <v>-454</v>
      </c>
      <c r="W135" s="46">
        <f>W106+W109</f>
        <v>-351</v>
      </c>
      <c r="X135" s="46">
        <f>X106+X109</f>
        <v>0</v>
      </c>
      <c r="Y135" s="46">
        <f>Y106+Y109</f>
        <v>0</v>
      </c>
      <c r="Z135" s="66">
        <f>Z106+Z109</f>
        <v>-1822.974247693784</v>
      </c>
      <c r="AB135" s="46">
        <f>AB106+AB109</f>
        <v>0</v>
      </c>
      <c r="AC135" s="46">
        <f>AC106+AC109</f>
        <v>0</v>
      </c>
      <c r="AD135" s="46">
        <f>AD106+AD109</f>
        <v>0</v>
      </c>
      <c r="AE135" s="46">
        <f>AE106+AE109</f>
        <v>0</v>
      </c>
      <c r="AF135" s="66">
        <f>AF106+AF109</f>
        <v>-1974.9208249700564</v>
      </c>
      <c r="AH135" s="66">
        <f>AH106+AH109</f>
        <v>-2118.9669916179109</v>
      </c>
      <c r="AJ135" s="66">
        <f>AJ106+AJ109</f>
        <v>-2265.0823777197784</v>
      </c>
      <c r="AL135" s="66">
        <f>AL106+AL109</f>
        <v>-2302.9950216733569</v>
      </c>
    </row>
    <row r="136" spans="1:38" ht="14.25" customHeight="1">
      <c r="D136" s="306"/>
      <c r="E136" s="306"/>
      <c r="F136" s="306"/>
      <c r="G136" s="306"/>
      <c r="H136" s="304"/>
      <c r="J136" s="306"/>
      <c r="K136" s="306"/>
      <c r="L136" s="306"/>
      <c r="M136" s="306"/>
      <c r="N136" s="304"/>
      <c r="P136" s="306"/>
      <c r="Q136" s="306"/>
      <c r="R136" s="306"/>
      <c r="S136" s="306"/>
      <c r="T136" s="304"/>
      <c r="U136" s="331"/>
      <c r="V136" s="306"/>
      <c r="W136" s="306"/>
      <c r="X136" s="284"/>
      <c r="Y136" s="284"/>
      <c r="AB136" s="284"/>
      <c r="AC136" s="284"/>
      <c r="AD136" s="284"/>
      <c r="AE136" s="284"/>
    </row>
    <row r="137" spans="1:38" ht="14.25" customHeight="1">
      <c r="B137" s="285" t="s">
        <v>628</v>
      </c>
      <c r="C137" s="286"/>
      <c r="D137" s="307">
        <f>D127+D94+D97+D103+D135</f>
        <v>1445.1346911314986</v>
      </c>
      <c r="E137" s="307">
        <f>E127+E94+E97+E103+E135</f>
        <v>1728.4</v>
      </c>
      <c r="F137" s="307">
        <f>F127+F94+F97+F103+F135</f>
        <v>2112.1468884540118</v>
      </c>
      <c r="G137" s="307">
        <f>G127+G94+G97+G103+G135</f>
        <v>1377.8832009080588</v>
      </c>
      <c r="H137" s="307">
        <f>H127+H94+H97+H103+H135</f>
        <v>5302.5712557673023</v>
      </c>
      <c r="I137" s="286"/>
      <c r="J137" s="307">
        <f>J127+J94+J97+J103+J135</f>
        <v>2287.8502283105026</v>
      </c>
      <c r="K137" s="307">
        <f>K127+K94+K97+K103+K135</f>
        <v>1086.3801465798047</v>
      </c>
      <c r="L137" s="307">
        <f>L127+L94+L97+L103+L135</f>
        <v>2456.5125735299921</v>
      </c>
      <c r="M137" s="307">
        <f>M127+M94+M97+M103+M135</f>
        <v>1999.6767837541165</v>
      </c>
      <c r="N137" s="307">
        <f>N127+N94+N97+N103+N135</f>
        <v>6219.0764899722308</v>
      </c>
      <c r="O137" s="286"/>
      <c r="P137" s="307">
        <f>P127+P94+P97+P103+P135</f>
        <v>2106.10114260009</v>
      </c>
      <c r="Q137" s="307">
        <f>Q127+Q94+Q97+Q103+Q135</f>
        <v>1455.0792838874681</v>
      </c>
      <c r="R137" s="307">
        <f>R127+R94+R97+R103+R135</f>
        <v>2405.0577690333616</v>
      </c>
      <c r="S137" s="307">
        <f>S127+S94+S97+S103+S135</f>
        <v>1029.5633661202187</v>
      </c>
      <c r="T137" s="307">
        <f>T127+T94+T97+T103+T135</f>
        <v>7346.0856694904542</v>
      </c>
      <c r="U137" s="286"/>
      <c r="V137" s="307"/>
      <c r="W137" s="307"/>
      <c r="X137" s="307"/>
      <c r="Y137" s="307"/>
      <c r="Z137" s="307">
        <f>Z127+Z129+Z131+Z133+Z135</f>
        <v>6782.4281138065162</v>
      </c>
      <c r="AA137" s="307"/>
      <c r="AB137" s="307"/>
      <c r="AC137" s="307"/>
      <c r="AD137" s="307"/>
      <c r="AE137" s="307"/>
      <c r="AF137" s="788">
        <f>AF127+AF129+AF131+AF133+AF135</f>
        <v>7446.8828379536735</v>
      </c>
      <c r="AG137" s="307"/>
      <c r="AH137" s="307">
        <f t="shared" ref="AH137" si="64">AH127+AH129+AH131+AH133+AH135</f>
        <v>7666.1928152273113</v>
      </c>
      <c r="AI137" s="307"/>
      <c r="AJ137" s="307">
        <f t="shared" ref="AJ137" si="65">AJ127+AJ129+AJ131+AJ133+AJ135</f>
        <v>7968.188164866624</v>
      </c>
      <c r="AK137" s="307"/>
      <c r="AL137" s="307">
        <f t="shared" ref="AL137" si="66">AL127+AL129+AL131+AL133+AL135</f>
        <v>8606.3927524034007</v>
      </c>
    </row>
    <row r="139" spans="1:38" s="41" customFormat="1" ht="15" customHeight="1">
      <c r="A139" s="30" t="s">
        <v>41</v>
      </c>
      <c r="B139" s="161" t="s">
        <v>629</v>
      </c>
      <c r="C139" s="18"/>
      <c r="D139" s="162"/>
      <c r="E139" s="162"/>
      <c r="F139" s="162"/>
      <c r="G139" s="162"/>
      <c r="H139" s="162"/>
      <c r="I139" s="18"/>
      <c r="J139" s="162"/>
      <c r="K139" s="162"/>
      <c r="L139" s="162"/>
      <c r="M139" s="162"/>
      <c r="N139" s="162"/>
      <c r="O139" s="18"/>
      <c r="P139" s="162"/>
      <c r="Q139" s="162"/>
      <c r="R139" s="162"/>
      <c r="S139" s="162"/>
      <c r="T139" s="162"/>
      <c r="U139" s="18"/>
      <c r="V139" s="162"/>
      <c r="W139" s="162"/>
      <c r="X139" s="162"/>
      <c r="Y139" s="162"/>
      <c r="Z139" s="162"/>
      <c r="AA139" s="18"/>
      <c r="AB139" s="162"/>
      <c r="AC139" s="162"/>
      <c r="AD139" s="162"/>
      <c r="AE139" s="162"/>
      <c r="AF139" s="162"/>
      <c r="AG139" s="18"/>
      <c r="AH139" s="162"/>
      <c r="AI139" s="18"/>
      <c r="AJ139" s="163"/>
      <c r="AK139" s="18"/>
      <c r="AL139" s="163"/>
    </row>
    <row r="140" spans="1:38" s="41" customFormat="1" ht="15" customHeight="1">
      <c r="B140" s="164"/>
      <c r="C140" s="18"/>
      <c r="D140" s="165"/>
      <c r="E140" s="165"/>
      <c r="F140" s="165"/>
      <c r="G140" s="165"/>
      <c r="H140" s="165"/>
      <c r="I140" s="169"/>
      <c r="J140" s="165"/>
      <c r="K140" s="165"/>
      <c r="L140" s="165"/>
      <c r="M140" s="165"/>
      <c r="N140" s="165"/>
      <c r="O140" s="169"/>
      <c r="P140" s="165"/>
      <c r="Q140" s="165"/>
      <c r="R140" s="165"/>
      <c r="S140" s="165"/>
      <c r="T140" s="165"/>
      <c r="U140" s="169"/>
      <c r="V140" s="892">
        <f>V$8</f>
        <v>2025</v>
      </c>
      <c r="W140" s="892">
        <f>X140</f>
        <v>0</v>
      </c>
      <c r="X140" s="892">
        <f>X$8</f>
        <v>0</v>
      </c>
      <c r="Y140" s="892">
        <f>X140</f>
        <v>0</v>
      </c>
      <c r="Z140" s="892">
        <f>X140</f>
        <v>0</v>
      </c>
      <c r="AA140" s="169"/>
      <c r="AB140" s="892">
        <f>AB$8</f>
        <v>2026</v>
      </c>
      <c r="AC140" s="892">
        <f>AD140</f>
        <v>0</v>
      </c>
      <c r="AD140" s="892">
        <f>AD$8</f>
        <v>0</v>
      </c>
      <c r="AE140" s="892">
        <f>AD140</f>
        <v>0</v>
      </c>
      <c r="AF140" s="892">
        <f>AD140</f>
        <v>0</v>
      </c>
      <c r="AG140" s="171"/>
      <c r="AH140" s="166">
        <f>AH$8</f>
        <v>2027</v>
      </c>
      <c r="AI140" s="167"/>
      <c r="AJ140" s="166">
        <f>AJ$8</f>
        <v>2028</v>
      </c>
      <c r="AK140" s="167"/>
      <c r="AL140" s="166">
        <f>AL$8</f>
        <v>2029</v>
      </c>
    </row>
    <row r="141" spans="1:38" s="41" customFormat="1" ht="14.25" customHeight="1">
      <c r="B141" s="164"/>
      <c r="C141" s="18"/>
      <c r="D141" s="168"/>
      <c r="E141" s="168"/>
      <c r="F141" s="168"/>
      <c r="G141" s="168"/>
      <c r="H141" s="168"/>
      <c r="I141" s="165"/>
      <c r="J141" s="168"/>
      <c r="K141" s="168"/>
      <c r="L141" s="168"/>
      <c r="M141" s="168"/>
      <c r="N141" s="168"/>
      <c r="O141" s="165"/>
      <c r="P141" s="168"/>
      <c r="Q141" s="168"/>
      <c r="R141" s="168"/>
      <c r="S141" s="168"/>
      <c r="T141" s="168"/>
      <c r="U141" s="165"/>
      <c r="V141" s="168" t="s">
        <v>292</v>
      </c>
      <c r="W141" s="168" t="s">
        <v>293</v>
      </c>
      <c r="X141" s="168" t="s">
        <v>294</v>
      </c>
      <c r="Y141" s="168" t="s">
        <v>295</v>
      </c>
      <c r="Z141" s="168" t="s">
        <v>296</v>
      </c>
      <c r="AA141" s="165"/>
      <c r="AB141" s="168" t="s">
        <v>292</v>
      </c>
      <c r="AC141" s="168" t="s">
        <v>293</v>
      </c>
      <c r="AD141" s="168" t="s">
        <v>294</v>
      </c>
      <c r="AE141" s="168" t="s">
        <v>295</v>
      </c>
      <c r="AF141" s="168" t="s">
        <v>296</v>
      </c>
      <c r="AG141" s="165"/>
      <c r="AH141" s="168" t="s">
        <v>296</v>
      </c>
      <c r="AI141" s="165"/>
      <c r="AJ141" s="168" t="s">
        <v>296</v>
      </c>
      <c r="AK141" s="165"/>
      <c r="AL141" s="168" t="s">
        <v>296</v>
      </c>
    </row>
    <row r="142" spans="1:38" s="41" customFormat="1" ht="3.95" customHeight="1">
      <c r="A142" s="43"/>
      <c r="B142" s="176"/>
      <c r="C142" s="35"/>
      <c r="D142" s="177"/>
      <c r="E142" s="177"/>
      <c r="F142" s="177"/>
      <c r="G142" s="177"/>
      <c r="H142" s="177"/>
      <c r="I142" s="178"/>
      <c r="J142" s="177"/>
      <c r="K142" s="177"/>
      <c r="L142" s="177"/>
      <c r="M142" s="177"/>
      <c r="N142" s="177"/>
      <c r="O142" s="178"/>
      <c r="P142" s="177"/>
      <c r="Q142" s="177"/>
      <c r="R142" s="177"/>
      <c r="S142" s="177"/>
      <c r="T142" s="177"/>
      <c r="U142" s="178"/>
      <c r="V142" s="177"/>
      <c r="W142" s="177"/>
      <c r="X142" s="177"/>
      <c r="Y142" s="177"/>
      <c r="Z142" s="179"/>
      <c r="AA142" s="180"/>
      <c r="AB142" s="179"/>
      <c r="AC142" s="179"/>
      <c r="AD142" s="179"/>
      <c r="AE142" s="179"/>
      <c r="AF142" s="179"/>
      <c r="AG142" s="180"/>
      <c r="AH142" s="179"/>
      <c r="AI142" s="180"/>
      <c r="AJ142" s="179"/>
      <c r="AK142" s="180"/>
      <c r="AL142" s="179"/>
    </row>
    <row r="143" spans="1:38" ht="3.95" customHeight="1"/>
    <row r="144" spans="1:38" ht="14.25" customHeight="1">
      <c r="B144" s="161" t="s">
        <v>630</v>
      </c>
      <c r="C144" s="184"/>
      <c r="D144" s="280"/>
      <c r="E144" s="280"/>
      <c r="F144" s="280"/>
      <c r="G144" s="280"/>
      <c r="H144" s="280"/>
      <c r="I144" s="184"/>
      <c r="J144" s="280"/>
      <c r="K144" s="280"/>
      <c r="L144" s="280"/>
      <c r="M144" s="280"/>
      <c r="N144" s="280"/>
      <c r="O144" s="184"/>
      <c r="P144" s="280"/>
      <c r="Q144" s="280"/>
      <c r="R144" s="280"/>
      <c r="S144" s="280"/>
      <c r="T144" s="280"/>
      <c r="U144" s="184"/>
      <c r="V144" s="280"/>
      <c r="W144" s="280"/>
      <c r="X144" s="280"/>
      <c r="Y144" s="280"/>
      <c r="Z144" s="280"/>
      <c r="AA144" s="184"/>
      <c r="AB144" s="280"/>
      <c r="AC144" s="280"/>
      <c r="AD144" s="280"/>
      <c r="AE144" s="280"/>
      <c r="AF144" s="280"/>
      <c r="AG144" s="184"/>
      <c r="AH144" s="280"/>
      <c r="AI144" s="184"/>
      <c r="AJ144" s="281"/>
      <c r="AK144" s="280"/>
      <c r="AL144" s="280"/>
    </row>
    <row r="145" spans="2:38" ht="3.95" customHeight="1">
      <c r="B145" s="282"/>
      <c r="C145" s="36"/>
      <c r="D145" s="282"/>
      <c r="E145" s="282"/>
      <c r="F145" s="282"/>
      <c r="G145" s="282"/>
      <c r="H145" s="282"/>
      <c r="I145" s="36"/>
      <c r="J145" s="282"/>
      <c r="K145" s="282"/>
      <c r="L145" s="282"/>
      <c r="M145" s="282"/>
      <c r="N145" s="282"/>
      <c r="O145" s="36"/>
      <c r="P145" s="282"/>
      <c r="Q145" s="282"/>
      <c r="R145" s="282"/>
      <c r="S145" s="282"/>
      <c r="T145" s="282"/>
      <c r="U145" s="36"/>
      <c r="V145" s="282"/>
      <c r="W145" s="282"/>
      <c r="X145" s="282"/>
      <c r="Y145" s="282"/>
      <c r="Z145" s="282"/>
      <c r="AA145" s="36"/>
      <c r="AB145" s="282"/>
      <c r="AC145" s="282"/>
      <c r="AD145" s="282"/>
      <c r="AE145" s="282"/>
      <c r="AF145" s="282"/>
      <c r="AG145" s="36"/>
      <c r="AH145" s="282"/>
      <c r="AI145" s="36"/>
      <c r="AJ145" s="283"/>
      <c r="AK145" s="282"/>
      <c r="AL145" s="282"/>
    </row>
    <row r="147" spans="2:38" ht="14.25" customHeight="1">
      <c r="B147" s="97" t="s">
        <v>631</v>
      </c>
      <c r="V147" s="290"/>
      <c r="W147" s="290"/>
      <c r="X147" s="290"/>
      <c r="Y147" s="290"/>
      <c r="Z147" s="803">
        <f ca="1">YEARFRAC(TODAY(),"2025-12-31")</f>
        <v>0.20277777777777778</v>
      </c>
      <c r="AB147" s="290"/>
      <c r="AC147" s="290"/>
      <c r="AD147" s="290"/>
      <c r="AE147" s="290"/>
      <c r="AF147" s="804">
        <f ca="1">+Z147+1</f>
        <v>1.2027777777777777</v>
      </c>
      <c r="AH147" s="290">
        <f ca="1">+AF147+1</f>
        <v>2.2027777777777775</v>
      </c>
      <c r="AJ147" s="290">
        <f ca="1">+AH147+1</f>
        <v>3.2027777777777775</v>
      </c>
      <c r="AL147" s="290">
        <f ca="1">+AJ147+1</f>
        <v>4.2027777777777775</v>
      </c>
    </row>
    <row r="148" spans="2:38" ht="14.25" customHeight="1">
      <c r="B148" s="97" t="s">
        <v>632</v>
      </c>
      <c r="X148" s="290"/>
      <c r="Y148" s="290"/>
      <c r="Z148" s="290">
        <f ca="1">+Z147/2</f>
        <v>0.10138888888888889</v>
      </c>
      <c r="AB148" s="290"/>
      <c r="AC148" s="290"/>
      <c r="AD148" s="290"/>
      <c r="AE148" s="290"/>
      <c r="AF148" s="804">
        <f ca="1">+Z148+1</f>
        <v>1.101388888888889</v>
      </c>
      <c r="AH148" s="290">
        <f ca="1">+AF148+1</f>
        <v>2.1013888888888888</v>
      </c>
      <c r="AJ148" s="290">
        <f ca="1">+AH148+1</f>
        <v>3.1013888888888888</v>
      </c>
      <c r="AL148" s="290">
        <f ca="1">+AJ148+1</f>
        <v>4.1013888888888888</v>
      </c>
    </row>
    <row r="149" spans="2:38" ht="14.25" customHeight="1">
      <c r="AF149" s="805"/>
    </row>
    <row r="150" spans="2:38" ht="14.25" customHeight="1">
      <c r="B150" s="97" t="s">
        <v>633</v>
      </c>
      <c r="V150" s="288"/>
      <c r="W150" s="288"/>
      <c r="X150" s="289"/>
      <c r="Y150" s="289"/>
      <c r="Z150" s="289">
        <f>+WACC!D39</f>
        <v>0.10190002287814828</v>
      </c>
      <c r="AB150" s="287"/>
      <c r="AC150" s="287"/>
      <c r="AD150" s="287"/>
      <c r="AE150" s="287"/>
      <c r="AF150" s="806">
        <f>WACC!E39</f>
        <v>9.9603683593850259E-2</v>
      </c>
      <c r="AH150" s="287">
        <f>WACC!$F$39+Sensitivity!U41</f>
        <v>9.4137165276134124E-2</v>
      </c>
      <c r="AJ150" s="287">
        <f>WACC!$G$39+Sensitivity!U41</f>
        <v>9.4792083309254302E-2</v>
      </c>
      <c r="AL150" s="287">
        <f>WACC!$H$39+Sensitivity!U41</f>
        <v>9.7024424246718227E-2</v>
      </c>
    </row>
    <row r="151" spans="2:38" ht="14.25" customHeight="1">
      <c r="B151" s="97" t="s">
        <v>634</v>
      </c>
      <c r="V151" s="288"/>
      <c r="W151" s="288"/>
      <c r="X151" s="291"/>
      <c r="Y151" s="291"/>
      <c r="Z151" s="291">
        <f ca="1">+(1+Z150)^Z148</f>
        <v>1.0098869263999575</v>
      </c>
      <c r="AB151" s="291"/>
      <c r="AC151" s="291"/>
      <c r="AD151" s="291"/>
      <c r="AE151" s="291"/>
      <c r="AF151" s="807">
        <f ca="1">1.01*(1+AF150)^AF148</f>
        <v>1.1213429343853361</v>
      </c>
      <c r="AH151" s="291">
        <f ca="1">AF151*(1+AH150)^AH148</f>
        <v>1.3547009481575807</v>
      </c>
      <c r="AI151" s="291"/>
      <c r="AJ151" s="291">
        <f ca="1">AH151*(1+AJ150)^AJ148</f>
        <v>1.794015420391335</v>
      </c>
      <c r="AK151" s="291"/>
      <c r="AL151" s="291">
        <f ca="1">AJ151*(1+AL150)^AL148</f>
        <v>2.6228221625432866</v>
      </c>
    </row>
    <row r="152" spans="2:38" s="105" customFormat="1" ht="14.25" customHeight="1">
      <c r="C152" s="33"/>
      <c r="I152" s="33"/>
      <c r="O152" s="33"/>
      <c r="U152" s="33"/>
      <c r="AA152" s="33"/>
      <c r="AG152" s="33"/>
      <c r="AI152" s="33"/>
    </row>
    <row r="153" spans="2:38" ht="14.25" customHeight="1">
      <c r="B153" s="791" t="s">
        <v>635</v>
      </c>
      <c r="C153" s="792"/>
      <c r="D153" s="793"/>
      <c r="E153" s="793"/>
      <c r="F153" s="793"/>
      <c r="G153" s="793"/>
      <c r="H153" s="793"/>
      <c r="I153" s="792"/>
      <c r="J153" s="793"/>
      <c r="K153" s="793"/>
      <c r="L153" s="793"/>
      <c r="M153" s="793"/>
      <c r="N153" s="793"/>
      <c r="O153" s="792"/>
      <c r="P153" s="793"/>
      <c r="Q153" s="793"/>
      <c r="R153" s="793"/>
      <c r="S153" s="793"/>
      <c r="T153" s="793"/>
      <c r="U153" s="792"/>
      <c r="V153" s="793"/>
      <c r="W153" s="793"/>
      <c r="X153" s="794"/>
      <c r="Y153" s="794"/>
      <c r="Z153" s="794">
        <f ca="1">+Z137/Z151</f>
        <v>6716.0272467181048</v>
      </c>
      <c r="AA153" s="794"/>
      <c r="AB153" s="793"/>
      <c r="AC153" s="794"/>
      <c r="AD153" s="794"/>
      <c r="AE153" s="794"/>
      <c r="AF153" s="794">
        <f ca="1">AF137/AF151</f>
        <v>6641.0396049230749</v>
      </c>
      <c r="AG153" s="794"/>
      <c r="AH153" s="794">
        <f ca="1">AH137/AH151</f>
        <v>5658.9558202151411</v>
      </c>
      <c r="AI153" s="794"/>
      <c r="AJ153" s="794">
        <f ca="1">AJ137/AJ151</f>
        <v>4441.5382801606547</v>
      </c>
      <c r="AK153" s="794"/>
      <c r="AL153" s="795">
        <f ca="1">AL137/AL151</f>
        <v>3281.3481887227886</v>
      </c>
    </row>
    <row r="154" spans="2:38" ht="14.25" customHeight="1">
      <c r="B154" s="799" t="s">
        <v>636</v>
      </c>
      <c r="C154" s="796"/>
      <c r="D154" s="797"/>
      <c r="E154" s="797"/>
      <c r="F154" s="797"/>
      <c r="G154" s="797"/>
      <c r="H154" s="797"/>
      <c r="I154" s="796"/>
      <c r="J154" s="797"/>
      <c r="K154" s="797"/>
      <c r="L154" s="797"/>
      <c r="M154" s="797"/>
      <c r="N154" s="797"/>
      <c r="O154" s="796"/>
      <c r="P154" s="797"/>
      <c r="Q154" s="797"/>
      <c r="R154" s="797"/>
      <c r="S154" s="797"/>
      <c r="T154" s="797"/>
      <c r="U154" s="796"/>
      <c r="V154" s="797"/>
      <c r="W154" s="797"/>
      <c r="X154" s="798"/>
      <c r="Y154" s="798"/>
      <c r="Z154" s="801">
        <f ca="1">Z147*Z153</f>
        <v>1361.8610805845046</v>
      </c>
      <c r="AA154" s="798"/>
      <c r="AB154" s="797"/>
      <c r="AC154" s="798"/>
      <c r="AD154" s="798"/>
      <c r="AE154" s="798"/>
      <c r="AF154" s="798">
        <f ca="1">+AF153</f>
        <v>6641.0396049230749</v>
      </c>
      <c r="AG154" s="798"/>
      <c r="AH154" s="798">
        <f ca="1">+AH153</f>
        <v>5658.9558202151411</v>
      </c>
      <c r="AI154" s="798"/>
      <c r="AJ154" s="798">
        <f ca="1">+AJ153</f>
        <v>4441.5382801606547</v>
      </c>
      <c r="AK154" s="798"/>
      <c r="AL154" s="800">
        <f ca="1">+AL153</f>
        <v>3281.3481887227886</v>
      </c>
    </row>
    <row r="156" spans="2:38" ht="14.25" customHeight="1">
      <c r="B156" s="161" t="s">
        <v>637</v>
      </c>
      <c r="C156" s="184"/>
      <c r="D156" s="280"/>
      <c r="E156" s="280"/>
      <c r="F156" s="280"/>
      <c r="G156" s="280"/>
      <c r="H156" s="280"/>
      <c r="I156" s="184"/>
      <c r="J156" s="280"/>
      <c r="K156" s="280"/>
      <c r="L156" s="280"/>
      <c r="M156" s="280"/>
      <c r="N156" s="280"/>
      <c r="O156" s="184"/>
      <c r="P156" s="280"/>
      <c r="Q156" s="280"/>
      <c r="R156" s="280"/>
      <c r="S156" s="280"/>
      <c r="T156" s="280"/>
      <c r="U156" s="184"/>
      <c r="V156" s="280"/>
      <c r="W156" s="280"/>
      <c r="X156" s="280"/>
      <c r="Y156" s="280"/>
      <c r="Z156" s="280"/>
      <c r="AA156" s="184"/>
      <c r="AB156" s="280"/>
      <c r="AC156" s="280"/>
      <c r="AD156" s="280"/>
      <c r="AE156" s="280"/>
      <c r="AF156" s="280"/>
      <c r="AG156" s="184"/>
      <c r="AH156" s="280"/>
      <c r="AI156" s="184"/>
      <c r="AJ156" s="281"/>
      <c r="AK156" s="280"/>
      <c r="AL156" s="280"/>
    </row>
    <row r="157" spans="2:38" ht="3.95" customHeight="1">
      <c r="B157" s="282"/>
      <c r="C157" s="36"/>
      <c r="D157" s="282"/>
      <c r="E157" s="282"/>
      <c r="F157" s="282"/>
      <c r="G157" s="282"/>
      <c r="H157" s="282"/>
      <c r="I157" s="36"/>
      <c r="J157" s="282"/>
      <c r="K157" s="282"/>
      <c r="L157" s="282"/>
      <c r="M157" s="282"/>
      <c r="N157" s="282"/>
      <c r="O157" s="36"/>
      <c r="P157" s="282"/>
      <c r="Q157" s="282"/>
      <c r="R157" s="282"/>
      <c r="S157" s="282"/>
      <c r="T157" s="282"/>
      <c r="U157" s="36"/>
      <c r="V157" s="282"/>
      <c r="W157" s="282"/>
      <c r="X157" s="282"/>
      <c r="Y157" s="282"/>
      <c r="Z157" s="282"/>
      <c r="AA157" s="36"/>
      <c r="AB157" s="282"/>
      <c r="AC157" s="282"/>
      <c r="AD157" s="282"/>
      <c r="AE157" s="282"/>
      <c r="AF157" s="282"/>
      <c r="AG157" s="36"/>
      <c r="AH157" s="282"/>
      <c r="AI157" s="36"/>
      <c r="AJ157" s="283"/>
      <c r="AK157" s="282"/>
      <c r="AL157" s="282"/>
    </row>
    <row r="158" spans="2:38" ht="14.25" customHeight="1">
      <c r="B158" s="288"/>
      <c r="C158" s="25"/>
      <c r="D158" s="288"/>
      <c r="E158" s="288"/>
      <c r="F158" s="288"/>
      <c r="G158" s="288"/>
      <c r="H158" s="288"/>
      <c r="I158" s="25"/>
      <c r="J158" s="288"/>
      <c r="K158" s="288"/>
      <c r="L158" s="288"/>
      <c r="M158" s="288"/>
      <c r="N158" s="288"/>
      <c r="O158" s="25"/>
      <c r="P158" s="288"/>
      <c r="Q158" s="288"/>
      <c r="R158" s="288"/>
      <c r="S158" s="288"/>
      <c r="T158" s="288"/>
    </row>
    <row r="159" spans="2:38" s="333" customFormat="1" ht="14.25" customHeight="1">
      <c r="B159" s="336"/>
      <c r="C159" s="337"/>
      <c r="D159" s="336"/>
      <c r="E159" s="336"/>
      <c r="F159" s="336"/>
      <c r="G159" s="336"/>
      <c r="H159" s="338"/>
      <c r="I159" s="337"/>
      <c r="J159" s="336"/>
      <c r="K159" s="336"/>
      <c r="L159" s="336"/>
      <c r="M159" s="336"/>
      <c r="N159" s="336"/>
      <c r="O159" s="337"/>
      <c r="P159" s="336"/>
      <c r="Q159" s="600" t="s">
        <v>638</v>
      </c>
      <c r="R159" s="601" t="s">
        <v>639</v>
      </c>
      <c r="S159" s="336"/>
      <c r="T159" s="336"/>
      <c r="U159" s="334"/>
      <c r="V159" s="335" t="s">
        <v>640</v>
      </c>
      <c r="W159" s="335"/>
      <c r="X159" s="335"/>
      <c r="Y159" s="335"/>
      <c r="Z159" s="335"/>
      <c r="AB159" s="335" t="s">
        <v>641</v>
      </c>
      <c r="AC159" s="335"/>
      <c r="AD159" s="335"/>
      <c r="AE159" s="335"/>
      <c r="AF159" s="335"/>
      <c r="AG159" s="334"/>
      <c r="AH159" s="335" t="s">
        <v>642</v>
      </c>
      <c r="AI159" s="335"/>
      <c r="AJ159" s="335"/>
      <c r="AK159" s="335"/>
      <c r="AL159" s="335"/>
    </row>
    <row r="160" spans="2:38" ht="3.95" customHeight="1">
      <c r="B160" s="288"/>
      <c r="C160" s="25"/>
      <c r="D160" s="288"/>
      <c r="E160" s="288"/>
      <c r="F160" s="288"/>
      <c r="G160" s="288"/>
      <c r="H160" s="288"/>
      <c r="I160" s="25"/>
      <c r="J160" s="288"/>
      <c r="K160" s="288"/>
      <c r="L160" s="288"/>
      <c r="M160" s="288"/>
      <c r="N160" s="288"/>
      <c r="O160" s="25"/>
      <c r="P160" s="288"/>
      <c r="Q160" s="288"/>
      <c r="R160" s="288"/>
      <c r="S160" s="288"/>
      <c r="T160" s="288"/>
      <c r="V160" s="282"/>
      <c r="W160" s="282"/>
      <c r="X160" s="282"/>
      <c r="Y160" s="282"/>
      <c r="Z160" s="282"/>
      <c r="AA160" s="97"/>
      <c r="AB160" s="282"/>
      <c r="AC160" s="282"/>
      <c r="AD160" s="282"/>
      <c r="AE160" s="282"/>
      <c r="AF160" s="282"/>
      <c r="AH160" s="282"/>
      <c r="AI160" s="282"/>
      <c r="AJ160" s="282"/>
      <c r="AK160" s="282"/>
      <c r="AL160" s="282"/>
    </row>
    <row r="161" spans="2:38" ht="14.25" customHeight="1">
      <c r="B161" s="288"/>
      <c r="C161" s="25"/>
      <c r="D161" s="288"/>
      <c r="E161" s="288"/>
      <c r="F161" s="288"/>
      <c r="G161" s="288"/>
      <c r="H161" s="288"/>
      <c r="I161" s="25"/>
      <c r="M161" s="288"/>
      <c r="N161" s="288"/>
      <c r="O161" s="25"/>
      <c r="P161" s="288"/>
      <c r="Q161" s="288"/>
      <c r="R161" s="288"/>
      <c r="S161" s="288"/>
      <c r="T161" s="288"/>
      <c r="V161" s="97" t="s">
        <v>643</v>
      </c>
      <c r="Z161" s="350">
        <f>Inputs!M14</f>
        <v>16.945408410390645</v>
      </c>
      <c r="AB161" s="97" t="s">
        <v>644</v>
      </c>
      <c r="AF161" s="350">
        <f>Inputs!M13</f>
        <v>1.7751119605896108</v>
      </c>
      <c r="AH161" s="97" t="s">
        <v>645</v>
      </c>
      <c r="AL161" s="320">
        <f>AL137/AJ137-1</f>
        <v>8.0094065844322326E-2</v>
      </c>
    </row>
    <row r="162" spans="2:38" ht="14.25" customHeight="1">
      <c r="B162" s="288"/>
      <c r="C162" s="25"/>
      <c r="D162" s="288"/>
      <c r="E162" s="288"/>
      <c r="F162" s="288"/>
      <c r="G162" s="288"/>
      <c r="H162" s="288"/>
      <c r="I162" s="25"/>
      <c r="M162" s="288"/>
      <c r="N162" s="288"/>
      <c r="O162" s="25"/>
      <c r="P162" s="288"/>
      <c r="Q162" s="288"/>
      <c r="R162" s="288"/>
      <c r="S162" s="288"/>
      <c r="T162" s="288"/>
      <c r="V162" s="97" t="s">
        <v>646</v>
      </c>
      <c r="Z162" s="339">
        <v>16.899999999999999</v>
      </c>
      <c r="AB162" s="97" t="s">
        <v>647</v>
      </c>
      <c r="AF162" s="339">
        <v>1.8</v>
      </c>
      <c r="AH162" s="97" t="s">
        <v>648</v>
      </c>
      <c r="AL162" s="308">
        <v>0.03</v>
      </c>
    </row>
    <row r="163" spans="2:38" ht="14.25" customHeight="1">
      <c r="B163" s="288"/>
      <c r="C163" s="25"/>
      <c r="D163" s="288"/>
      <c r="E163" s="288"/>
      <c r="F163" s="288"/>
      <c r="G163" s="288"/>
      <c r="H163" s="288"/>
      <c r="I163" s="25"/>
      <c r="M163" s="288"/>
      <c r="N163" s="288"/>
      <c r="O163" s="25"/>
      <c r="P163" s="288"/>
      <c r="Q163" s="288"/>
      <c r="R163" s="288" t="str">
        <f>R159</f>
        <v>Revenue Exit</v>
      </c>
      <c r="S163" s="288"/>
      <c r="T163" s="288"/>
      <c r="V163" s="97" t="s">
        <v>637</v>
      </c>
      <c r="Z163" s="304">
        <f>(Z162+Sensitivity!U43)*(AL123+AL129)</f>
        <v>207034.09651891308</v>
      </c>
      <c r="AB163" s="97" t="s">
        <v>637</v>
      </c>
      <c r="AF163" s="304">
        <f>(AF162+Sensitivity!U44)*(AL31)</f>
        <v>169770.22023500694</v>
      </c>
      <c r="AH163" s="97" t="s">
        <v>637</v>
      </c>
      <c r="AL163" s="304">
        <f>AL137*(1+AL162+Sensitivity!U42)/(AL150-AL162-Sensitivity!U42)</f>
        <v>132259.01803117016</v>
      </c>
    </row>
    <row r="164" spans="2:38" ht="14.25" customHeight="1">
      <c r="B164" s="288"/>
      <c r="C164" s="25"/>
      <c r="D164" s="288"/>
      <c r="E164" s="288"/>
      <c r="F164" s="288"/>
      <c r="G164" s="288"/>
      <c r="H164" s="288"/>
      <c r="I164" s="25"/>
      <c r="M164" s="288"/>
      <c r="N164" s="288"/>
      <c r="O164" s="25"/>
      <c r="P164" s="288"/>
      <c r="Q164" s="288"/>
      <c r="R164" s="602">
        <f ca="1">IF($R$163="Revenue Exit",$AF$173,IF($R$163="EBITDA Exit",$Z$173,$AL$173))</f>
        <v>-0.34304909200566158</v>
      </c>
      <c r="S164" s="288"/>
      <c r="T164" s="288"/>
      <c r="V164" s="340" t="s">
        <v>649</v>
      </c>
      <c r="W164" s="340"/>
      <c r="X164" s="340"/>
      <c r="Y164" s="340"/>
      <c r="Z164" s="341">
        <f ca="1">Z163/AL151</f>
        <v>78935.621131917374</v>
      </c>
      <c r="AB164" s="802" t="s">
        <v>649</v>
      </c>
      <c r="AC164" s="340"/>
      <c r="AD164" s="340"/>
      <c r="AE164" s="340"/>
      <c r="AF164" s="341">
        <f ca="1">AF163/AL151</f>
        <v>64728.071410829056</v>
      </c>
      <c r="AH164" s="340" t="s">
        <v>649</v>
      </c>
      <c r="AI164" s="348"/>
      <c r="AJ164" s="349"/>
      <c r="AK164" s="340"/>
      <c r="AL164" s="341">
        <f ca="1">AL163/AL151</f>
        <v>50426.224057418294</v>
      </c>
    </row>
    <row r="165" spans="2:38" ht="14.25" customHeight="1">
      <c r="B165" s="288"/>
      <c r="C165" s="25"/>
      <c r="D165" s="288"/>
      <c r="E165" s="288"/>
      <c r="F165" s="288"/>
      <c r="G165" s="288"/>
      <c r="H165" s="288"/>
      <c r="I165" s="25"/>
      <c r="M165" s="288"/>
      <c r="N165" s="288"/>
      <c r="O165" s="25"/>
      <c r="P165" s="288"/>
      <c r="Q165" s="288"/>
      <c r="R165" s="602">
        <f ca="1">1-R164</f>
        <v>1.3430490920056615</v>
      </c>
      <c r="S165" s="288"/>
      <c r="T165" s="288"/>
      <c r="V165" s="105" t="s">
        <v>650</v>
      </c>
      <c r="W165" s="105"/>
      <c r="X165" s="105"/>
      <c r="Y165" s="105"/>
      <c r="Z165" s="314">
        <f ca="1">Z164+SUM(V154:AL154)</f>
        <v>100320.36410652354</v>
      </c>
      <c r="AB165" s="105" t="s">
        <v>650</v>
      </c>
      <c r="AC165" s="105"/>
      <c r="AD165" s="105"/>
      <c r="AE165" s="105"/>
      <c r="AF165" s="314">
        <f ca="1">AF164+SUM(Z154:AL154)</f>
        <v>86112.814385435224</v>
      </c>
      <c r="AH165" s="105" t="s">
        <v>650</v>
      </c>
      <c r="AI165" s="105"/>
      <c r="AK165" s="105"/>
      <c r="AL165" s="314">
        <f ca="1">AL164+SUM(V154:AL154)</f>
        <v>71810.967032024462</v>
      </c>
    </row>
    <row r="166" spans="2:38" ht="14.25" customHeight="1">
      <c r="B166" s="288"/>
      <c r="C166" s="25"/>
      <c r="D166" s="288"/>
      <c r="E166" s="288"/>
      <c r="F166" s="288"/>
      <c r="G166" s="288"/>
      <c r="H166" s="288"/>
      <c r="I166" s="25"/>
      <c r="M166" s="288"/>
      <c r="N166" s="288"/>
      <c r="O166" s="25"/>
      <c r="P166" s="288"/>
      <c r="Q166" s="288"/>
      <c r="R166" s="97" t="str">
        <f ca="1">IF(R164&gt;0,"Upside","Downside")</f>
        <v>Downside</v>
      </c>
      <c r="S166" s="288"/>
      <c r="T166" s="288"/>
      <c r="V166" s="97" t="s">
        <v>651</v>
      </c>
      <c r="Z166" s="68">
        <f>BS!AI45+BS!AI44+BS!AI39+BS!AI38-BS!AI15</f>
        <v>20345</v>
      </c>
      <c r="AB166" s="97" t="s">
        <v>651</v>
      </c>
      <c r="AF166" s="68">
        <f>BS!AI45+BS!AI44+BS!AI39+BS!AI38-BS!AI15</f>
        <v>20345</v>
      </c>
      <c r="AH166" s="97" t="s">
        <v>651</v>
      </c>
      <c r="AI166" s="97"/>
      <c r="AJ166" s="97"/>
      <c r="AL166" s="68">
        <f>BS!AI45+BS!AI44+BS!AI39+BS!AI38-BS!AI15</f>
        <v>20345</v>
      </c>
    </row>
    <row r="167" spans="2:38" ht="14.25" customHeight="1">
      <c r="B167" s="288"/>
      <c r="C167" s="25"/>
      <c r="D167" s="288"/>
      <c r="E167" s="288"/>
      <c r="F167" s="288"/>
      <c r="G167" s="288"/>
      <c r="H167" s="288"/>
      <c r="I167" s="25"/>
      <c r="M167" s="288"/>
      <c r="N167" s="288"/>
      <c r="O167" s="25"/>
      <c r="P167" s="288"/>
      <c r="Q167" s="288"/>
      <c r="R167" s="288"/>
      <c r="S167" s="288"/>
      <c r="T167" s="288"/>
      <c r="V167" s="97" t="s">
        <v>652</v>
      </c>
      <c r="Z167" s="68">
        <f>Inputs!U63</f>
        <v>0</v>
      </c>
      <c r="AB167" s="97" t="s">
        <v>652</v>
      </c>
      <c r="AF167" s="68">
        <f>Inputs!U63</f>
        <v>0</v>
      </c>
      <c r="AH167" s="97" t="s">
        <v>652</v>
      </c>
      <c r="AI167" s="97"/>
      <c r="AJ167" s="97"/>
      <c r="AL167" s="68">
        <f>Inputs!U63</f>
        <v>0</v>
      </c>
    </row>
    <row r="168" spans="2:38" ht="14.25" customHeight="1">
      <c r="V168" s="340" t="s">
        <v>653</v>
      </c>
      <c r="W168" s="340"/>
      <c r="X168" s="340"/>
      <c r="Y168" s="340"/>
      <c r="Z168" s="75">
        <f>BS!AI53</f>
        <v>0</v>
      </c>
      <c r="AB168" s="340" t="s">
        <v>653</v>
      </c>
      <c r="AC168" s="340"/>
      <c r="AD168" s="340"/>
      <c r="AE168" s="340"/>
      <c r="AF168" s="75">
        <f>BS!AI53</f>
        <v>0</v>
      </c>
      <c r="AH168" s="340" t="s">
        <v>653</v>
      </c>
      <c r="AI168" s="340"/>
      <c r="AJ168" s="340"/>
      <c r="AK168" s="340"/>
      <c r="AL168" s="75">
        <f>BS!AI53</f>
        <v>0</v>
      </c>
    </row>
    <row r="169" spans="2:38" ht="14.25" customHeight="1">
      <c r="V169" s="105" t="s">
        <v>654</v>
      </c>
      <c r="W169" s="105"/>
      <c r="X169" s="105"/>
      <c r="Y169" s="105"/>
      <c r="Z169" s="314">
        <f ca="1">Z165-Z166-Z167-Z168</f>
        <v>79975.364106523542</v>
      </c>
      <c r="AB169" s="105" t="s">
        <v>654</v>
      </c>
      <c r="AC169" s="105"/>
      <c r="AD169" s="105"/>
      <c r="AE169" s="105"/>
      <c r="AF169" s="314">
        <f ca="1">AF165-AF166-AF167-AF168</f>
        <v>65767.814385435224</v>
      </c>
      <c r="AH169" s="105" t="s">
        <v>654</v>
      </c>
      <c r="AI169" s="105"/>
      <c r="AK169" s="105"/>
      <c r="AL169" s="314">
        <f ca="1">AL165-AL166-AL167-AL168</f>
        <v>51465.967032024462</v>
      </c>
    </row>
    <row r="170" spans="2:38" ht="14.25" customHeight="1">
      <c r="V170" s="340" t="s">
        <v>655</v>
      </c>
      <c r="W170" s="340"/>
      <c r="X170" s="340"/>
      <c r="Y170" s="340"/>
      <c r="Z170" s="342">
        <f>AL64</f>
        <v>218.05384038948989</v>
      </c>
      <c r="AB170" s="340" t="s">
        <v>655</v>
      </c>
      <c r="AC170" s="340"/>
      <c r="AD170" s="340"/>
      <c r="AE170" s="340"/>
      <c r="AF170" s="342">
        <f>AL64</f>
        <v>218.05384038948989</v>
      </c>
      <c r="AH170" s="340" t="s">
        <v>655</v>
      </c>
      <c r="AI170" s="340"/>
      <c r="AJ170" s="340"/>
      <c r="AK170" s="340"/>
      <c r="AL170" s="342">
        <f>AL64</f>
        <v>218.05384038948989</v>
      </c>
    </row>
    <row r="171" spans="2:38" ht="14.25" customHeight="1">
      <c r="V171" s="105" t="s">
        <v>656</v>
      </c>
      <c r="W171" s="105"/>
      <c r="X171" s="105"/>
      <c r="Y171" s="105"/>
      <c r="Z171" s="313">
        <f ca="1">Z169/Z170</f>
        <v>366.76888590299887</v>
      </c>
      <c r="AB171" s="105" t="s">
        <v>656</v>
      </c>
      <c r="AC171" s="105"/>
      <c r="AD171" s="105"/>
      <c r="AE171" s="105"/>
      <c r="AF171" s="313">
        <f ca="1">AF169/AF170</f>
        <v>301.61273136928071</v>
      </c>
      <c r="AH171" s="105" t="s">
        <v>656</v>
      </c>
      <c r="AI171" s="105"/>
      <c r="AK171" s="105"/>
      <c r="AL171" s="313">
        <f ca="1">AL169/AL170</f>
        <v>236.02412569343173</v>
      </c>
    </row>
    <row r="172" spans="2:38" ht="14.25" customHeight="1">
      <c r="V172" s="97" t="s">
        <v>657</v>
      </c>
      <c r="Z172" s="347">
        <f>'Stock Data'!AN4</f>
        <v>459.11</v>
      </c>
      <c r="AB172" s="97" t="s">
        <v>657</v>
      </c>
      <c r="AF172" s="347">
        <f>'Stock Data'!AN4</f>
        <v>459.11</v>
      </c>
      <c r="AH172" s="97" t="s">
        <v>657</v>
      </c>
      <c r="AI172" s="97"/>
      <c r="AJ172" s="97"/>
      <c r="AL172" s="347">
        <f>'Stock Data'!AN4</f>
        <v>459.11</v>
      </c>
    </row>
    <row r="173" spans="2:38" ht="14.25" customHeight="1">
      <c r="V173" s="97" t="s">
        <v>658</v>
      </c>
      <c r="Z173" s="320">
        <f ca="1">Z171/Z172-1</f>
        <v>-0.20113069655856142</v>
      </c>
      <c r="AB173" s="97" t="s">
        <v>658</v>
      </c>
      <c r="AF173" s="320">
        <f ca="1">AF171/AF172-1</f>
        <v>-0.34304909200566158</v>
      </c>
      <c r="AH173" s="97" t="s">
        <v>658</v>
      </c>
      <c r="AI173" s="97"/>
      <c r="AJ173" s="97"/>
      <c r="AL173" s="320">
        <f ca="1">AL171/AL172-1</f>
        <v>-0.48590942106808455</v>
      </c>
    </row>
    <row r="178" spans="28:32" ht="14.25" customHeight="1">
      <c r="AB178" s="310"/>
    </row>
    <row r="179" spans="28:32" ht="14.25" customHeight="1">
      <c r="AB179" s="590"/>
      <c r="AC179" s="310"/>
    </row>
    <row r="180" spans="28:32" ht="14.25" customHeight="1">
      <c r="AB180" s="590"/>
      <c r="AC180" s="310"/>
    </row>
    <row r="183" spans="28:32" ht="14.25" customHeight="1">
      <c r="AF183" s="310"/>
    </row>
    <row r="184" spans="28:32" ht="14.25" customHeight="1">
      <c r="AE184" s="590"/>
      <c r="AF184" s="310"/>
    </row>
    <row r="185" spans="28:32" ht="14.25" customHeight="1">
      <c r="AE185" s="590"/>
      <c r="AF185" s="320"/>
    </row>
  </sheetData>
  <mergeCells count="17">
    <mergeCell ref="V140:Z140"/>
    <mergeCell ref="AB140:AF140"/>
    <mergeCell ref="D24:H24"/>
    <mergeCell ref="J24:N24"/>
    <mergeCell ref="P24:T24"/>
    <mergeCell ref="V24:Z24"/>
    <mergeCell ref="AB24:AF24"/>
    <mergeCell ref="D119:H119"/>
    <mergeCell ref="J119:N119"/>
    <mergeCell ref="P119:T119"/>
    <mergeCell ref="V119:Z119"/>
    <mergeCell ref="AB119:AF119"/>
    <mergeCell ref="D8:H8"/>
    <mergeCell ref="J8:N8"/>
    <mergeCell ref="P8:T8"/>
    <mergeCell ref="V8:Z8"/>
    <mergeCell ref="AB8:AF8"/>
  </mergeCells>
  <dataValidations disablePrompts="1" count="2">
    <dataValidation type="list" allowBlank="1" showInputMessage="1" showErrorMessage="1" sqref="B82" xr:uid="{3068A702-6D91-4BC4-B8DA-FEBA02962F20}">
      <formula1>"Intangibles excl. Goodwill, Intangibles"</formula1>
    </dataValidation>
    <dataValidation type="list" allowBlank="1" showInputMessage="1" showErrorMessage="1" sqref="R159" xr:uid="{DD3EF530-1AED-43A6-B35C-1414A1C29D9A}">
      <formula1>"EBITDA Exit, Revenue Exit, Gordon's Growth Model"</formula1>
    </dataValidation>
  </dataValidation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7B1314"/>
  </sheetPr>
  <dimension ref="A1:M181"/>
  <sheetViews>
    <sheetView showGridLines="0" topLeftCell="A7" zoomScaleNormal="100" workbookViewId="0">
      <selection activeCell="E27" sqref="E27"/>
    </sheetView>
  </sheetViews>
  <sheetFormatPr defaultColWidth="9" defaultRowHeight="15" customHeight="1"/>
  <cols>
    <col min="1" max="1" width="3.625" style="375" customWidth="1"/>
    <col min="2" max="2" width="39.125" style="23" customWidth="1"/>
    <col min="3" max="3" width="13.625" style="23" customWidth="1"/>
    <col min="4" max="13" width="12.625" style="23" customWidth="1"/>
    <col min="14" max="17" width="12.625" style="25" customWidth="1"/>
    <col min="18" max="16384" width="9" style="25"/>
  </cols>
  <sheetData>
    <row r="1" spans="1:13" s="573" customFormat="1" ht="15" customHeight="1"/>
    <row r="2" spans="1:13" s="573" customFormat="1" ht="15" customHeight="1"/>
    <row r="3" spans="1:13" s="573" customFormat="1" ht="15" customHeight="1"/>
    <row r="4" spans="1:13" s="573" customFormat="1" ht="15" customHeight="1"/>
    <row r="5" spans="1:13" s="414" customFormat="1" ht="3.95" customHeight="1">
      <c r="A5" s="568"/>
      <c r="B5" s="36"/>
      <c r="C5" s="36"/>
      <c r="D5" s="36"/>
      <c r="E5" s="36"/>
      <c r="F5" s="36"/>
      <c r="G5" s="36"/>
      <c r="H5" s="36"/>
      <c r="I5" s="36"/>
      <c r="J5" s="36"/>
      <c r="K5" s="36"/>
      <c r="L5" s="36"/>
      <c r="M5" s="36"/>
    </row>
    <row r="7" spans="1:13" ht="15" customHeight="1">
      <c r="A7" s="375" t="s">
        <v>41</v>
      </c>
      <c r="B7" s="367" t="s">
        <v>659</v>
      </c>
      <c r="C7" s="32"/>
      <c r="D7" s="32"/>
      <c r="E7" s="32"/>
      <c r="F7" s="32"/>
      <c r="G7" s="32"/>
      <c r="H7" s="32"/>
      <c r="I7" s="32"/>
      <c r="J7" s="32"/>
      <c r="K7" s="32"/>
      <c r="L7" s="32"/>
    </row>
    <row r="8" spans="1:13" ht="3.95" customHeight="1">
      <c r="B8" s="416"/>
      <c r="C8" s="382"/>
      <c r="D8" s="382"/>
      <c r="E8" s="382"/>
      <c r="F8" s="382"/>
      <c r="G8" s="382"/>
      <c r="H8" s="382"/>
      <c r="I8" s="382"/>
      <c r="J8" s="382"/>
      <c r="K8" s="382"/>
      <c r="L8" s="382"/>
    </row>
    <row r="9" spans="1:13" ht="15" customHeight="1">
      <c r="B9" s="417"/>
      <c r="C9" s="25"/>
      <c r="D9" s="25"/>
      <c r="E9" s="417"/>
      <c r="F9" s="25"/>
      <c r="G9" s="25"/>
      <c r="H9" s="417"/>
      <c r="J9" s="25"/>
      <c r="K9" s="417"/>
      <c r="L9" s="25"/>
    </row>
    <row r="10" spans="1:13" ht="15" customHeight="1">
      <c r="B10" s="367" t="s">
        <v>660</v>
      </c>
      <c r="C10" s="32"/>
      <c r="D10" s="32"/>
      <c r="E10" s="32"/>
      <c r="G10" s="367" t="s">
        <v>661</v>
      </c>
      <c r="H10" s="367"/>
      <c r="I10" s="367"/>
      <c r="J10" s="367" t="s">
        <v>662</v>
      </c>
      <c r="K10" s="367" t="s">
        <v>663</v>
      </c>
      <c r="L10" s="367" t="s">
        <v>664</v>
      </c>
    </row>
    <row r="11" spans="1:13" ht="15" customHeight="1">
      <c r="B11" s="23" t="s">
        <v>665</v>
      </c>
      <c r="E11" s="418">
        <f>(G86+G77)</f>
        <v>8724</v>
      </c>
      <c r="G11" s="23" t="s">
        <v>666</v>
      </c>
      <c r="J11" s="674"/>
      <c r="K11" s="675"/>
      <c r="L11" s="48">
        <f>K11*$E$13</f>
        <v>0</v>
      </c>
    </row>
    <row r="12" spans="1:13" ht="15" customHeight="1">
      <c r="B12" s="348" t="s">
        <v>667</v>
      </c>
      <c r="C12" s="348"/>
      <c r="D12" s="348"/>
      <c r="E12" s="672"/>
      <c r="G12" s="23" t="s">
        <v>668</v>
      </c>
      <c r="J12" s="674"/>
      <c r="K12" s="675"/>
      <c r="L12" s="48">
        <f>K12*$E$13</f>
        <v>0</v>
      </c>
    </row>
    <row r="13" spans="1:13" ht="15" customHeight="1">
      <c r="B13" s="33" t="s">
        <v>669</v>
      </c>
      <c r="E13" s="419">
        <f>E11*E12</f>
        <v>0</v>
      </c>
      <c r="G13" s="23" t="s">
        <v>670</v>
      </c>
      <c r="J13" s="674"/>
      <c r="K13" s="675"/>
      <c r="L13" s="48">
        <f>K13*$E$13</f>
        <v>0</v>
      </c>
    </row>
    <row r="14" spans="1:13" ht="15" customHeight="1">
      <c r="B14" s="348" t="s">
        <v>671</v>
      </c>
      <c r="C14" s="348"/>
      <c r="D14" s="348"/>
      <c r="E14" s="420">
        <f>BS!AJ38+BS!AJ39+BS!AJ44+BS!AJ45-BS!AJ15</f>
        <v>0</v>
      </c>
      <c r="J14" s="421"/>
      <c r="L14" s="48"/>
    </row>
    <row r="15" spans="1:13" ht="15" customHeight="1">
      <c r="B15" s="33" t="s">
        <v>672</v>
      </c>
      <c r="E15" s="419">
        <f>E13-E14</f>
        <v>0</v>
      </c>
      <c r="G15" s="367" t="s">
        <v>673</v>
      </c>
      <c r="H15" s="367"/>
      <c r="I15" s="367"/>
      <c r="J15" s="367"/>
      <c r="K15" s="367"/>
      <c r="L15" s="367"/>
    </row>
    <row r="16" spans="1:13" ht="15" customHeight="1">
      <c r="G16" s="23" t="s">
        <v>674</v>
      </c>
      <c r="L16" s="422" t="e">
        <f>L180</f>
        <v>#DIV/0!</v>
      </c>
    </row>
    <row r="17" spans="1:12" ht="15" customHeight="1">
      <c r="B17" s="23" t="s">
        <v>675</v>
      </c>
      <c r="E17" s="48">
        <f>0.03*E13</f>
        <v>0</v>
      </c>
      <c r="G17" s="23" t="s">
        <v>676</v>
      </c>
      <c r="L17" s="422" t="e">
        <f>L181</f>
        <v>#DIV/0!</v>
      </c>
    </row>
    <row r="19" spans="1:12" ht="15" customHeight="1">
      <c r="B19" s="367" t="s">
        <v>677</v>
      </c>
      <c r="C19" s="32"/>
      <c r="D19" s="32"/>
      <c r="E19" s="32"/>
      <c r="I19" s="415"/>
    </row>
    <row r="20" spans="1:12" ht="15" customHeight="1">
      <c r="B20" s="23" t="s">
        <v>678</v>
      </c>
      <c r="E20" s="673"/>
      <c r="H20" s="423"/>
    </row>
    <row r="21" spans="1:12" ht="15" customHeight="1">
      <c r="C21" s="424"/>
    </row>
    <row r="22" spans="1:12" ht="15" customHeight="1">
      <c r="A22" s="375" t="s">
        <v>41</v>
      </c>
      <c r="B22" s="367" t="s">
        <v>679</v>
      </c>
      <c r="C22" s="32"/>
      <c r="D22" s="32"/>
      <c r="E22" s="32"/>
      <c r="F22" s="32"/>
      <c r="G22" s="32"/>
      <c r="H22" s="32"/>
      <c r="I22" s="32"/>
      <c r="J22" s="32"/>
      <c r="K22" s="32"/>
      <c r="L22" s="32"/>
    </row>
    <row r="23" spans="1:12" ht="3.95" customHeight="1">
      <c r="B23" s="416"/>
      <c r="C23" s="382"/>
      <c r="D23" s="382"/>
      <c r="E23" s="382"/>
      <c r="F23" s="382"/>
      <c r="G23" s="382"/>
      <c r="H23" s="382"/>
      <c r="I23" s="382"/>
      <c r="J23" s="382"/>
      <c r="K23" s="382"/>
      <c r="L23" s="382"/>
    </row>
    <row r="24" spans="1:12" ht="15" customHeight="1">
      <c r="C24" s="425"/>
    </row>
    <row r="25" spans="1:12" ht="15" customHeight="1">
      <c r="B25" s="367" t="s">
        <v>680</v>
      </c>
      <c r="C25" s="32"/>
      <c r="D25" s="32"/>
      <c r="E25" s="32"/>
      <c r="G25" s="367" t="s">
        <v>681</v>
      </c>
      <c r="H25" s="32"/>
      <c r="I25" s="32"/>
      <c r="J25" s="32"/>
      <c r="K25" s="32"/>
      <c r="L25" s="32"/>
    </row>
    <row r="26" spans="1:12" ht="15" customHeight="1">
      <c r="B26" s="337"/>
      <c r="C26" s="417" t="s">
        <v>664</v>
      </c>
      <c r="D26" s="417" t="s">
        <v>682</v>
      </c>
      <c r="E26" s="417" t="s">
        <v>683</v>
      </c>
      <c r="J26" s="417" t="s">
        <v>664</v>
      </c>
      <c r="K26" s="417" t="s">
        <v>682</v>
      </c>
      <c r="L26" s="417" t="s">
        <v>683</v>
      </c>
    </row>
    <row r="27" spans="1:12" ht="15" customHeight="1">
      <c r="B27" s="25" t="s">
        <v>666</v>
      </c>
      <c r="C27" s="418">
        <f>L11</f>
        <v>0</v>
      </c>
      <c r="D27" s="426">
        <f>C27/$E$11</f>
        <v>0</v>
      </c>
      <c r="E27" s="427" t="e">
        <f>C27/$C$34</f>
        <v>#DIV/0!</v>
      </c>
      <c r="G27" s="25" t="s">
        <v>684</v>
      </c>
      <c r="H27" s="25"/>
      <c r="I27" s="25"/>
      <c r="J27" s="418">
        <f>E14</f>
        <v>0</v>
      </c>
      <c r="K27" s="426">
        <f>J27/$E$11</f>
        <v>0</v>
      </c>
      <c r="L27" s="427" t="e">
        <f>J27/$J$34</f>
        <v>#DIV/0!</v>
      </c>
    </row>
    <row r="28" spans="1:12" ht="15" customHeight="1">
      <c r="B28" s="25" t="s">
        <v>668</v>
      </c>
      <c r="C28" s="418">
        <f>L12</f>
        <v>0</v>
      </c>
      <c r="D28" s="426">
        <f>C28/$E$11</f>
        <v>0</v>
      </c>
      <c r="E28" s="427" t="e">
        <f>C28/$C$34</f>
        <v>#DIV/0!</v>
      </c>
      <c r="G28" s="25" t="s">
        <v>685</v>
      </c>
      <c r="H28" s="25"/>
      <c r="I28" s="25"/>
      <c r="J28" s="418">
        <f>E15</f>
        <v>0</v>
      </c>
      <c r="K28" s="426">
        <f>J28/$E$11</f>
        <v>0</v>
      </c>
      <c r="L28" s="427" t="e">
        <f>J28/$J$34</f>
        <v>#DIV/0!</v>
      </c>
    </row>
    <row r="29" spans="1:12" ht="15" customHeight="1">
      <c r="B29" s="428" t="s">
        <v>670</v>
      </c>
      <c r="C29" s="429">
        <f>L13</f>
        <v>0</v>
      </c>
      <c r="D29" s="430">
        <f>C29/$E$11</f>
        <v>0</v>
      </c>
      <c r="E29" s="431" t="e">
        <f>C29/$C$34</f>
        <v>#DIV/0!</v>
      </c>
      <c r="G29" s="25"/>
      <c r="H29" s="25"/>
      <c r="I29" s="25"/>
      <c r="J29" s="432"/>
      <c r="K29" s="25"/>
      <c r="L29" s="415"/>
    </row>
    <row r="30" spans="1:12" ht="15" customHeight="1">
      <c r="B30" s="337" t="s">
        <v>526</v>
      </c>
      <c r="C30" s="433">
        <f>SUM(C27:C29)</f>
        <v>0</v>
      </c>
      <c r="D30" s="434">
        <f>C30/$E$11</f>
        <v>0</v>
      </c>
      <c r="E30" s="435" t="e">
        <f>C30/$C$34</f>
        <v>#DIV/0!</v>
      </c>
      <c r="G30" s="25" t="s">
        <v>675</v>
      </c>
      <c r="H30" s="25"/>
      <c r="I30" s="25"/>
      <c r="J30" s="418">
        <f>E17</f>
        <v>0</v>
      </c>
      <c r="K30" s="426">
        <f>J30/$E$11</f>
        <v>0</v>
      </c>
      <c r="L30" s="427" t="e">
        <f>J30/$J$34</f>
        <v>#DIV/0!</v>
      </c>
    </row>
    <row r="31" spans="1:12" ht="15" customHeight="1">
      <c r="B31" s="337"/>
      <c r="C31" s="25"/>
      <c r="D31" s="25"/>
      <c r="E31" s="427"/>
      <c r="G31" s="25"/>
      <c r="H31" s="25"/>
      <c r="I31" s="25"/>
      <c r="J31" s="415"/>
      <c r="K31" s="415"/>
      <c r="L31" s="415"/>
    </row>
    <row r="32" spans="1:12" ht="15" customHeight="1">
      <c r="B32" s="25" t="s">
        <v>686</v>
      </c>
      <c r="C32" s="48">
        <f>C34-C30</f>
        <v>0</v>
      </c>
      <c r="D32" s="426">
        <f>C32/$E$11</f>
        <v>0</v>
      </c>
      <c r="E32" s="427" t="e">
        <f>C32/$C$34</f>
        <v>#DIV/0!</v>
      </c>
      <c r="G32" s="25"/>
      <c r="H32" s="25"/>
      <c r="I32" s="25"/>
    </row>
    <row r="34" spans="1:12" ht="15" customHeight="1">
      <c r="B34" s="436" t="s">
        <v>687</v>
      </c>
      <c r="C34" s="437">
        <f>J34</f>
        <v>0</v>
      </c>
      <c r="D34" s="438">
        <f>C34/$E$11</f>
        <v>0</v>
      </c>
      <c r="E34" s="439" t="e">
        <f>C34/$C$34</f>
        <v>#DIV/0!</v>
      </c>
      <c r="G34" s="440" t="s">
        <v>688</v>
      </c>
      <c r="H34" s="441"/>
      <c r="I34" s="441"/>
      <c r="J34" s="442">
        <f>J27+J28+J30</f>
        <v>0</v>
      </c>
      <c r="K34" s="443">
        <f>J34/$E$11</f>
        <v>0</v>
      </c>
      <c r="L34" s="444" t="e">
        <f>J34/$J$34</f>
        <v>#DIV/0!</v>
      </c>
    </row>
    <row r="35" spans="1:12" ht="15" customHeight="1">
      <c r="C35" s="424"/>
    </row>
    <row r="36" spans="1:12" ht="15" customHeight="1">
      <c r="B36" s="367" t="s">
        <v>534</v>
      </c>
      <c r="C36" s="32"/>
      <c r="D36" s="32"/>
      <c r="E36" s="32"/>
      <c r="F36" s="32"/>
      <c r="G36" s="32"/>
      <c r="H36" s="32"/>
      <c r="I36" s="32"/>
      <c r="J36" s="32"/>
      <c r="K36" s="32"/>
      <c r="L36" s="32"/>
    </row>
    <row r="37" spans="1:12" ht="15" customHeight="1">
      <c r="B37" s="32"/>
      <c r="C37" s="32"/>
      <c r="D37" s="32"/>
      <c r="E37" s="32"/>
      <c r="F37" s="32"/>
      <c r="G37" s="32"/>
      <c r="H37" s="32"/>
      <c r="I37" s="32"/>
      <c r="J37" s="32"/>
      <c r="K37" s="32"/>
      <c r="L37" s="32"/>
    </row>
    <row r="38" spans="1:12" ht="15" customHeight="1">
      <c r="A38" s="375" t="s">
        <v>41</v>
      </c>
      <c r="B38" s="32"/>
      <c r="C38" s="32"/>
      <c r="D38" s="32"/>
      <c r="E38" s="445">
        <v>2022</v>
      </c>
      <c r="F38" s="445">
        <f t="shared" ref="F38:L38" si="0">+E38+1</f>
        <v>2023</v>
      </c>
      <c r="G38" s="445">
        <f t="shared" si="0"/>
        <v>2024</v>
      </c>
      <c r="H38" s="446">
        <f t="shared" si="0"/>
        <v>2025</v>
      </c>
      <c r="I38" s="446">
        <f t="shared" si="0"/>
        <v>2026</v>
      </c>
      <c r="J38" s="446">
        <f t="shared" si="0"/>
        <v>2027</v>
      </c>
      <c r="K38" s="446">
        <f t="shared" si="0"/>
        <v>2028</v>
      </c>
      <c r="L38" s="446">
        <f t="shared" si="0"/>
        <v>2029</v>
      </c>
    </row>
    <row r="50" spans="1:12" ht="15" customHeight="1">
      <c r="B50" s="285" t="s">
        <v>462</v>
      </c>
      <c r="C50" s="451"/>
      <c r="D50" s="452"/>
      <c r="E50" s="453"/>
      <c r="F50" s="453"/>
      <c r="G50" s="454"/>
      <c r="H50" s="307">
        <v>350000</v>
      </c>
      <c r="I50" s="307">
        <v>352000</v>
      </c>
      <c r="J50" s="307">
        <v>350000</v>
      </c>
      <c r="K50" s="307">
        <v>352000</v>
      </c>
      <c r="L50" s="517">
        <v>350000</v>
      </c>
    </row>
    <row r="51" spans="1:12" ht="15" customHeight="1">
      <c r="B51" s="447"/>
      <c r="C51" s="455"/>
      <c r="D51" s="25"/>
      <c r="E51" s="456"/>
      <c r="F51" s="456"/>
      <c r="G51" s="457"/>
      <c r="H51" s="458"/>
      <c r="I51" s="458"/>
      <c r="J51" s="458"/>
      <c r="K51" s="458"/>
      <c r="L51" s="458"/>
    </row>
    <row r="52" spans="1:12" ht="15" customHeight="1">
      <c r="B52" s="367" t="s">
        <v>538</v>
      </c>
      <c r="C52" s="32"/>
      <c r="D52" s="32"/>
      <c r="E52" s="32"/>
      <c r="F52" s="32"/>
      <c r="G52" s="32"/>
      <c r="H52" s="32"/>
      <c r="I52" s="32"/>
      <c r="J52" s="32"/>
      <c r="K52" s="32"/>
      <c r="L52" s="32"/>
    </row>
    <row r="53" spans="1:12" ht="15" customHeight="1">
      <c r="B53" s="32"/>
      <c r="C53" s="32"/>
      <c r="D53" s="32"/>
      <c r="E53" s="32"/>
      <c r="F53" s="32"/>
      <c r="G53" s="32"/>
      <c r="H53" s="32"/>
      <c r="I53" s="32"/>
      <c r="J53" s="32"/>
      <c r="K53" s="32"/>
      <c r="L53" s="32"/>
    </row>
    <row r="54" spans="1:12" ht="15" customHeight="1">
      <c r="B54" s="32"/>
      <c r="C54" s="32"/>
      <c r="D54" s="32"/>
      <c r="E54" s="32"/>
      <c r="F54" s="32"/>
      <c r="G54" s="32"/>
      <c r="H54" s="32"/>
      <c r="I54" s="32"/>
      <c r="J54" s="32"/>
      <c r="K54" s="32"/>
      <c r="L54" s="32"/>
    </row>
    <row r="55" spans="1:12" ht="3.95" customHeight="1">
      <c r="B55" s="460"/>
      <c r="C55" s="461"/>
      <c r="D55" s="414"/>
      <c r="E55" s="462"/>
      <c r="F55" s="462"/>
      <c r="G55" s="462"/>
      <c r="H55" s="463"/>
      <c r="I55" s="463"/>
      <c r="J55" s="463"/>
      <c r="K55" s="463"/>
      <c r="L55" s="463"/>
    </row>
    <row r="56" spans="1:12" ht="3.95" customHeight="1">
      <c r="B56" s="447"/>
      <c r="C56" s="448"/>
      <c r="D56" s="25"/>
      <c r="E56" s="456"/>
      <c r="F56" s="456"/>
      <c r="G56" s="456"/>
      <c r="H56" s="459"/>
      <c r="I56" s="459"/>
      <c r="J56" s="459"/>
      <c r="K56" s="459"/>
      <c r="L56" s="459"/>
    </row>
    <row r="57" spans="1:12" ht="15" customHeight="1">
      <c r="A57" s="375" t="s">
        <v>41</v>
      </c>
      <c r="B57" s="367" t="s">
        <v>539</v>
      </c>
      <c r="C57" s="32"/>
      <c r="D57" s="32"/>
      <c r="E57" s="445">
        <v>2022</v>
      </c>
      <c r="F57" s="445">
        <f t="shared" ref="F57:L57" si="1">+E57+1</f>
        <v>2023</v>
      </c>
      <c r="G57" s="445">
        <f t="shared" si="1"/>
        <v>2024</v>
      </c>
      <c r="H57" s="446">
        <f t="shared" si="1"/>
        <v>2025</v>
      </c>
      <c r="I57" s="446">
        <f t="shared" si="1"/>
        <v>2026</v>
      </c>
      <c r="J57" s="446">
        <f t="shared" si="1"/>
        <v>2027</v>
      </c>
      <c r="K57" s="446">
        <f t="shared" si="1"/>
        <v>2028</v>
      </c>
      <c r="L57" s="446">
        <f t="shared" si="1"/>
        <v>2029</v>
      </c>
    </row>
    <row r="58" spans="1:12" ht="3.95" customHeight="1">
      <c r="B58" s="36"/>
      <c r="C58" s="36"/>
      <c r="D58" s="36"/>
      <c r="E58" s="36"/>
      <c r="F58" s="36"/>
      <c r="G58" s="36"/>
      <c r="H58" s="36"/>
      <c r="I58" s="36"/>
      <c r="J58" s="36"/>
      <c r="K58" s="36"/>
      <c r="L58" s="36"/>
    </row>
    <row r="59" spans="1:12" ht="15" customHeight="1">
      <c r="B59" s="370" t="s">
        <v>537</v>
      </c>
      <c r="D59" s="464" t="e">
        <f>+_xlfn.XLOOKUP($B59,#REF!,#REF!)</f>
        <v>#REF!</v>
      </c>
      <c r="E59" s="58">
        <f>FCFF!H31</f>
        <v>65984</v>
      </c>
      <c r="F59" s="58">
        <f>FCFF!N31</f>
        <v>67571</v>
      </c>
      <c r="G59" s="405">
        <f>FCFF!T31</f>
        <v>71043</v>
      </c>
      <c r="H59" s="465">
        <f>+H50</f>
        <v>350000</v>
      </c>
      <c r="I59" s="465">
        <f t="shared" ref="I59:L59" si="2">+I50</f>
        <v>352000</v>
      </c>
      <c r="J59" s="465">
        <f t="shared" si="2"/>
        <v>350000</v>
      </c>
      <c r="K59" s="465">
        <f t="shared" si="2"/>
        <v>352000</v>
      </c>
      <c r="L59" s="465">
        <f t="shared" si="2"/>
        <v>350000</v>
      </c>
    </row>
    <row r="60" spans="1:12" s="450" customFormat="1" ht="15" customHeight="1">
      <c r="A60" s="375"/>
      <c r="B60" s="31" t="s">
        <v>541</v>
      </c>
      <c r="C60" s="26"/>
      <c r="D60" s="26"/>
      <c r="E60" s="298">
        <f>E59/IS!N17-1</f>
        <v>-1.5810512499254248E-2</v>
      </c>
      <c r="F60" s="298">
        <f>F59/E59-1</f>
        <v>2.4051285160038738E-2</v>
      </c>
      <c r="G60" s="406">
        <f>G59/F59-1</f>
        <v>5.1382989744120922E-2</v>
      </c>
      <c r="H60" s="298">
        <f t="shared" ref="H60:L60" si="3">H59/G59-1</f>
        <v>3.9265937530791213</v>
      </c>
      <c r="I60" s="298">
        <f t="shared" si="3"/>
        <v>5.7142857142857828E-3</v>
      </c>
      <c r="J60" s="298">
        <f t="shared" si="3"/>
        <v>-5.6818181818182323E-3</v>
      </c>
      <c r="K60" s="298">
        <f t="shared" si="3"/>
        <v>5.7142857142857828E-3</v>
      </c>
      <c r="L60" s="298">
        <f t="shared" si="3"/>
        <v>-5.6818181818182323E-3</v>
      </c>
    </row>
    <row r="61" spans="1:12" ht="15" customHeight="1">
      <c r="B61" s="394"/>
      <c r="E61" s="57"/>
      <c r="F61" s="57"/>
      <c r="G61" s="407"/>
      <c r="H61" s="427"/>
      <c r="I61" s="427"/>
      <c r="J61" s="427"/>
      <c r="K61" s="427"/>
      <c r="L61" s="427"/>
    </row>
    <row r="62" spans="1:12" ht="15" customHeight="1">
      <c r="B62" s="370" t="s">
        <v>542</v>
      </c>
      <c r="E62" s="58">
        <f>FCFF!H34</f>
        <v>57697</v>
      </c>
      <c r="F62" s="58">
        <f>FCFF!N34</f>
        <v>59092</v>
      </c>
      <c r="G62" s="405">
        <f>FCFF!T34</f>
        <v>64113</v>
      </c>
      <c r="H62" s="465">
        <f>H63*H$59</f>
        <v>0</v>
      </c>
      <c r="I62" s="465">
        <f>I63*I$59</f>
        <v>0</v>
      </c>
      <c r="J62" s="465">
        <f>J63*J$59</f>
        <v>0</v>
      </c>
      <c r="K62" s="465">
        <f>K63*K$59</f>
        <v>0</v>
      </c>
      <c r="L62" s="465">
        <f>L63*L$59</f>
        <v>0</v>
      </c>
    </row>
    <row r="63" spans="1:12" s="450" customFormat="1" ht="15" customHeight="1">
      <c r="A63" s="375"/>
      <c r="B63" s="31" t="s">
        <v>543</v>
      </c>
      <c r="C63" s="26"/>
      <c r="D63" s="26"/>
      <c r="E63" s="298">
        <f>E62/E59</f>
        <v>0.87440894762366639</v>
      </c>
      <c r="F63" s="298">
        <f t="shared" ref="F63:G63" si="4">F62/F59</f>
        <v>0.87451717452753397</v>
      </c>
      <c r="G63" s="406">
        <f t="shared" si="4"/>
        <v>0.90245344368903335</v>
      </c>
      <c r="H63" s="466"/>
      <c r="I63" s="466"/>
      <c r="J63" s="466"/>
      <c r="K63" s="466"/>
      <c r="L63" s="467"/>
    </row>
    <row r="64" spans="1:12" ht="15" customHeight="1">
      <c r="G64" s="203"/>
    </row>
    <row r="65" spans="2:12" ht="15" customHeight="1">
      <c r="B65" s="370" t="s">
        <v>544</v>
      </c>
      <c r="E65" s="58">
        <f>FCFF!H37</f>
        <v>0</v>
      </c>
      <c r="F65" s="58">
        <f>FCFF!N37</f>
        <v>0</v>
      </c>
      <c r="G65" s="405">
        <f>FCFF!T37</f>
        <v>0</v>
      </c>
      <c r="H65" s="465">
        <f>+H66*H62</f>
        <v>0</v>
      </c>
      <c r="I65" s="465">
        <f t="shared" ref="I65:L65" si="5">+I66*I62</f>
        <v>0</v>
      </c>
      <c r="J65" s="465">
        <f t="shared" si="5"/>
        <v>0</v>
      </c>
      <c r="K65" s="465">
        <f t="shared" si="5"/>
        <v>0</v>
      </c>
      <c r="L65" s="465">
        <f t="shared" si="5"/>
        <v>0</v>
      </c>
    </row>
    <row r="66" spans="2:12" s="450" customFormat="1" ht="15" customHeight="1">
      <c r="B66" s="31" t="s">
        <v>545</v>
      </c>
      <c r="C66" s="26"/>
      <c r="D66" s="26"/>
      <c r="E66" s="298">
        <f>E65/E62</f>
        <v>0</v>
      </c>
      <c r="F66" s="298">
        <f t="shared" ref="F66:G66" si="6">F65/F62</f>
        <v>0</v>
      </c>
      <c r="G66" s="406">
        <f t="shared" si="6"/>
        <v>0</v>
      </c>
      <c r="H66" s="466"/>
      <c r="I66" s="466"/>
      <c r="J66" s="466"/>
      <c r="K66" s="466"/>
      <c r="L66" s="466"/>
    </row>
    <row r="67" spans="2:12" ht="15" customHeight="1">
      <c r="B67" s="31"/>
      <c r="E67" s="181"/>
      <c r="F67" s="181"/>
      <c r="G67" s="408"/>
      <c r="H67" s="25"/>
      <c r="I67" s="25"/>
      <c r="J67" s="25"/>
      <c r="K67" s="25"/>
      <c r="L67" s="25"/>
    </row>
    <row r="68" spans="2:12" ht="15" customHeight="1">
      <c r="B68" s="370" t="s">
        <v>546</v>
      </c>
      <c r="E68" s="58">
        <f>FCFF!H40</f>
        <v>8287</v>
      </c>
      <c r="F68" s="58">
        <f>FCFF!N40</f>
        <v>8479</v>
      </c>
      <c r="G68" s="405">
        <f>FCFF!T40</f>
        <v>6930</v>
      </c>
      <c r="H68" s="465">
        <f>+H59-H62-H65</f>
        <v>350000</v>
      </c>
      <c r="I68" s="465">
        <f t="shared" ref="I68:L68" si="7">+I59-I62-I65</f>
        <v>352000</v>
      </c>
      <c r="J68" s="465">
        <f t="shared" si="7"/>
        <v>350000</v>
      </c>
      <c r="K68" s="465">
        <f t="shared" si="7"/>
        <v>352000</v>
      </c>
      <c r="L68" s="465">
        <f t="shared" si="7"/>
        <v>350000</v>
      </c>
    </row>
    <row r="69" spans="2:12" s="450" customFormat="1" ht="15" customHeight="1">
      <c r="B69" s="31" t="s">
        <v>543</v>
      </c>
      <c r="C69" s="26"/>
      <c r="D69" s="26"/>
      <c r="E69" s="300">
        <f>E68/E59</f>
        <v>0.12559105237633367</v>
      </c>
      <c r="F69" s="300">
        <f t="shared" ref="F69:G69" si="8">F68/F59</f>
        <v>0.125482825472466</v>
      </c>
      <c r="G69" s="409">
        <f t="shared" si="8"/>
        <v>9.7546556310966592E-2</v>
      </c>
      <c r="H69" s="468">
        <f t="shared" ref="H69:L69" si="9">IFERROR(H68/H$59,"")</f>
        <v>1</v>
      </c>
      <c r="I69" s="468">
        <f t="shared" si="9"/>
        <v>1</v>
      </c>
      <c r="J69" s="468">
        <f t="shared" si="9"/>
        <v>1</v>
      </c>
      <c r="K69" s="468">
        <f t="shared" si="9"/>
        <v>1</v>
      </c>
      <c r="L69" s="468">
        <f t="shared" si="9"/>
        <v>1</v>
      </c>
    </row>
    <row r="70" spans="2:12" ht="15" customHeight="1">
      <c r="B70" s="370"/>
      <c r="E70" s="66"/>
      <c r="F70" s="66"/>
      <c r="G70" s="410"/>
      <c r="H70" s="427"/>
      <c r="I70" s="427"/>
      <c r="J70" s="427"/>
      <c r="K70" s="427"/>
      <c r="L70" s="427"/>
    </row>
    <row r="71" spans="2:12" ht="15" customHeight="1">
      <c r="B71" s="370" t="s">
        <v>547</v>
      </c>
      <c r="E71" s="68">
        <f>FCFF!H43</f>
        <v>0</v>
      </c>
      <c r="F71" s="68">
        <f>FCFF!N43</f>
        <v>0</v>
      </c>
      <c r="G71" s="411">
        <f>FCFF!T43</f>
        <v>0</v>
      </c>
      <c r="H71" s="465">
        <f>+H72*H59</f>
        <v>0</v>
      </c>
      <c r="I71" s="465">
        <f t="shared" ref="I71:L71" si="10">+I72*I59</f>
        <v>0</v>
      </c>
      <c r="J71" s="465">
        <f t="shared" si="10"/>
        <v>0</v>
      </c>
      <c r="K71" s="465">
        <f t="shared" si="10"/>
        <v>0</v>
      </c>
      <c r="L71" s="465">
        <f t="shared" si="10"/>
        <v>0</v>
      </c>
    </row>
    <row r="72" spans="2:12" s="450" customFormat="1" ht="15" customHeight="1">
      <c r="B72" s="31" t="s">
        <v>543</v>
      </c>
      <c r="C72" s="26"/>
      <c r="D72" s="26"/>
      <c r="E72" s="300">
        <f>E71/E59</f>
        <v>0</v>
      </c>
      <c r="F72" s="300">
        <f t="shared" ref="F72:G72" si="11">F71/F59</f>
        <v>0</v>
      </c>
      <c r="G72" s="409">
        <f t="shared" si="11"/>
        <v>0</v>
      </c>
      <c r="H72" s="466"/>
      <c r="I72" s="466"/>
      <c r="J72" s="466"/>
      <c r="K72" s="466"/>
      <c r="L72" s="467"/>
    </row>
    <row r="73" spans="2:12" s="471" customFormat="1" ht="15" customHeight="1">
      <c r="B73" s="394"/>
      <c r="C73" s="469"/>
      <c r="D73" s="469"/>
      <c r="E73" s="66"/>
      <c r="F73" s="66"/>
      <c r="G73" s="410"/>
      <c r="H73" s="470"/>
      <c r="I73" s="470"/>
      <c r="J73" s="470"/>
      <c r="K73" s="470"/>
      <c r="L73" s="470"/>
    </row>
    <row r="74" spans="2:12" ht="15" customHeight="1">
      <c r="B74" s="370" t="s">
        <v>548</v>
      </c>
      <c r="E74" s="68">
        <f>FCFF!H46</f>
        <v>0</v>
      </c>
      <c r="F74" s="68">
        <f>FCFF!N46</f>
        <v>0</v>
      </c>
      <c r="G74" s="411">
        <f>FCFF!T46</f>
        <v>0</v>
      </c>
      <c r="H74" s="465">
        <f>+H75*H68</f>
        <v>0</v>
      </c>
      <c r="I74" s="465">
        <f t="shared" ref="I74:L74" si="12">+I75*I68</f>
        <v>0</v>
      </c>
      <c r="J74" s="465">
        <f t="shared" si="12"/>
        <v>0</v>
      </c>
      <c r="K74" s="465">
        <f t="shared" si="12"/>
        <v>0</v>
      </c>
      <c r="L74" s="465">
        <f t="shared" si="12"/>
        <v>0</v>
      </c>
    </row>
    <row r="75" spans="2:12" ht="15" customHeight="1">
      <c r="B75" s="31" t="s">
        <v>549</v>
      </c>
      <c r="E75" s="300">
        <f>E74/E68</f>
        <v>0</v>
      </c>
      <c r="F75" s="300">
        <f t="shared" ref="F75:G75" si="13">F74/F68</f>
        <v>0</v>
      </c>
      <c r="G75" s="409">
        <f t="shared" si="13"/>
        <v>0</v>
      </c>
      <c r="H75" s="466"/>
      <c r="I75" s="466"/>
      <c r="J75" s="466"/>
      <c r="K75" s="466"/>
      <c r="L75" s="466"/>
    </row>
    <row r="76" spans="2:12" ht="15" customHeight="1">
      <c r="B76" s="31"/>
      <c r="E76" s="66"/>
      <c r="F76" s="66"/>
      <c r="G76" s="410"/>
      <c r="H76" s="425"/>
      <c r="I76" s="425"/>
      <c r="J76" s="425"/>
      <c r="K76" s="425"/>
      <c r="L76" s="425"/>
    </row>
    <row r="77" spans="2:12" ht="15" customHeight="1">
      <c r="B77" s="370" t="s">
        <v>550</v>
      </c>
      <c r="E77" s="68">
        <f>FCFF!H49</f>
        <v>0</v>
      </c>
      <c r="F77" s="68">
        <f>FCFF!N49</f>
        <v>0</v>
      </c>
      <c r="G77" s="411">
        <f>FCFF!T49</f>
        <v>0</v>
      </c>
      <c r="H77" s="465">
        <f>+H80+H83</f>
        <v>0</v>
      </c>
      <c r="I77" s="465">
        <f t="shared" ref="I77:L77" si="14">+I80+I83</f>
        <v>0</v>
      </c>
      <c r="J77" s="465">
        <f t="shared" si="14"/>
        <v>0</v>
      </c>
      <c r="K77" s="465">
        <f t="shared" si="14"/>
        <v>0</v>
      </c>
      <c r="L77" s="465">
        <f t="shared" si="14"/>
        <v>0</v>
      </c>
    </row>
    <row r="78" spans="2:12" s="450" customFormat="1" ht="15" customHeight="1">
      <c r="B78" s="31" t="s">
        <v>551</v>
      </c>
      <c r="C78" s="26"/>
      <c r="D78" s="26"/>
      <c r="E78" s="300">
        <f>E77/(E111+E114)</f>
        <v>0</v>
      </c>
      <c r="F78" s="300">
        <f>F77/(F111+F114)</f>
        <v>0</v>
      </c>
      <c r="G78" s="409">
        <f>G77/(G111+G114)</f>
        <v>0</v>
      </c>
      <c r="H78" s="300">
        <f t="shared" ref="H78:L78" si="15">H77/(H111+H114)</f>
        <v>0</v>
      </c>
      <c r="I78" s="300">
        <f t="shared" si="15"/>
        <v>0</v>
      </c>
      <c r="J78" s="300">
        <f t="shared" si="15"/>
        <v>0</v>
      </c>
      <c r="K78" s="300">
        <f t="shared" si="15"/>
        <v>0</v>
      </c>
      <c r="L78" s="300">
        <f t="shared" si="15"/>
        <v>0</v>
      </c>
    </row>
    <row r="79" spans="2:12" ht="15" customHeight="1">
      <c r="B79" s="31"/>
      <c r="E79" s="300"/>
      <c r="F79" s="300"/>
      <c r="G79" s="409"/>
      <c r="H79" s="472"/>
      <c r="I79" s="472"/>
      <c r="J79" s="472"/>
      <c r="K79" s="472"/>
      <c r="L79" s="472"/>
    </row>
    <row r="80" spans="2:12" ht="15" customHeight="1">
      <c r="B80" s="473" t="s">
        <v>552</v>
      </c>
      <c r="E80" s="68">
        <f>FCFF!H52</f>
        <v>0</v>
      </c>
      <c r="F80" s="68">
        <f>FCFF!N52</f>
        <v>0</v>
      </c>
      <c r="G80" s="411">
        <f>FCFF!T52</f>
        <v>0</v>
      </c>
      <c r="H80" s="474">
        <f>H81*G111</f>
        <v>0</v>
      </c>
      <c r="I80" s="474">
        <f t="shared" ref="I80:L80" si="16">I81*H111</f>
        <v>0</v>
      </c>
      <c r="J80" s="474">
        <f t="shared" si="16"/>
        <v>0</v>
      </c>
      <c r="K80" s="474">
        <f t="shared" si="16"/>
        <v>0</v>
      </c>
      <c r="L80" s="474">
        <f t="shared" si="16"/>
        <v>0</v>
      </c>
    </row>
    <row r="81" spans="2:12" ht="15" customHeight="1">
      <c r="B81" s="294" t="s">
        <v>553</v>
      </c>
      <c r="E81" s="300">
        <f>E80/E111</f>
        <v>0</v>
      </c>
      <c r="F81" s="300">
        <f>FCFF!N53</f>
        <v>0</v>
      </c>
      <c r="G81" s="409">
        <f>FCFF!T53</f>
        <v>0</v>
      </c>
      <c r="H81" s="466"/>
      <c r="I81" s="466"/>
      <c r="J81" s="466"/>
      <c r="K81" s="466"/>
      <c r="L81" s="466"/>
    </row>
    <row r="82" spans="2:12" ht="15" customHeight="1">
      <c r="B82" s="31"/>
      <c r="E82" s="300"/>
      <c r="F82" s="300"/>
      <c r="G82" s="409"/>
    </row>
    <row r="83" spans="2:12" ht="15" customHeight="1">
      <c r="B83" s="473" t="s">
        <v>554</v>
      </c>
      <c r="E83" s="68">
        <f>FCFF!H55</f>
        <v>0</v>
      </c>
      <c r="F83" s="68">
        <f>FCFF!N55</f>
        <v>0</v>
      </c>
      <c r="G83" s="411">
        <f>FCFF!T55</f>
        <v>0</v>
      </c>
      <c r="H83" s="465">
        <f>H84*G114</f>
        <v>0</v>
      </c>
      <c r="I83" s="465">
        <f t="shared" ref="I83:L83" si="17">I84*H114</f>
        <v>0</v>
      </c>
      <c r="J83" s="465">
        <f t="shared" si="17"/>
        <v>0</v>
      </c>
      <c r="K83" s="465">
        <f t="shared" si="17"/>
        <v>0</v>
      </c>
      <c r="L83" s="465">
        <f t="shared" si="17"/>
        <v>0</v>
      </c>
    </row>
    <row r="84" spans="2:12" ht="15" customHeight="1">
      <c r="B84" s="294" t="s">
        <v>555</v>
      </c>
      <c r="C84" s="475"/>
      <c r="D84" s="475"/>
      <c r="E84" s="300">
        <f>E83/E114</f>
        <v>0</v>
      </c>
      <c r="F84" s="300">
        <f>F83/F114</f>
        <v>0</v>
      </c>
      <c r="G84" s="409">
        <f>G83/G114</f>
        <v>0</v>
      </c>
      <c r="H84" s="466"/>
      <c r="I84" s="466"/>
      <c r="J84" s="466"/>
      <c r="K84" s="466"/>
      <c r="L84" s="467"/>
    </row>
    <row r="85" spans="2:12" ht="15" customHeight="1">
      <c r="B85" s="476"/>
      <c r="C85" s="475"/>
      <c r="D85" s="475"/>
      <c r="E85" s="66"/>
      <c r="F85" s="66"/>
      <c r="G85" s="410"/>
      <c r="H85" s="468"/>
      <c r="I85" s="468"/>
      <c r="J85" s="468"/>
      <c r="K85" s="468"/>
      <c r="L85" s="468"/>
    </row>
    <row r="86" spans="2:12" ht="15" customHeight="1">
      <c r="B86" s="370" t="s">
        <v>557</v>
      </c>
      <c r="C86" s="475"/>
      <c r="D86" s="475"/>
      <c r="E86" s="68">
        <f>FCFF!H61</f>
        <v>6739</v>
      </c>
      <c r="F86" s="68">
        <f>FCFF!N61</f>
        <v>6939</v>
      </c>
      <c r="G86" s="411">
        <f>FCFF!T61</f>
        <v>8724</v>
      </c>
      <c r="H86" s="465">
        <f>H68-H71-H74-H77</f>
        <v>350000</v>
      </c>
      <c r="I86" s="465">
        <f t="shared" ref="I86:L86" si="18">I68-I71-I74-I77</f>
        <v>352000</v>
      </c>
      <c r="J86" s="465">
        <f t="shared" si="18"/>
        <v>350000</v>
      </c>
      <c r="K86" s="465">
        <f t="shared" si="18"/>
        <v>352000</v>
      </c>
      <c r="L86" s="465">
        <f t="shared" si="18"/>
        <v>350000</v>
      </c>
    </row>
    <row r="87" spans="2:12" ht="15" customHeight="1">
      <c r="B87" s="31" t="s">
        <v>543</v>
      </c>
      <c r="C87" s="475"/>
      <c r="D87" s="475"/>
      <c r="E87" s="300">
        <f t="shared" ref="E87:L87" si="19">E86/E59</f>
        <v>0.10213081959262851</v>
      </c>
      <c r="F87" s="300">
        <f t="shared" si="19"/>
        <v>0.10269198324725104</v>
      </c>
      <c r="G87" s="409">
        <f t="shared" si="19"/>
        <v>0.12279886829103501</v>
      </c>
      <c r="H87" s="300">
        <f t="shared" si="19"/>
        <v>1</v>
      </c>
      <c r="I87" s="300">
        <f t="shared" si="19"/>
        <v>1</v>
      </c>
      <c r="J87" s="300">
        <f t="shared" si="19"/>
        <v>1</v>
      </c>
      <c r="K87" s="300">
        <f t="shared" si="19"/>
        <v>1</v>
      </c>
      <c r="L87" s="300">
        <f t="shared" si="19"/>
        <v>1</v>
      </c>
    </row>
    <row r="88" spans="2:12" ht="15" customHeight="1">
      <c r="B88" s="31"/>
      <c r="C88" s="475"/>
      <c r="D88" s="475"/>
      <c r="E88" s="468"/>
      <c r="F88" s="468"/>
      <c r="G88" s="477"/>
      <c r="H88" s="468"/>
      <c r="I88" s="468"/>
      <c r="J88" s="468"/>
      <c r="K88" s="468"/>
      <c r="L88" s="468"/>
    </row>
    <row r="89" spans="2:12" ht="15" customHeight="1">
      <c r="B89" s="370" t="s">
        <v>689</v>
      </c>
      <c r="C89" s="475"/>
      <c r="D89" s="475"/>
      <c r="E89" s="68">
        <f>IS!T37</f>
        <v>623</v>
      </c>
      <c r="F89" s="68">
        <f>IS!Z37</f>
        <v>916</v>
      </c>
      <c r="G89" s="411">
        <f>IS!AF37</f>
        <v>1036</v>
      </c>
      <c r="H89" s="66">
        <f>+H164</f>
        <v>0</v>
      </c>
      <c r="I89" s="66">
        <f t="shared" ref="I89:L89" si="20">+I164</f>
        <v>0</v>
      </c>
      <c r="J89" s="66">
        <f t="shared" si="20"/>
        <v>0</v>
      </c>
      <c r="K89" s="66">
        <f t="shared" si="20"/>
        <v>0</v>
      </c>
      <c r="L89" s="66">
        <f t="shared" si="20"/>
        <v>0</v>
      </c>
    </row>
    <row r="90" spans="2:12" ht="15" customHeight="1">
      <c r="B90" s="370"/>
      <c r="C90" s="475"/>
      <c r="D90" s="475"/>
      <c r="E90" s="468"/>
      <c r="F90" s="468"/>
      <c r="G90" s="477"/>
      <c r="H90" s="468"/>
      <c r="I90" s="468"/>
      <c r="J90" s="468"/>
      <c r="K90" s="468"/>
      <c r="L90" s="468"/>
    </row>
    <row r="91" spans="2:12" ht="15" customHeight="1">
      <c r="B91" s="370" t="s">
        <v>690</v>
      </c>
      <c r="C91" s="475"/>
      <c r="D91" s="475"/>
      <c r="E91" s="68">
        <f>IS!T41</f>
        <v>4985</v>
      </c>
      <c r="F91" s="68">
        <f>IS!Z41</f>
        <v>6482</v>
      </c>
      <c r="G91" s="411">
        <f>IS!AF41</f>
        <v>7909</v>
      </c>
      <c r="H91" s="66">
        <f>+H86-H89</f>
        <v>350000</v>
      </c>
      <c r="I91" s="66">
        <f t="shared" ref="I91:L91" si="21">+I86-I89</f>
        <v>352000</v>
      </c>
      <c r="J91" s="66">
        <f t="shared" si="21"/>
        <v>350000</v>
      </c>
      <c r="K91" s="66">
        <f t="shared" si="21"/>
        <v>352000</v>
      </c>
      <c r="L91" s="66">
        <f t="shared" si="21"/>
        <v>350000</v>
      </c>
    </row>
    <row r="92" spans="2:12" ht="15" customHeight="1">
      <c r="B92" s="31" t="s">
        <v>543</v>
      </c>
      <c r="C92" s="475"/>
      <c r="D92" s="475"/>
      <c r="E92" s="468">
        <f t="shared" ref="E92:L92" si="22">E91/E59</f>
        <v>7.5548617846750724E-2</v>
      </c>
      <c r="F92" s="468">
        <f t="shared" si="22"/>
        <v>9.5928726820677504E-2</v>
      </c>
      <c r="G92" s="478">
        <f t="shared" si="22"/>
        <v>0.11132694283743648</v>
      </c>
      <c r="H92" s="468">
        <f t="shared" si="22"/>
        <v>1</v>
      </c>
      <c r="I92" s="468">
        <f t="shared" si="22"/>
        <v>1</v>
      </c>
      <c r="J92" s="468">
        <f t="shared" si="22"/>
        <v>1</v>
      </c>
      <c r="K92" s="468">
        <f t="shared" si="22"/>
        <v>1</v>
      </c>
      <c r="L92" s="468">
        <f t="shared" si="22"/>
        <v>1</v>
      </c>
    </row>
    <row r="93" spans="2:12" ht="15" customHeight="1">
      <c r="B93" s="76"/>
      <c r="C93" s="475"/>
      <c r="D93" s="475"/>
      <c r="E93" s="468"/>
      <c r="F93" s="468"/>
      <c r="G93" s="478"/>
      <c r="H93" s="468"/>
      <c r="I93" s="468"/>
      <c r="J93" s="468"/>
      <c r="K93" s="468"/>
      <c r="L93" s="468"/>
    </row>
    <row r="94" spans="2:12" ht="15" customHeight="1">
      <c r="B94" s="370" t="s">
        <v>691</v>
      </c>
      <c r="C94" s="475"/>
      <c r="D94" s="475"/>
      <c r="E94" s="68">
        <f>IS!T44</f>
        <v>609.11</v>
      </c>
      <c r="F94" s="68">
        <f>IS!Z44</f>
        <v>848.12800000000004</v>
      </c>
      <c r="G94" s="411">
        <f>IS!AF44</f>
        <v>1238.31</v>
      </c>
      <c r="H94" s="66">
        <f>H95*H91</f>
        <v>0</v>
      </c>
      <c r="I94" s="66">
        <f t="shared" ref="I94:L94" si="23">I95*I91</f>
        <v>0</v>
      </c>
      <c r="J94" s="66">
        <f t="shared" si="23"/>
        <v>0</v>
      </c>
      <c r="K94" s="66">
        <f t="shared" si="23"/>
        <v>0</v>
      </c>
      <c r="L94" s="66">
        <f t="shared" si="23"/>
        <v>0</v>
      </c>
    </row>
    <row r="95" spans="2:12" ht="15" customHeight="1">
      <c r="B95" s="31" t="s">
        <v>692</v>
      </c>
      <c r="C95" s="475"/>
      <c r="D95" s="475"/>
      <c r="E95" s="468">
        <f>E94/E91</f>
        <v>0.12218856569709127</v>
      </c>
      <c r="F95" s="468">
        <f t="shared" ref="F95:G95" si="24">F94/F91</f>
        <v>0.13084356680037026</v>
      </c>
      <c r="G95" s="479">
        <f t="shared" si="24"/>
        <v>0.15656973068655961</v>
      </c>
      <c r="H95" s="466"/>
      <c r="I95" s="466"/>
      <c r="J95" s="466"/>
      <c r="K95" s="466"/>
      <c r="L95" s="467"/>
    </row>
    <row r="96" spans="2:12" ht="15" customHeight="1">
      <c r="G96" s="203"/>
    </row>
    <row r="97" spans="1:12" ht="15" customHeight="1">
      <c r="B97" s="370" t="s">
        <v>693</v>
      </c>
      <c r="C97" s="475"/>
      <c r="D97" s="475"/>
      <c r="E97" s="68">
        <f>IS!T46</f>
        <v>4375.8900000000003</v>
      </c>
      <c r="F97" s="68">
        <f>IS!Z46</f>
        <v>5633.8720000000003</v>
      </c>
      <c r="G97" s="411">
        <f>IS!AF46</f>
        <v>6670.69</v>
      </c>
      <c r="H97" s="66">
        <f>H91-H94</f>
        <v>350000</v>
      </c>
      <c r="I97" s="66">
        <f t="shared" ref="I97:L97" si="25">I91-I94</f>
        <v>352000</v>
      </c>
      <c r="J97" s="66">
        <f t="shared" si="25"/>
        <v>350000</v>
      </c>
      <c r="K97" s="66">
        <f t="shared" si="25"/>
        <v>352000</v>
      </c>
      <c r="L97" s="66">
        <f t="shared" si="25"/>
        <v>350000</v>
      </c>
    </row>
    <row r="98" spans="1:12" ht="15" customHeight="1">
      <c r="B98" s="31" t="s">
        <v>543</v>
      </c>
      <c r="C98" s="475"/>
      <c r="D98" s="475"/>
      <c r="E98" s="468">
        <f t="shared" ref="E98:L98" si="26">E97/E59</f>
        <v>6.6317440591658589E-2</v>
      </c>
      <c r="F98" s="468">
        <f t="shared" si="26"/>
        <v>8.3377070044841725E-2</v>
      </c>
      <c r="G98" s="478">
        <f t="shared" si="26"/>
        <v>9.389651337922103E-2</v>
      </c>
      <c r="H98" s="468">
        <f t="shared" si="26"/>
        <v>1</v>
      </c>
      <c r="I98" s="468">
        <f t="shared" si="26"/>
        <v>1</v>
      </c>
      <c r="J98" s="468">
        <f t="shared" si="26"/>
        <v>1</v>
      </c>
      <c r="K98" s="468">
        <f t="shared" si="26"/>
        <v>1</v>
      </c>
      <c r="L98" s="468">
        <f t="shared" si="26"/>
        <v>1</v>
      </c>
    </row>
    <row r="99" spans="1:12" ht="15" customHeight="1">
      <c r="B99" s="31"/>
      <c r="C99" s="475"/>
      <c r="D99" s="475"/>
      <c r="E99" s="480"/>
      <c r="F99" s="480"/>
      <c r="G99" s="481"/>
      <c r="H99" s="468"/>
      <c r="I99" s="468"/>
      <c r="J99" s="468"/>
      <c r="K99" s="468"/>
      <c r="L99" s="468"/>
    </row>
    <row r="100" spans="1:12" ht="15" customHeight="1">
      <c r="A100" s="375" t="s">
        <v>41</v>
      </c>
      <c r="B100" s="367" t="s">
        <v>562</v>
      </c>
      <c r="C100" s="32"/>
      <c r="D100" s="32"/>
      <c r="E100" s="445">
        <f t="shared" ref="E100:L100" si="27">E57</f>
        <v>2022</v>
      </c>
      <c r="F100" s="445">
        <f t="shared" si="27"/>
        <v>2023</v>
      </c>
      <c r="G100" s="445">
        <f t="shared" si="27"/>
        <v>2024</v>
      </c>
      <c r="H100" s="446">
        <f t="shared" si="27"/>
        <v>2025</v>
      </c>
      <c r="I100" s="446">
        <f t="shared" si="27"/>
        <v>2026</v>
      </c>
      <c r="J100" s="446">
        <f t="shared" si="27"/>
        <v>2027</v>
      </c>
      <c r="K100" s="446">
        <f t="shared" si="27"/>
        <v>2028</v>
      </c>
      <c r="L100" s="446">
        <f t="shared" si="27"/>
        <v>2029</v>
      </c>
    </row>
    <row r="101" spans="1:12" ht="3.95" customHeight="1">
      <c r="B101" s="482"/>
      <c r="C101" s="36"/>
      <c r="D101" s="36"/>
      <c r="E101" s="36"/>
      <c r="F101" s="36"/>
      <c r="G101" s="36"/>
      <c r="H101" s="36"/>
      <c r="I101" s="36"/>
      <c r="J101" s="36"/>
      <c r="K101" s="36"/>
      <c r="L101" s="36"/>
    </row>
    <row r="102" spans="1:12" ht="15" customHeight="1">
      <c r="B102" s="370" t="s">
        <v>591</v>
      </c>
      <c r="E102" s="68">
        <f>FCFF!H70</f>
        <v>2505</v>
      </c>
      <c r="F102" s="68">
        <f>FCFF!N70</f>
        <v>2132</v>
      </c>
      <c r="G102" s="411">
        <f>FCFF!T70</f>
        <v>2351</v>
      </c>
      <c r="H102" s="483">
        <f>+H103*H59/365</f>
        <v>0</v>
      </c>
      <c r="I102" s="483">
        <f t="shared" ref="I102:L102" si="28">+I103*I59/365</f>
        <v>0</v>
      </c>
      <c r="J102" s="483">
        <f t="shared" si="28"/>
        <v>0</v>
      </c>
      <c r="K102" s="483">
        <f>+K103*K59/366</f>
        <v>0</v>
      </c>
      <c r="L102" s="483">
        <f t="shared" si="28"/>
        <v>0</v>
      </c>
    </row>
    <row r="103" spans="1:12" ht="15" customHeight="1">
      <c r="B103" s="31" t="s">
        <v>592</v>
      </c>
      <c r="E103" s="316">
        <f>FCFF!H71</f>
        <v>13.856768307468478</v>
      </c>
      <c r="F103" s="316">
        <f>FCFF!N71</f>
        <v>11.516478962868685</v>
      </c>
      <c r="G103" s="412">
        <f>FCFF!T71</f>
        <v>12.078811424067116</v>
      </c>
      <c r="H103" s="484"/>
      <c r="I103" s="484"/>
      <c r="J103" s="484"/>
      <c r="K103" s="484"/>
      <c r="L103" s="484"/>
    </row>
    <row r="104" spans="1:12" ht="15" customHeight="1">
      <c r="B104" s="370"/>
      <c r="E104" s="97"/>
      <c r="F104" s="97"/>
      <c r="G104" s="413"/>
      <c r="H104" s="483"/>
      <c r="I104" s="483"/>
      <c r="J104" s="483"/>
      <c r="K104" s="483"/>
      <c r="L104" s="483"/>
    </row>
    <row r="105" spans="1:12" ht="15" customHeight="1">
      <c r="B105" s="370" t="s">
        <v>593</v>
      </c>
      <c r="E105" s="68">
        <f>FCFF!H73</f>
        <v>3088</v>
      </c>
      <c r="F105" s="68">
        <f>FCFF!N73</f>
        <v>3132</v>
      </c>
      <c r="G105" s="411">
        <f>FCFF!T73</f>
        <v>3474</v>
      </c>
      <c r="H105" s="483">
        <f>+H106*H62/365</f>
        <v>0</v>
      </c>
      <c r="I105" s="483">
        <f t="shared" ref="I105:L105" si="29">+I106*I62/365</f>
        <v>0</v>
      </c>
      <c r="J105" s="483">
        <f t="shared" si="29"/>
        <v>0</v>
      </c>
      <c r="K105" s="483">
        <f>+K106*K62/366</f>
        <v>0</v>
      </c>
      <c r="L105" s="483">
        <f t="shared" si="29"/>
        <v>0</v>
      </c>
    </row>
    <row r="106" spans="1:12" ht="15" customHeight="1">
      <c r="B106" s="31" t="s">
        <v>595</v>
      </c>
      <c r="E106" s="316">
        <f>FCFF!H74</f>
        <v>19.535157807165017</v>
      </c>
      <c r="F106" s="316">
        <f>FCFF!N74</f>
        <v>19.345765924321398</v>
      </c>
      <c r="G106" s="412">
        <f>FCFF!T74</f>
        <v>19.777736184549155</v>
      </c>
      <c r="H106" s="484"/>
      <c r="I106" s="484"/>
      <c r="J106" s="484"/>
      <c r="K106" s="484"/>
      <c r="L106" s="484"/>
    </row>
    <row r="107" spans="1:12" ht="15" customHeight="1">
      <c r="B107" s="370"/>
      <c r="E107" s="97"/>
      <c r="F107" s="97"/>
      <c r="G107" s="413"/>
    </row>
    <row r="108" spans="1:12" ht="15" customHeight="1">
      <c r="B108" s="370" t="s">
        <v>598</v>
      </c>
      <c r="E108" s="68">
        <f>FCFF!H76</f>
        <v>12851</v>
      </c>
      <c r="F108" s="68">
        <f>FCFF!N76</f>
        <v>13815</v>
      </c>
      <c r="G108" s="411">
        <f>FCFF!T76</f>
        <v>13541</v>
      </c>
      <c r="H108" s="483">
        <f>+H109*H59</f>
        <v>0</v>
      </c>
      <c r="I108" s="483">
        <f t="shared" ref="I108:L108" si="30">+I109*I59</f>
        <v>0</v>
      </c>
      <c r="J108" s="483">
        <f t="shared" si="30"/>
        <v>0</v>
      </c>
      <c r="K108" s="483">
        <f t="shared" si="30"/>
        <v>0</v>
      </c>
      <c r="L108" s="483">
        <f t="shared" si="30"/>
        <v>0</v>
      </c>
    </row>
    <row r="109" spans="1:12" s="450" customFormat="1" ht="15" customHeight="1">
      <c r="A109" s="375"/>
      <c r="B109" s="31" t="s">
        <v>543</v>
      </c>
      <c r="C109" s="26"/>
      <c r="D109" s="26"/>
      <c r="E109" s="300">
        <f>FCFF!H77</f>
        <v>0.19475933559650824</v>
      </c>
      <c r="F109" s="300">
        <f>FCFF!N77</f>
        <v>0.20445161385801602</v>
      </c>
      <c r="G109" s="409">
        <f>FCFF!T77</f>
        <v>0.19060287431555537</v>
      </c>
      <c r="H109" s="466"/>
      <c r="I109" s="466"/>
      <c r="J109" s="466"/>
      <c r="K109" s="466"/>
      <c r="L109" s="466"/>
    </row>
    <row r="110" spans="1:12" ht="15" customHeight="1">
      <c r="B110" s="370"/>
      <c r="E110" s="97"/>
      <c r="F110" s="97"/>
      <c r="G110" s="413"/>
      <c r="H110" s="483"/>
      <c r="I110" s="483"/>
      <c r="J110" s="483"/>
      <c r="K110" s="483"/>
      <c r="L110" s="483"/>
    </row>
    <row r="111" spans="1:12" ht="15" customHeight="1">
      <c r="B111" s="370" t="s">
        <v>601</v>
      </c>
      <c r="E111" s="68">
        <f>FCFF!H79</f>
        <v>9075</v>
      </c>
      <c r="F111" s="68">
        <f>FCFF!N79</f>
        <v>9470</v>
      </c>
      <c r="G111" s="411">
        <f>FCFF!T79</f>
        <v>9726</v>
      </c>
      <c r="H111" s="66">
        <f>+G111-H112*H131-H80-H65</f>
        <v>9726</v>
      </c>
      <c r="I111" s="66">
        <f t="shared" ref="I111:L111" si="31">+H111-I112*I131-I80-I65</f>
        <v>9726</v>
      </c>
      <c r="J111" s="66">
        <f t="shared" si="31"/>
        <v>9726</v>
      </c>
      <c r="K111" s="66">
        <f t="shared" si="31"/>
        <v>9726</v>
      </c>
      <c r="L111" s="66">
        <f t="shared" si="31"/>
        <v>9726</v>
      </c>
    </row>
    <row r="112" spans="1:12" ht="15" customHeight="1">
      <c r="B112" s="31" t="s">
        <v>603</v>
      </c>
      <c r="E112" s="300">
        <f>FCFF!H80</f>
        <v>0</v>
      </c>
      <c r="F112" s="300">
        <f>FCFF!N80</f>
        <v>0</v>
      </c>
      <c r="G112" s="409">
        <f>FCFF!T80</f>
        <v>0</v>
      </c>
      <c r="H112" s="466"/>
      <c r="I112" s="466"/>
      <c r="J112" s="466"/>
      <c r="K112" s="466"/>
      <c r="L112" s="466"/>
    </row>
    <row r="113" spans="1:12" ht="15" customHeight="1">
      <c r="G113" s="203"/>
    </row>
    <row r="114" spans="1:12" ht="15" customHeight="1">
      <c r="B114" s="370" t="s">
        <v>694</v>
      </c>
      <c r="E114" s="68">
        <f>FCFF!H82</f>
        <v>13239</v>
      </c>
      <c r="F114" s="68">
        <f>FCFF!N82</f>
        <v>13011</v>
      </c>
      <c r="G114" s="411">
        <f>FCFF!T82</f>
        <v>13082</v>
      </c>
      <c r="H114" s="66">
        <f>+G114+H115*H74-(1-H112)*H131-H83</f>
        <v>13082</v>
      </c>
      <c r="I114" s="66">
        <f>+H114+I115*I74-(1-I112)*I131-I83</f>
        <v>13082</v>
      </c>
      <c r="J114" s="66">
        <f>+I114+J115*J74-(1-J112)*J131-J83</f>
        <v>13082</v>
      </c>
      <c r="K114" s="66">
        <f>+J114+K115*K74-(1-K112)*K131-K83</f>
        <v>13082</v>
      </c>
      <c r="L114" s="66">
        <f>+K114+L115*L74-(1-L112)*L131-L83</f>
        <v>13082</v>
      </c>
    </row>
    <row r="115" spans="1:12" ht="15" customHeight="1">
      <c r="B115" s="31" t="s">
        <v>695</v>
      </c>
      <c r="E115" s="300">
        <f>FCFF!H83</f>
        <v>0</v>
      </c>
      <c r="F115" s="300">
        <f>FCFF!N83</f>
        <v>0</v>
      </c>
      <c r="G115" s="409">
        <f>FCFF!T83</f>
        <v>0</v>
      </c>
      <c r="H115" s="466"/>
      <c r="I115" s="466"/>
      <c r="J115" s="466"/>
      <c r="K115" s="466"/>
      <c r="L115" s="466"/>
    </row>
    <row r="116" spans="1:12" s="450" customFormat="1" ht="15" customHeight="1">
      <c r="A116" s="375"/>
      <c r="B116" s="97"/>
      <c r="C116" s="22"/>
      <c r="D116" s="22"/>
      <c r="E116" s="97"/>
      <c r="F116" s="97"/>
      <c r="G116" s="413"/>
      <c r="H116" s="483"/>
      <c r="I116" s="483"/>
      <c r="J116" s="483"/>
      <c r="K116" s="483"/>
      <c r="L116" s="483"/>
    </row>
    <row r="117" spans="1:12" ht="15" customHeight="1">
      <c r="B117" s="370" t="s">
        <v>607</v>
      </c>
      <c r="E117" s="68">
        <f>FCFF!H85</f>
        <v>5270</v>
      </c>
      <c r="F117" s="68">
        <f>FCFF!N85</f>
        <v>5512</v>
      </c>
      <c r="G117" s="411">
        <f>FCFF!T85</f>
        <v>5405</v>
      </c>
      <c r="H117" s="66">
        <f>+H118*H62/365</f>
        <v>0</v>
      </c>
      <c r="I117" s="66">
        <f t="shared" ref="I117:L117" si="32">+I118*I62/365</f>
        <v>0</v>
      </c>
      <c r="J117" s="66">
        <f t="shared" si="32"/>
        <v>0</v>
      </c>
      <c r="K117" s="66">
        <f>+K118*K62/366</f>
        <v>0</v>
      </c>
      <c r="L117" s="66">
        <f t="shared" si="32"/>
        <v>0</v>
      </c>
    </row>
    <row r="118" spans="1:12" ht="15" customHeight="1">
      <c r="B118" s="31" t="s">
        <v>608</v>
      </c>
      <c r="E118" s="316">
        <f>FCFF!H86</f>
        <v>33.338821775828897</v>
      </c>
      <c r="F118" s="316">
        <f>FCFF!N86</f>
        <v>34.046571447911731</v>
      </c>
      <c r="G118" s="412">
        <f>FCFF!T86</f>
        <v>30.771060471355263</v>
      </c>
      <c r="H118" s="484"/>
      <c r="I118" s="484"/>
      <c r="J118" s="484"/>
      <c r="K118" s="484"/>
      <c r="L118" s="484"/>
    </row>
    <row r="119" spans="1:12" ht="15" customHeight="1">
      <c r="B119" s="370"/>
      <c r="E119" s="97"/>
      <c r="F119" s="97"/>
      <c r="G119" s="413"/>
      <c r="H119" s="485"/>
      <c r="I119" s="485"/>
      <c r="J119" s="485"/>
      <c r="K119" s="485"/>
      <c r="L119" s="485"/>
    </row>
    <row r="120" spans="1:12" ht="15" customHeight="1">
      <c r="B120" s="370" t="s">
        <v>609</v>
      </c>
      <c r="E120" s="68">
        <f>FCFF!H88</f>
        <v>10215</v>
      </c>
      <c r="F120" s="68">
        <f>FCFF!N88</f>
        <v>10919</v>
      </c>
      <c r="G120" s="411">
        <f>FCFF!T88</f>
        <v>13105</v>
      </c>
      <c r="H120" s="66">
        <f>+H121*H71</f>
        <v>0</v>
      </c>
      <c r="I120" s="66">
        <f t="shared" ref="I120:L120" si="33">+I121*I71</f>
        <v>0</v>
      </c>
      <c r="J120" s="66">
        <f t="shared" si="33"/>
        <v>0</v>
      </c>
      <c r="K120" s="66">
        <f t="shared" si="33"/>
        <v>0</v>
      </c>
      <c r="L120" s="66">
        <f t="shared" si="33"/>
        <v>0</v>
      </c>
    </row>
    <row r="121" spans="1:12" ht="15" customHeight="1">
      <c r="B121" s="31" t="s">
        <v>610</v>
      </c>
      <c r="E121" s="300" t="e">
        <f>FCFF!H89</f>
        <v>#DIV/0!</v>
      </c>
      <c r="F121" s="300" t="e">
        <f>FCFF!N89</f>
        <v>#DIV/0!</v>
      </c>
      <c r="G121" s="409" t="e">
        <f>FCFF!T89</f>
        <v>#DIV/0!</v>
      </c>
      <c r="H121" s="466"/>
      <c r="I121" s="466"/>
      <c r="J121" s="466"/>
      <c r="K121" s="466"/>
      <c r="L121" s="466"/>
    </row>
    <row r="122" spans="1:12" ht="15" customHeight="1">
      <c r="B122" s="370"/>
      <c r="C122" s="475"/>
      <c r="D122" s="475"/>
      <c r="E122" s="468"/>
      <c r="F122" s="468"/>
      <c r="G122" s="478"/>
      <c r="H122" s="486"/>
      <c r="I122" s="486"/>
      <c r="J122" s="486"/>
      <c r="K122" s="486"/>
      <c r="L122" s="486"/>
    </row>
    <row r="123" spans="1:12" ht="15" customHeight="1">
      <c r="A123" s="375" t="s">
        <v>41</v>
      </c>
      <c r="B123" s="367" t="s">
        <v>696</v>
      </c>
      <c r="C123" s="367"/>
      <c r="D123" s="367"/>
      <c r="E123" s="445">
        <f t="shared" ref="E123:L123" si="34">E57</f>
        <v>2022</v>
      </c>
      <c r="F123" s="445">
        <f t="shared" si="34"/>
        <v>2023</v>
      </c>
      <c r="G123" s="445">
        <f t="shared" si="34"/>
        <v>2024</v>
      </c>
      <c r="H123" s="446">
        <f t="shared" si="34"/>
        <v>2025</v>
      </c>
      <c r="I123" s="446">
        <f t="shared" si="34"/>
        <v>2026</v>
      </c>
      <c r="J123" s="446">
        <f t="shared" si="34"/>
        <v>2027</v>
      </c>
      <c r="K123" s="446">
        <f t="shared" si="34"/>
        <v>2028</v>
      </c>
      <c r="L123" s="446">
        <f t="shared" si="34"/>
        <v>2029</v>
      </c>
    </row>
    <row r="124" spans="1:12" ht="3.95" customHeight="1">
      <c r="B124" s="36"/>
      <c r="C124" s="36"/>
      <c r="D124" s="36"/>
      <c r="E124" s="487"/>
      <c r="F124" s="487"/>
      <c r="G124" s="487"/>
      <c r="H124" s="36"/>
      <c r="I124" s="36"/>
      <c r="J124" s="36"/>
      <c r="K124" s="36"/>
      <c r="L124" s="36"/>
    </row>
    <row r="125" spans="1:12" ht="15" customHeight="1">
      <c r="B125" s="370" t="s">
        <v>550</v>
      </c>
      <c r="E125" s="68">
        <f>FCFF!H94</f>
        <v>1404</v>
      </c>
      <c r="F125" s="68">
        <f>FCFF!N94</f>
        <v>1430</v>
      </c>
      <c r="G125" s="411">
        <f>FCFF!T94</f>
        <v>1559</v>
      </c>
      <c r="H125" s="488">
        <f>+H77+H65</f>
        <v>0</v>
      </c>
      <c r="I125" s="488">
        <f t="shared" ref="I125:L125" si="35">+I77+I65</f>
        <v>0</v>
      </c>
      <c r="J125" s="488">
        <f t="shared" si="35"/>
        <v>0</v>
      </c>
      <c r="K125" s="488">
        <f t="shared" si="35"/>
        <v>0</v>
      </c>
      <c r="L125" s="488">
        <f t="shared" si="35"/>
        <v>0</v>
      </c>
    </row>
    <row r="126" spans="1:12" ht="15" customHeight="1">
      <c r="B126" s="31" t="s">
        <v>551</v>
      </c>
      <c r="E126" s="300">
        <f>FCFF!H95</f>
        <v>6.2920139822532944E-2</v>
      </c>
      <c r="F126" s="300">
        <f>FCFF!N95</f>
        <v>6.3609270050264663E-2</v>
      </c>
      <c r="G126" s="409">
        <f>FCFF!T95</f>
        <v>6.8353209400210446E-2</v>
      </c>
      <c r="H126" s="489">
        <f>+H125/(H111+H114)</f>
        <v>0</v>
      </c>
      <c r="I126" s="489">
        <f>+I125/(I111+I114)</f>
        <v>0</v>
      </c>
      <c r="J126" s="489">
        <f>+J125/(J111+J114)</f>
        <v>0</v>
      </c>
      <c r="K126" s="489">
        <f>+K125/(K111+K114)</f>
        <v>0</v>
      </c>
      <c r="L126" s="489">
        <f>+L125/(L111+L114)</f>
        <v>0</v>
      </c>
    </row>
    <row r="127" spans="1:12" s="337" customFormat="1" ht="15" customHeight="1">
      <c r="A127" s="490"/>
      <c r="B127" s="97"/>
      <c r="C127" s="33"/>
      <c r="D127" s="33"/>
      <c r="E127" s="97"/>
      <c r="F127" s="97"/>
      <c r="G127" s="413"/>
      <c r="H127" s="33"/>
      <c r="I127" s="33"/>
      <c r="J127" s="33"/>
      <c r="K127" s="33"/>
      <c r="L127" s="33"/>
    </row>
    <row r="128" spans="1:12" ht="15" customHeight="1">
      <c r="B128" s="370" t="s">
        <v>616</v>
      </c>
      <c r="E128" s="68">
        <f>FCFF!H103</f>
        <v>-585</v>
      </c>
      <c r="F128" s="68">
        <f>FCFF!N103</f>
        <v>184</v>
      </c>
      <c r="G128" s="411">
        <f>FCFF!T103</f>
        <v>-163</v>
      </c>
      <c r="H128" s="491">
        <f>-((H102+H105+H108-H117-H120)-(G102+G105+G108-G117-G120))</f>
        <v>856</v>
      </c>
      <c r="I128" s="491">
        <f>-((I102+I105+I108-I117-I120)-(H102+H105+H108-H117-H120))</f>
        <v>0</v>
      </c>
      <c r="J128" s="491">
        <f>-((J102+J105+J108-J117-J120)-(I102+I105+I108-I117-I120))</f>
        <v>0</v>
      </c>
      <c r="K128" s="491">
        <f>-((K102+K105+K108-K117-K120)-(J102+J105+J108-J117-J120))</f>
        <v>0</v>
      </c>
      <c r="L128" s="491">
        <f>-((L102+L105+L108-L117-L120)-(K102+K105+K108-K117-K120))</f>
        <v>0</v>
      </c>
    </row>
    <row r="129" spans="1:12" ht="15" customHeight="1">
      <c r="B129" s="31" t="s">
        <v>617</v>
      </c>
      <c r="E129" s="300">
        <f>FCFF!H104</f>
        <v>-8.7256130302487914E-3</v>
      </c>
      <c r="F129" s="300">
        <f>FCFF!N104</f>
        <v>2.7885548011639186E-3</v>
      </c>
      <c r="G129" s="409">
        <f>FCFF!T104</f>
        <v>-2.4122774563052197E-3</v>
      </c>
      <c r="H129" s="449">
        <f>H128/(H59-G59)</f>
        <v>3.0685732926580083E-3</v>
      </c>
      <c r="I129" s="449">
        <f>I128/(I59-H59)</f>
        <v>0</v>
      </c>
      <c r="J129" s="449">
        <f>J128/(J59-I59)</f>
        <v>0</v>
      </c>
      <c r="K129" s="449">
        <f>K128/(K59-J59)</f>
        <v>0</v>
      </c>
      <c r="L129" s="449">
        <f>L128/(L59-K59)</f>
        <v>0</v>
      </c>
    </row>
    <row r="130" spans="1:12" ht="15" customHeight="1">
      <c r="B130" s="97"/>
      <c r="E130" s="97"/>
      <c r="F130" s="97"/>
      <c r="G130" s="413"/>
      <c r="H130" s="492"/>
      <c r="I130" s="492"/>
      <c r="J130" s="492"/>
      <c r="K130" s="492"/>
      <c r="L130" s="492"/>
    </row>
    <row r="131" spans="1:12" ht="15" customHeight="1">
      <c r="B131" s="370" t="s">
        <v>627</v>
      </c>
      <c r="E131" s="68">
        <f>FCFF!H106+FCFF!H109</f>
        <v>-1670</v>
      </c>
      <c r="F131" s="68">
        <f>FCFF!N106+FCFF!N109</f>
        <v>-1691</v>
      </c>
      <c r="G131" s="411">
        <f>FCFF!T106+FCFF!T109</f>
        <v>-1685</v>
      </c>
      <c r="H131" s="483">
        <f>-H132*H59</f>
        <v>0</v>
      </c>
      <c r="I131" s="483">
        <f t="shared" ref="I131:L131" si="36">-I132*I59</f>
        <v>0</v>
      </c>
      <c r="J131" s="483">
        <f t="shared" si="36"/>
        <v>0</v>
      </c>
      <c r="K131" s="483">
        <f t="shared" si="36"/>
        <v>0</v>
      </c>
      <c r="L131" s="483">
        <f t="shared" si="36"/>
        <v>0</v>
      </c>
    </row>
    <row r="132" spans="1:12" ht="15" customHeight="1">
      <c r="B132" s="31" t="s">
        <v>543</v>
      </c>
      <c r="E132" s="300">
        <f>FCFF!H107</f>
        <v>2.5309165858389913E-2</v>
      </c>
      <c r="F132" s="300">
        <f>FCFF!N107</f>
        <v>2.502552870314188E-2</v>
      </c>
      <c r="G132" s="409">
        <f>FCFF!T107</f>
        <v>2.3718029925538054E-2</v>
      </c>
      <c r="H132" s="466"/>
      <c r="I132" s="466"/>
      <c r="J132" s="466"/>
      <c r="K132" s="466"/>
      <c r="L132" s="466"/>
    </row>
    <row r="133" spans="1:12" ht="15" customHeight="1">
      <c r="B133" s="370"/>
      <c r="G133" s="493"/>
      <c r="H133" s="25"/>
      <c r="I133" s="25"/>
      <c r="J133" s="25"/>
      <c r="K133" s="25"/>
      <c r="L133" s="25"/>
    </row>
    <row r="134" spans="1:12" ht="15" customHeight="1">
      <c r="A134" s="375" t="s">
        <v>41</v>
      </c>
      <c r="B134" s="367" t="s">
        <v>697</v>
      </c>
      <c r="C134" s="367"/>
      <c r="D134" s="367"/>
      <c r="E134" s="445"/>
      <c r="F134" s="445"/>
      <c r="G134" s="494"/>
      <c r="H134" s="446">
        <f>H57</f>
        <v>2025</v>
      </c>
      <c r="I134" s="446">
        <f>I57</f>
        <v>2026</v>
      </c>
      <c r="J134" s="446">
        <f>J57</f>
        <v>2027</v>
      </c>
      <c r="K134" s="446">
        <f>K57</f>
        <v>2028</v>
      </c>
      <c r="L134" s="446">
        <f>L57</f>
        <v>2029</v>
      </c>
    </row>
    <row r="135" spans="1:12" ht="3.95" customHeight="1">
      <c r="B135" s="36"/>
      <c r="C135" s="36"/>
      <c r="D135" s="36"/>
      <c r="E135" s="36"/>
      <c r="F135" s="36"/>
      <c r="G135" s="495"/>
      <c r="H135" s="36"/>
      <c r="I135" s="36"/>
      <c r="J135" s="36"/>
      <c r="K135" s="36"/>
      <c r="L135" s="36"/>
    </row>
    <row r="136" spans="1:12" ht="15" customHeight="1">
      <c r="B136" s="370" t="s">
        <v>698</v>
      </c>
      <c r="G136" s="203"/>
      <c r="H136" s="488">
        <f>H97</f>
        <v>350000</v>
      </c>
      <c r="I136" s="488">
        <f t="shared" ref="I136:L136" si="37">I97</f>
        <v>352000</v>
      </c>
      <c r="J136" s="488">
        <f t="shared" si="37"/>
        <v>350000</v>
      </c>
      <c r="K136" s="488">
        <f t="shared" si="37"/>
        <v>352000</v>
      </c>
      <c r="L136" s="488">
        <f t="shared" si="37"/>
        <v>350000</v>
      </c>
    </row>
    <row r="137" spans="1:12" ht="15" customHeight="1">
      <c r="B137" s="370" t="s">
        <v>699</v>
      </c>
      <c r="E137" s="488"/>
      <c r="F137" s="488"/>
      <c r="G137" s="496"/>
      <c r="H137" s="488">
        <f>+H125</f>
        <v>0</v>
      </c>
      <c r="I137" s="488">
        <f>+I125</f>
        <v>0</v>
      </c>
      <c r="J137" s="488">
        <f>+J125</f>
        <v>0</v>
      </c>
      <c r="K137" s="488">
        <f>+K125</f>
        <v>0</v>
      </c>
      <c r="L137" s="488">
        <f>+L125</f>
        <v>0</v>
      </c>
    </row>
    <row r="138" spans="1:12" ht="15" customHeight="1">
      <c r="B138" s="370" t="s">
        <v>550</v>
      </c>
      <c r="E138" s="488"/>
      <c r="F138" s="488"/>
      <c r="G138" s="497"/>
      <c r="H138" s="488">
        <f>+H128</f>
        <v>856</v>
      </c>
      <c r="I138" s="488">
        <f>+I128</f>
        <v>0</v>
      </c>
      <c r="J138" s="488">
        <f>+J128</f>
        <v>0</v>
      </c>
      <c r="K138" s="488">
        <f>+K128</f>
        <v>0</v>
      </c>
      <c r="L138" s="488">
        <f>+L128</f>
        <v>0</v>
      </c>
    </row>
    <row r="139" spans="1:12" ht="15" customHeight="1">
      <c r="B139" s="370" t="s">
        <v>627</v>
      </c>
      <c r="E139" s="465"/>
      <c r="F139" s="465"/>
      <c r="G139" s="498"/>
      <c r="H139" s="488">
        <f>+H131</f>
        <v>0</v>
      </c>
      <c r="I139" s="488">
        <f>+I131</f>
        <v>0</v>
      </c>
      <c r="J139" s="488">
        <f>+J131</f>
        <v>0</v>
      </c>
      <c r="K139" s="488">
        <f>+K131</f>
        <v>0</v>
      </c>
      <c r="L139" s="488">
        <f>+L131</f>
        <v>0</v>
      </c>
    </row>
    <row r="140" spans="1:12" ht="15" customHeight="1">
      <c r="B140" s="499" t="s">
        <v>700</v>
      </c>
      <c r="C140" s="500"/>
      <c r="D140" s="500"/>
      <c r="E140" s="501"/>
      <c r="F140" s="501"/>
      <c r="G140" s="502"/>
      <c r="H140" s="501">
        <f>H136+H137+H138+H139</f>
        <v>350856</v>
      </c>
      <c r="I140" s="501">
        <f>I136+I137+I138+I139</f>
        <v>352000</v>
      </c>
      <c r="J140" s="501">
        <f>J136+J137+J138+J139</f>
        <v>350000</v>
      </c>
      <c r="K140" s="501">
        <f>K136+K137+K138+K139</f>
        <v>352000</v>
      </c>
      <c r="L140" s="503">
        <f>L136+L137+L138+L139</f>
        <v>350000</v>
      </c>
    </row>
    <row r="141" spans="1:12" ht="15" customHeight="1">
      <c r="G141" s="493"/>
    </row>
    <row r="142" spans="1:12" ht="15" customHeight="1">
      <c r="A142" s="375" t="s">
        <v>41</v>
      </c>
      <c r="B142" s="367" t="s">
        <v>701</v>
      </c>
      <c r="C142" s="367"/>
      <c r="D142" s="367"/>
      <c r="E142" s="445"/>
      <c r="F142" s="445"/>
      <c r="G142" s="494"/>
      <c r="H142" s="446">
        <f>H134</f>
        <v>2025</v>
      </c>
      <c r="I142" s="446">
        <f>I134</f>
        <v>2026</v>
      </c>
      <c r="J142" s="446">
        <f>J134</f>
        <v>2027</v>
      </c>
      <c r="K142" s="446">
        <f>K134</f>
        <v>2028</v>
      </c>
      <c r="L142" s="446">
        <f>L134</f>
        <v>2029</v>
      </c>
    </row>
    <row r="143" spans="1:12" ht="3.95" customHeight="1">
      <c r="B143" s="36"/>
      <c r="C143" s="36"/>
      <c r="D143" s="36"/>
      <c r="E143" s="36"/>
      <c r="F143" s="36"/>
      <c r="G143" s="495"/>
      <c r="H143" s="36"/>
      <c r="I143" s="36"/>
      <c r="J143" s="36"/>
      <c r="K143" s="36"/>
      <c r="L143" s="36"/>
    </row>
    <row r="144" spans="1:12" ht="15" customHeight="1">
      <c r="B144" s="368" t="s">
        <v>666</v>
      </c>
      <c r="C144" s="415"/>
      <c r="D144" s="415"/>
      <c r="E144" s="415"/>
      <c r="F144" s="415"/>
      <c r="G144" s="504"/>
    </row>
    <row r="145" spans="2:12" ht="15" customHeight="1">
      <c r="B145" s="505" t="s">
        <v>702</v>
      </c>
      <c r="C145" s="415"/>
      <c r="D145" s="415"/>
      <c r="E145" s="415"/>
      <c r="F145" s="415"/>
      <c r="G145" s="504"/>
      <c r="H145" s="483">
        <f>G148</f>
        <v>0</v>
      </c>
      <c r="I145" s="483">
        <f t="shared" ref="I145:L145" si="38">H148</f>
        <v>0</v>
      </c>
      <c r="J145" s="483">
        <f t="shared" si="38"/>
        <v>0</v>
      </c>
      <c r="K145" s="483">
        <f t="shared" si="38"/>
        <v>0</v>
      </c>
      <c r="L145" s="483">
        <f t="shared" si="38"/>
        <v>0</v>
      </c>
    </row>
    <row r="146" spans="2:12" ht="15" customHeight="1">
      <c r="B146" s="505" t="s">
        <v>662</v>
      </c>
      <c r="C146" s="415"/>
      <c r="D146" s="415"/>
      <c r="E146" s="415"/>
      <c r="F146" s="415"/>
      <c r="G146" s="504"/>
      <c r="H146" s="483">
        <f>H145*$J$11</f>
        <v>0</v>
      </c>
      <c r="I146" s="483">
        <f t="shared" ref="I146:L146" si="39">I145*$J$11</f>
        <v>0</v>
      </c>
      <c r="J146" s="483">
        <f t="shared" si="39"/>
        <v>0</v>
      </c>
      <c r="K146" s="483">
        <f t="shared" si="39"/>
        <v>0</v>
      </c>
      <c r="L146" s="483">
        <f t="shared" si="39"/>
        <v>0</v>
      </c>
    </row>
    <row r="147" spans="2:12" ht="15" customHeight="1">
      <c r="B147" s="505" t="s">
        <v>703</v>
      </c>
      <c r="C147" s="415"/>
      <c r="D147" s="415"/>
      <c r="E147" s="415"/>
      <c r="F147" s="415"/>
      <c r="G147" s="504"/>
      <c r="H147" s="483">
        <f>MIN(H140,H145)</f>
        <v>0</v>
      </c>
      <c r="I147" s="483">
        <f t="shared" ref="I147:L147" si="40">MIN(I140,I145)</f>
        <v>0</v>
      </c>
      <c r="J147" s="483">
        <f t="shared" si="40"/>
        <v>0</v>
      </c>
      <c r="K147" s="483">
        <f t="shared" si="40"/>
        <v>0</v>
      </c>
      <c r="L147" s="483">
        <f t="shared" si="40"/>
        <v>0</v>
      </c>
    </row>
    <row r="148" spans="2:12" ht="15" customHeight="1">
      <c r="B148" s="506" t="s">
        <v>704</v>
      </c>
      <c r="C148" s="500"/>
      <c r="D148" s="500"/>
      <c r="E148" s="501"/>
      <c r="F148" s="501"/>
      <c r="G148" s="502">
        <f>L11</f>
        <v>0</v>
      </c>
      <c r="H148" s="501">
        <f>H145-H147</f>
        <v>0</v>
      </c>
      <c r="I148" s="501">
        <f t="shared" ref="I148:L148" si="41">I145-I147</f>
        <v>0</v>
      </c>
      <c r="J148" s="501">
        <f t="shared" si="41"/>
        <v>0</v>
      </c>
      <c r="K148" s="501">
        <f t="shared" si="41"/>
        <v>0</v>
      </c>
      <c r="L148" s="503">
        <f t="shared" si="41"/>
        <v>0</v>
      </c>
    </row>
    <row r="149" spans="2:12" ht="15" customHeight="1">
      <c r="B149" s="507"/>
      <c r="E149" s="483"/>
      <c r="F149" s="483"/>
      <c r="G149" s="508"/>
      <c r="H149" s="483"/>
      <c r="I149" s="483"/>
      <c r="J149" s="483"/>
      <c r="K149" s="483"/>
      <c r="L149" s="483"/>
    </row>
    <row r="150" spans="2:12" ht="15" customHeight="1">
      <c r="B150" s="368" t="s">
        <v>668</v>
      </c>
      <c r="C150" s="415"/>
      <c r="D150" s="415"/>
      <c r="E150" s="415"/>
      <c r="F150" s="415"/>
      <c r="G150" s="504"/>
      <c r="H150" s="483"/>
    </row>
    <row r="151" spans="2:12" ht="15" customHeight="1">
      <c r="B151" s="505" t="s">
        <v>702</v>
      </c>
      <c r="C151" s="415"/>
      <c r="D151" s="415"/>
      <c r="E151" s="415"/>
      <c r="F151" s="415"/>
      <c r="G151" s="504"/>
      <c r="H151" s="483">
        <f>G154</f>
        <v>0</v>
      </c>
      <c r="I151" s="483">
        <f t="shared" ref="I151:L151" si="42">H154</f>
        <v>0</v>
      </c>
      <c r="J151" s="483">
        <f t="shared" si="42"/>
        <v>0</v>
      </c>
      <c r="K151" s="483">
        <f t="shared" si="42"/>
        <v>0</v>
      </c>
      <c r="L151" s="483">
        <f t="shared" si="42"/>
        <v>0</v>
      </c>
    </row>
    <row r="152" spans="2:12" ht="15" customHeight="1">
      <c r="B152" s="505" t="s">
        <v>662</v>
      </c>
      <c r="C152" s="415"/>
      <c r="D152" s="415"/>
      <c r="E152" s="415"/>
      <c r="F152" s="415"/>
      <c r="G152" s="504"/>
      <c r="H152" s="483">
        <f>H151*$J$12</f>
        <v>0</v>
      </c>
      <c r="I152" s="483">
        <f t="shared" ref="I152:L152" si="43">I151*$J$12</f>
        <v>0</v>
      </c>
      <c r="J152" s="483">
        <f t="shared" si="43"/>
        <v>0</v>
      </c>
      <c r="K152" s="483">
        <f t="shared" si="43"/>
        <v>0</v>
      </c>
      <c r="L152" s="483">
        <f t="shared" si="43"/>
        <v>0</v>
      </c>
    </row>
    <row r="153" spans="2:12" ht="15" customHeight="1">
      <c r="B153" s="505" t="s">
        <v>703</v>
      </c>
      <c r="C153" s="415"/>
      <c r="D153" s="415"/>
      <c r="E153" s="415"/>
      <c r="F153" s="415"/>
      <c r="G153" s="504"/>
      <c r="H153" s="483">
        <f>MIN(H151,H140-H147)</f>
        <v>0</v>
      </c>
      <c r="I153" s="483">
        <f>MIN(I151,I140-I147)</f>
        <v>0</v>
      </c>
      <c r="J153" s="483">
        <f t="shared" ref="J153:K153" si="44">MIN(J151,J140-J147)</f>
        <v>0</v>
      </c>
      <c r="K153" s="483">
        <f t="shared" si="44"/>
        <v>0</v>
      </c>
      <c r="L153" s="483">
        <f>MIN(L151,L140-L147)</f>
        <v>0</v>
      </c>
    </row>
    <row r="154" spans="2:12" ht="15" customHeight="1">
      <c r="B154" s="506" t="s">
        <v>704</v>
      </c>
      <c r="C154" s="500"/>
      <c r="D154" s="500"/>
      <c r="E154" s="501"/>
      <c r="F154" s="501"/>
      <c r="G154" s="502">
        <f>L12</f>
        <v>0</v>
      </c>
      <c r="H154" s="501">
        <f>H151-H153</f>
        <v>0</v>
      </c>
      <c r="I154" s="501">
        <f t="shared" ref="I154:L154" si="45">I151-I153</f>
        <v>0</v>
      </c>
      <c r="J154" s="501">
        <f t="shared" si="45"/>
        <v>0</v>
      </c>
      <c r="K154" s="501">
        <f t="shared" si="45"/>
        <v>0</v>
      </c>
      <c r="L154" s="503">
        <f t="shared" si="45"/>
        <v>0</v>
      </c>
    </row>
    <row r="155" spans="2:12" ht="15" customHeight="1">
      <c r="B155" s="507"/>
      <c r="E155" s="483"/>
      <c r="F155" s="483"/>
      <c r="G155" s="508"/>
      <c r="H155" s="483"/>
      <c r="I155" s="483"/>
      <c r="J155" s="483"/>
      <c r="K155" s="483"/>
      <c r="L155" s="483"/>
    </row>
    <row r="156" spans="2:12" ht="15" customHeight="1">
      <c r="B156" s="368" t="s">
        <v>705</v>
      </c>
      <c r="G156" s="493"/>
    </row>
    <row r="157" spans="2:12" ht="15" customHeight="1">
      <c r="B157" s="505" t="s">
        <v>702</v>
      </c>
      <c r="G157" s="493"/>
      <c r="H157" s="483">
        <f>G160</f>
        <v>0</v>
      </c>
      <c r="I157" s="483">
        <f t="shared" ref="I157:L157" si="46">H160</f>
        <v>0</v>
      </c>
      <c r="J157" s="483">
        <f t="shared" si="46"/>
        <v>0</v>
      </c>
      <c r="K157" s="483">
        <f t="shared" si="46"/>
        <v>0</v>
      </c>
      <c r="L157" s="483">
        <f t="shared" si="46"/>
        <v>0</v>
      </c>
    </row>
    <row r="158" spans="2:12" ht="15" customHeight="1">
      <c r="B158" s="505" t="s">
        <v>662</v>
      </c>
      <c r="G158" s="493"/>
      <c r="H158" s="483">
        <f>H157*$J$13</f>
        <v>0</v>
      </c>
      <c r="I158" s="483">
        <f t="shared" ref="I158:L158" si="47">I157*$J$13</f>
        <v>0</v>
      </c>
      <c r="J158" s="483">
        <f t="shared" si="47"/>
        <v>0</v>
      </c>
      <c r="K158" s="483">
        <f t="shared" si="47"/>
        <v>0</v>
      </c>
      <c r="L158" s="483">
        <f t="shared" si="47"/>
        <v>0</v>
      </c>
    </row>
    <row r="159" spans="2:12" ht="15" customHeight="1">
      <c r="B159" s="505" t="s">
        <v>703</v>
      </c>
      <c r="G159" s="493"/>
      <c r="H159" s="483">
        <f>MIN(H157,H140-H147-H153)</f>
        <v>0</v>
      </c>
      <c r="I159" s="483">
        <f t="shared" ref="I159:L159" si="48">MIN(I157,I140-I147-I153)</f>
        <v>0</v>
      </c>
      <c r="J159" s="483">
        <f t="shared" si="48"/>
        <v>0</v>
      </c>
      <c r="K159" s="483">
        <f t="shared" si="48"/>
        <v>0</v>
      </c>
      <c r="L159" s="483">
        <f t="shared" si="48"/>
        <v>0</v>
      </c>
    </row>
    <row r="160" spans="2:12" ht="15" customHeight="1">
      <c r="B160" s="506" t="s">
        <v>704</v>
      </c>
      <c r="C160" s="500"/>
      <c r="D160" s="500"/>
      <c r="E160" s="501"/>
      <c r="F160" s="501"/>
      <c r="G160" s="502">
        <f>L13</f>
        <v>0</v>
      </c>
      <c r="H160" s="501">
        <f>H157-H159</f>
        <v>0</v>
      </c>
      <c r="I160" s="501">
        <f t="shared" ref="I160:L160" si="49">I157-I159</f>
        <v>0</v>
      </c>
      <c r="J160" s="501">
        <f t="shared" si="49"/>
        <v>0</v>
      </c>
      <c r="K160" s="501">
        <f t="shared" si="49"/>
        <v>0</v>
      </c>
      <c r="L160" s="503">
        <f t="shared" si="49"/>
        <v>0</v>
      </c>
    </row>
    <row r="161" spans="1:12" ht="15" customHeight="1">
      <c r="G161" s="671"/>
    </row>
    <row r="162" spans="1:12" ht="15" customHeight="1">
      <c r="B162" s="368" t="s">
        <v>706</v>
      </c>
      <c r="G162" s="493"/>
    </row>
    <row r="163" spans="1:12" ht="15" customHeight="1">
      <c r="B163" s="505" t="s">
        <v>702</v>
      </c>
      <c r="G163" s="493"/>
      <c r="H163" s="483">
        <f>H145+H151+H157</f>
        <v>0</v>
      </c>
      <c r="I163" s="483">
        <f t="shared" ref="I163:L163" si="50">I145+I151+I157</f>
        <v>0</v>
      </c>
      <c r="J163" s="483">
        <f t="shared" si="50"/>
        <v>0</v>
      </c>
      <c r="K163" s="483">
        <f t="shared" si="50"/>
        <v>0</v>
      </c>
      <c r="L163" s="483">
        <f t="shared" si="50"/>
        <v>0</v>
      </c>
    </row>
    <row r="164" spans="1:12" ht="15" customHeight="1">
      <c r="B164" s="505" t="s">
        <v>662</v>
      </c>
      <c r="G164" s="493"/>
      <c r="H164" s="483">
        <f>H146+H152+H158</f>
        <v>0</v>
      </c>
      <c r="I164" s="483">
        <f t="shared" ref="I164:L164" si="51">I146+I152+I158</f>
        <v>0</v>
      </c>
      <c r="J164" s="483">
        <f t="shared" si="51"/>
        <v>0</v>
      </c>
      <c r="K164" s="483">
        <f t="shared" si="51"/>
        <v>0</v>
      </c>
      <c r="L164" s="483">
        <f t="shared" si="51"/>
        <v>0</v>
      </c>
    </row>
    <row r="165" spans="1:12" ht="15" customHeight="1">
      <c r="B165" s="505" t="s">
        <v>703</v>
      </c>
      <c r="G165" s="493"/>
      <c r="H165" s="483">
        <f>H147+H153+H159</f>
        <v>0</v>
      </c>
      <c r="I165" s="483">
        <f t="shared" ref="I165:L165" si="52">I147+I153+I159</f>
        <v>0</v>
      </c>
      <c r="J165" s="483">
        <f t="shared" si="52"/>
        <v>0</v>
      </c>
      <c r="K165" s="483">
        <f t="shared" si="52"/>
        <v>0</v>
      </c>
      <c r="L165" s="483">
        <f t="shared" si="52"/>
        <v>0</v>
      </c>
    </row>
    <row r="166" spans="1:12" ht="15" customHeight="1">
      <c r="B166" s="506" t="s">
        <v>704</v>
      </c>
      <c r="C166" s="500"/>
      <c r="D166" s="500"/>
      <c r="E166" s="501"/>
      <c r="F166" s="501"/>
      <c r="G166" s="502">
        <f>G148+G154+G160</f>
        <v>0</v>
      </c>
      <c r="H166" s="501">
        <f>H148+H154+H160</f>
        <v>0</v>
      </c>
      <c r="I166" s="501">
        <f t="shared" ref="I166:K166" si="53">I148+I154+I160</f>
        <v>0</v>
      </c>
      <c r="J166" s="501">
        <f t="shared" si="53"/>
        <v>0</v>
      </c>
      <c r="K166" s="501">
        <f t="shared" si="53"/>
        <v>0</v>
      </c>
      <c r="L166" s="503">
        <f>L148+L154+L160</f>
        <v>0</v>
      </c>
    </row>
    <row r="167" spans="1:12" s="337" customFormat="1" ht="15" customHeight="1">
      <c r="A167" s="490"/>
      <c r="B167" s="33"/>
      <c r="C167" s="33"/>
      <c r="D167" s="33"/>
      <c r="E167" s="33"/>
      <c r="F167" s="33"/>
      <c r="G167" s="33"/>
      <c r="H167" s="33"/>
      <c r="I167" s="33"/>
      <c r="J167" s="33"/>
      <c r="K167" s="33"/>
      <c r="L167" s="33"/>
    </row>
    <row r="168" spans="1:12" s="337" customFormat="1" ht="15" customHeight="1">
      <c r="A168" s="490"/>
      <c r="B168" s="367" t="s">
        <v>676</v>
      </c>
      <c r="C168" s="367"/>
      <c r="D168" s="367"/>
      <c r="E168" s="367"/>
      <c r="F168" s="367"/>
      <c r="G168" s="367"/>
      <c r="H168" s="367"/>
      <c r="I168" s="367"/>
      <c r="J168" s="367"/>
      <c r="K168" s="367"/>
      <c r="L168" s="367"/>
    </row>
    <row r="169" spans="1:12" s="337" customFormat="1" ht="15" customHeight="1">
      <c r="A169" s="490"/>
      <c r="B169" s="367"/>
      <c r="C169" s="367"/>
      <c r="D169" s="367"/>
      <c r="E169" s="367"/>
      <c r="F169" s="367"/>
      <c r="G169" s="367"/>
      <c r="H169" s="367"/>
      <c r="I169" s="367"/>
      <c r="J169" s="367"/>
      <c r="K169" s="367"/>
      <c r="L169" s="367"/>
    </row>
    <row r="170" spans="1:12" ht="15" customHeight="1">
      <c r="A170" s="375" t="s">
        <v>41</v>
      </c>
      <c r="B170" s="367"/>
      <c r="C170" s="367"/>
      <c r="D170" s="367"/>
      <c r="E170" s="445"/>
      <c r="F170" s="445"/>
      <c r="G170" s="445"/>
      <c r="H170" s="446"/>
      <c r="I170" s="446"/>
      <c r="J170" s="446"/>
      <c r="K170" s="446"/>
      <c r="L170" s="446"/>
    </row>
    <row r="171" spans="1:12" ht="3.95" customHeight="1">
      <c r="B171" s="36"/>
      <c r="C171" s="36"/>
      <c r="D171" s="36"/>
      <c r="E171" s="36"/>
      <c r="F171" s="36"/>
      <c r="G171" s="36"/>
      <c r="H171" s="36"/>
      <c r="I171" s="36"/>
      <c r="J171" s="36"/>
      <c r="K171" s="36"/>
      <c r="L171" s="36"/>
    </row>
    <row r="172" spans="1:12" ht="15" customHeight="1">
      <c r="B172" s="370" t="s">
        <v>707</v>
      </c>
      <c r="L172" s="418">
        <f>(L77+L86)</f>
        <v>350000</v>
      </c>
    </row>
    <row r="173" spans="1:12" ht="15" customHeight="1">
      <c r="B173" s="509" t="s">
        <v>678</v>
      </c>
      <c r="C173" s="348"/>
      <c r="D173" s="348"/>
      <c r="E173" s="348"/>
      <c r="F173" s="348"/>
      <c r="G173" s="348"/>
      <c r="H173" s="348"/>
      <c r="I173" s="348"/>
      <c r="J173" s="348"/>
      <c r="K173" s="348"/>
      <c r="L173" s="510">
        <f>E20</f>
        <v>0</v>
      </c>
    </row>
    <row r="174" spans="1:12" ht="15" customHeight="1">
      <c r="B174" s="370" t="s">
        <v>669</v>
      </c>
      <c r="L174" s="48">
        <f>L172*L173</f>
        <v>0</v>
      </c>
    </row>
    <row r="175" spans="1:12" ht="15" customHeight="1">
      <c r="B175" s="370" t="s">
        <v>708</v>
      </c>
      <c r="L175" s="418">
        <f>L166</f>
        <v>0</v>
      </c>
    </row>
    <row r="176" spans="1:12" ht="15" customHeight="1">
      <c r="B176" s="370" t="s">
        <v>709</v>
      </c>
      <c r="L176" s="24">
        <f>L174-L175</f>
        <v>0</v>
      </c>
    </row>
    <row r="178" spans="2:12" ht="15" customHeight="1">
      <c r="B178" s="370" t="s">
        <v>710</v>
      </c>
      <c r="L178" s="418">
        <f>C32</f>
        <v>0</v>
      </c>
    </row>
    <row r="179" spans="2:12" ht="15" customHeight="1">
      <c r="B179" s="370"/>
    </row>
    <row r="180" spans="2:12" ht="15" customHeight="1">
      <c r="B180" s="511" t="s">
        <v>674</v>
      </c>
      <c r="C180" s="512"/>
      <c r="D180" s="512"/>
      <c r="E180" s="512"/>
      <c r="F180" s="512"/>
      <c r="G180" s="512"/>
      <c r="H180" s="512"/>
      <c r="I180" s="512"/>
      <c r="J180" s="512"/>
      <c r="K180" s="512"/>
      <c r="L180" s="513" t="e">
        <f>L176/L178</f>
        <v>#DIV/0!</v>
      </c>
    </row>
    <row r="181" spans="2:12" ht="15" customHeight="1">
      <c r="B181" s="514" t="s">
        <v>676</v>
      </c>
      <c r="C181" s="515"/>
      <c r="D181" s="515"/>
      <c r="E181" s="515"/>
      <c r="F181" s="515"/>
      <c r="G181" s="515"/>
      <c r="H181" s="515"/>
      <c r="I181" s="515"/>
      <c r="J181" s="515"/>
      <c r="K181" s="515"/>
      <c r="L181" s="516" t="e">
        <f>L180^(1/5)-1</f>
        <v>#DIV/0!</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27BB-C727-4554-A9ED-A855205D46AF}">
  <sheetPr>
    <tabColor theme="4" tint="-0.249977111117893"/>
  </sheetPr>
  <dimension ref="B1:AQ54"/>
  <sheetViews>
    <sheetView showGridLines="0" topLeftCell="F20" zoomScaleNormal="100" workbookViewId="0">
      <selection activeCell="U49" sqref="U49"/>
    </sheetView>
  </sheetViews>
  <sheetFormatPr defaultColWidth="9" defaultRowHeight="15" customHeight="1"/>
  <cols>
    <col min="1" max="1" width="2.125" style="23" customWidth="1"/>
    <col min="2" max="19" width="9" style="23"/>
    <col min="20" max="20" width="9" style="23" customWidth="1"/>
    <col min="21" max="24" width="9.125" style="23" customWidth="1"/>
    <col min="25" max="25" width="9.375" style="23" bestFit="1" customWidth="1"/>
    <col min="26" max="26" width="9.125" style="23" bestFit="1" customWidth="1"/>
    <col min="27" max="16384" width="9" style="23"/>
  </cols>
  <sheetData>
    <row r="1" spans="2:43" s="573" customFormat="1" ht="15" customHeight="1"/>
    <row r="2" spans="2:43" s="573" customFormat="1" ht="15" customHeight="1"/>
    <row r="3" spans="2:43" s="573" customFormat="1" ht="15" customHeight="1"/>
    <row r="4" spans="2:43" s="573" customFormat="1" ht="15" customHeight="1"/>
    <row r="5" spans="2:43" s="36" customFormat="1" ht="3.95" customHeight="1"/>
    <row r="7" spans="2:43" ht="15" customHeight="1">
      <c r="B7" s="367" t="s">
        <v>711</v>
      </c>
      <c r="C7" s="184"/>
      <c r="D7" s="184"/>
      <c r="E7" s="184"/>
      <c r="F7" s="184"/>
      <c r="G7" s="184"/>
      <c r="H7" s="184"/>
      <c r="I7" s="184"/>
      <c r="J7" s="184"/>
      <c r="K7" s="184"/>
      <c r="L7" s="184"/>
      <c r="M7" s="184"/>
      <c r="N7" s="184"/>
      <c r="O7" s="184"/>
      <c r="P7" s="184"/>
      <c r="R7" s="367" t="s">
        <v>712</v>
      </c>
      <c r="S7" s="184"/>
      <c r="T7" s="184"/>
      <c r="U7" s="184"/>
      <c r="V7" s="184"/>
      <c r="W7" s="184"/>
      <c r="X7" s="184"/>
      <c r="Y7" s="184"/>
      <c r="Z7" s="184"/>
    </row>
    <row r="8" spans="2:43" ht="15" customHeight="1">
      <c r="B8" s="184"/>
      <c r="C8" s="184"/>
      <c r="D8" s="184"/>
      <c r="E8" s="184"/>
      <c r="F8" s="184"/>
      <c r="G8" s="184"/>
      <c r="H8" s="184"/>
      <c r="I8" s="184"/>
      <c r="J8" s="184"/>
      <c r="K8" s="184"/>
      <c r="L8" s="184"/>
      <c r="M8" s="184"/>
      <c r="N8" s="184"/>
      <c r="O8" s="184"/>
      <c r="P8" s="184"/>
      <c r="R8" s="184"/>
      <c r="S8" s="184"/>
      <c r="T8" s="184"/>
      <c r="U8" s="184"/>
      <c r="V8" s="184"/>
      <c r="W8" s="184"/>
      <c r="X8" s="184"/>
      <c r="Y8" s="184"/>
      <c r="Z8" s="184"/>
    </row>
    <row r="9" spans="2:43" ht="15" customHeight="1">
      <c r="B9" s="184"/>
      <c r="C9" s="184"/>
      <c r="D9" s="184"/>
      <c r="E9" s="184"/>
      <c r="F9" s="184"/>
      <c r="G9" s="184"/>
      <c r="H9" s="184"/>
      <c r="I9" s="184"/>
      <c r="J9" s="184"/>
      <c r="K9" s="184"/>
      <c r="L9" s="184"/>
      <c r="M9" s="184"/>
      <c r="N9" s="184"/>
      <c r="O9" s="184"/>
      <c r="P9" s="184"/>
      <c r="R9" s="184"/>
      <c r="S9" s="184"/>
      <c r="T9" s="184"/>
      <c r="U9" s="184"/>
      <c r="V9" s="184"/>
      <c r="W9" s="184"/>
      <c r="X9" s="184"/>
      <c r="Y9" s="184"/>
      <c r="Z9" s="184"/>
    </row>
    <row r="10" spans="2:43" ht="3.95" customHeight="1">
      <c r="B10" s="36"/>
      <c r="C10" s="36"/>
      <c r="D10" s="36"/>
      <c r="E10" s="36"/>
      <c r="F10" s="36"/>
      <c r="G10" s="36"/>
      <c r="H10" s="36"/>
      <c r="I10" s="36"/>
      <c r="J10" s="36"/>
      <c r="K10" s="36"/>
      <c r="L10" s="36"/>
      <c r="M10" s="36"/>
      <c r="N10" s="36"/>
      <c r="O10" s="36"/>
      <c r="P10" s="36"/>
      <c r="R10" s="36"/>
      <c r="S10" s="36"/>
      <c r="T10" s="36"/>
      <c r="U10" s="36"/>
      <c r="V10" s="36"/>
      <c r="W10" s="36"/>
      <c r="X10" s="36"/>
      <c r="Y10" s="36"/>
      <c r="Z10" s="36"/>
    </row>
    <row r="14" spans="2:43" ht="15" customHeight="1">
      <c r="AA14" s="25"/>
      <c r="AB14" s="25"/>
      <c r="AC14" s="25"/>
      <c r="AD14" s="25"/>
      <c r="AE14" s="25"/>
      <c r="AF14" s="25"/>
      <c r="AG14" s="25"/>
      <c r="AH14" s="25"/>
      <c r="AI14" s="25"/>
      <c r="AJ14" s="25"/>
      <c r="AK14" s="25"/>
      <c r="AL14" s="25"/>
      <c r="AM14" s="25"/>
      <c r="AN14" s="25"/>
      <c r="AO14" s="25"/>
      <c r="AP14" s="25"/>
      <c r="AQ14" s="25"/>
    </row>
    <row r="15" spans="2:43" ht="15" customHeight="1">
      <c r="AA15" s="25"/>
      <c r="AB15" s="25"/>
      <c r="AC15" s="25"/>
      <c r="AD15" s="25"/>
      <c r="AE15" s="25"/>
      <c r="AF15" s="25"/>
      <c r="AG15" s="25"/>
      <c r="AH15" s="25"/>
      <c r="AI15" s="25"/>
      <c r="AJ15" s="25"/>
      <c r="AK15" s="25"/>
      <c r="AL15" s="25"/>
      <c r="AM15" s="25"/>
      <c r="AN15" s="25"/>
      <c r="AO15" s="25"/>
      <c r="AP15" s="25"/>
      <c r="AQ15" s="25"/>
    </row>
    <row r="16" spans="2:43" ht="15" customHeight="1">
      <c r="AA16" s="25"/>
      <c r="AB16" s="25"/>
      <c r="AC16" s="25"/>
      <c r="AD16" s="25"/>
      <c r="AE16" s="25"/>
      <c r="AF16" s="25"/>
      <c r="AG16" s="25"/>
      <c r="AH16" s="25"/>
      <c r="AI16" s="25"/>
      <c r="AJ16" s="25"/>
      <c r="AK16" s="25"/>
      <c r="AL16" s="25"/>
      <c r="AM16" s="25"/>
      <c r="AN16" s="25"/>
      <c r="AO16" s="25"/>
      <c r="AP16" s="25"/>
      <c r="AQ16" s="25"/>
    </row>
    <row r="17" spans="18:43" ht="15" customHeight="1">
      <c r="AA17" s="25"/>
      <c r="AB17" s="25"/>
      <c r="AC17" s="25"/>
      <c r="AD17" s="25"/>
      <c r="AE17" s="25"/>
      <c r="AF17" s="25"/>
      <c r="AG17" s="25"/>
      <c r="AH17" s="25"/>
      <c r="AI17" s="25"/>
      <c r="AJ17" s="25"/>
      <c r="AK17" s="25"/>
      <c r="AL17" s="25"/>
      <c r="AM17" s="25"/>
      <c r="AN17" s="25"/>
      <c r="AO17" s="25"/>
      <c r="AP17" s="25"/>
      <c r="AQ17" s="25"/>
    </row>
    <row r="18" spans="18:43" ht="15" customHeight="1">
      <c r="AA18" s="25"/>
      <c r="AB18" s="25"/>
      <c r="AC18" s="25"/>
      <c r="AD18" s="25"/>
      <c r="AE18" s="25"/>
      <c r="AF18" s="25"/>
      <c r="AG18" s="25"/>
      <c r="AH18" s="25"/>
      <c r="AI18" s="25"/>
      <c r="AJ18" s="25"/>
      <c r="AK18" s="25"/>
      <c r="AL18" s="25"/>
      <c r="AM18" s="25"/>
      <c r="AN18" s="25"/>
      <c r="AO18" s="25"/>
      <c r="AP18" s="25"/>
      <c r="AQ18" s="25"/>
    </row>
    <row r="19" spans="18:43" ht="15" customHeight="1">
      <c r="AA19" s="25"/>
      <c r="AB19" s="25"/>
      <c r="AC19" s="25"/>
      <c r="AD19" s="25"/>
      <c r="AE19" s="25"/>
      <c r="AF19" s="25"/>
      <c r="AG19" s="25"/>
      <c r="AH19" s="25"/>
      <c r="AI19" s="25"/>
      <c r="AJ19" s="25"/>
      <c r="AK19" s="25"/>
      <c r="AL19" s="25"/>
      <c r="AM19" s="25"/>
      <c r="AN19" s="25"/>
      <c r="AO19" s="25"/>
      <c r="AP19" s="25"/>
      <c r="AQ19" s="25"/>
    </row>
    <row r="20" spans="18:43" ht="15" customHeight="1">
      <c r="AA20" s="25"/>
      <c r="AB20" s="25"/>
      <c r="AC20" s="25"/>
      <c r="AD20" s="25"/>
      <c r="AE20" s="25"/>
      <c r="AF20" s="25"/>
      <c r="AG20" s="25"/>
      <c r="AH20" s="25"/>
      <c r="AI20" s="25"/>
      <c r="AJ20" s="25"/>
      <c r="AK20" s="25"/>
      <c r="AL20" s="25"/>
      <c r="AM20" s="25"/>
      <c r="AN20" s="25"/>
      <c r="AO20" s="25"/>
      <c r="AP20" s="25"/>
      <c r="AQ20" s="25"/>
    </row>
    <row r="21" spans="18:43" ht="15" customHeight="1">
      <c r="AA21" s="25"/>
      <c r="AB21" s="25"/>
      <c r="AC21" s="25"/>
      <c r="AD21" s="25"/>
      <c r="AE21" s="25"/>
      <c r="AF21" s="25"/>
      <c r="AG21" s="25"/>
      <c r="AH21" s="25"/>
      <c r="AI21" s="25"/>
      <c r="AJ21" s="25"/>
      <c r="AK21" s="25"/>
      <c r="AL21" s="25"/>
      <c r="AM21" s="25"/>
      <c r="AN21" s="25"/>
      <c r="AO21" s="25"/>
      <c r="AP21" s="25"/>
      <c r="AQ21" s="25"/>
    </row>
    <row r="22" spans="18:43" ht="15" customHeight="1">
      <c r="AA22" s="25"/>
      <c r="AB22" s="25"/>
      <c r="AC22" s="25"/>
      <c r="AD22" s="25"/>
      <c r="AE22" s="25"/>
      <c r="AF22" s="25"/>
      <c r="AG22" s="25"/>
      <c r="AH22" s="25"/>
      <c r="AI22" s="25"/>
      <c r="AJ22" s="25"/>
      <c r="AK22" s="25"/>
      <c r="AL22" s="25"/>
      <c r="AM22" s="25"/>
      <c r="AN22" s="25"/>
      <c r="AO22" s="25"/>
      <c r="AP22" s="25"/>
      <c r="AQ22" s="25"/>
    </row>
    <row r="23" spans="18:43" ht="15" customHeight="1">
      <c r="AA23" s="25"/>
      <c r="AB23" s="25"/>
      <c r="AC23" s="25"/>
      <c r="AD23" s="25"/>
      <c r="AE23" s="25"/>
      <c r="AF23" s="25"/>
      <c r="AG23" s="25"/>
      <c r="AH23" s="25"/>
      <c r="AI23" s="25"/>
      <c r="AJ23" s="25"/>
      <c r="AK23" s="25"/>
      <c r="AL23" s="25"/>
      <c r="AM23" s="25"/>
      <c r="AN23" s="25"/>
      <c r="AO23" s="25"/>
      <c r="AP23" s="25"/>
      <c r="AQ23" s="25"/>
    </row>
    <row r="24" spans="18:43" ht="15" customHeight="1">
      <c r="AA24" s="25"/>
      <c r="AB24" s="25"/>
      <c r="AC24" s="25"/>
      <c r="AD24" s="25"/>
      <c r="AE24" s="25"/>
      <c r="AF24" s="25"/>
      <c r="AG24" s="25"/>
      <c r="AH24" s="25"/>
      <c r="AI24" s="25"/>
      <c r="AJ24" s="25"/>
      <c r="AK24" s="25"/>
      <c r="AL24" s="25"/>
      <c r="AM24" s="25"/>
      <c r="AN24" s="25"/>
      <c r="AO24" s="25"/>
      <c r="AP24" s="25"/>
      <c r="AQ24" s="25"/>
    </row>
    <row r="25" spans="18:43" ht="15" customHeight="1">
      <c r="AA25" s="25"/>
      <c r="AB25" s="25"/>
      <c r="AC25" s="25"/>
      <c r="AD25" s="25"/>
      <c r="AE25" s="25"/>
      <c r="AF25" s="25"/>
      <c r="AG25" s="25"/>
      <c r="AH25" s="25"/>
      <c r="AI25" s="25"/>
      <c r="AJ25" s="25"/>
      <c r="AK25" s="25"/>
      <c r="AL25" s="25"/>
      <c r="AM25" s="25"/>
      <c r="AN25" s="25"/>
      <c r="AO25" s="25"/>
      <c r="AP25" s="25"/>
      <c r="AQ25" s="25"/>
    </row>
    <row r="26" spans="18:43" ht="15" customHeight="1">
      <c r="AA26" s="25"/>
      <c r="AB26" s="25"/>
      <c r="AC26" s="25"/>
      <c r="AD26" s="25"/>
      <c r="AE26" s="25"/>
      <c r="AF26" s="25"/>
      <c r="AG26" s="25"/>
      <c r="AH26" s="25"/>
      <c r="AI26" s="25"/>
      <c r="AJ26" s="25"/>
      <c r="AK26" s="25"/>
      <c r="AL26" s="25"/>
      <c r="AM26" s="25"/>
      <c r="AN26" s="25"/>
      <c r="AO26" s="25"/>
      <c r="AP26" s="25"/>
      <c r="AQ26" s="25"/>
    </row>
    <row r="27" spans="18:43" ht="15" customHeight="1">
      <c r="AA27" s="25"/>
      <c r="AB27" s="25"/>
      <c r="AC27" s="25"/>
      <c r="AD27" s="25"/>
      <c r="AE27" s="25"/>
      <c r="AF27" s="25"/>
      <c r="AG27" s="25"/>
      <c r="AH27" s="25"/>
      <c r="AI27" s="25"/>
      <c r="AJ27" s="25"/>
      <c r="AK27" s="25"/>
      <c r="AL27" s="25"/>
      <c r="AM27" s="25"/>
      <c r="AN27" s="25"/>
      <c r="AO27" s="25"/>
      <c r="AP27" s="25"/>
      <c r="AQ27" s="25"/>
    </row>
    <row r="28" spans="18:43" ht="15" customHeight="1">
      <c r="AA28" s="25"/>
      <c r="AB28" s="25"/>
      <c r="AC28" s="25"/>
      <c r="AD28" s="25" t="str" cm="1">
        <f t="array" aca="1" ref="AD28:AL34" ca="1">_xlfn.SORTBY(R38:Z44,Z38:Z44,1)</f>
        <v>COGS Margin</v>
      </c>
      <c r="AE28" s="25">
        <f ca="1"/>
        <v>0</v>
      </c>
      <c r="AF28" s="25">
        <f ca="1"/>
        <v>0.02</v>
      </c>
      <c r="AG28" s="25">
        <f ca="1"/>
        <v>0</v>
      </c>
      <c r="AH28" s="25">
        <f ca="1"/>
        <v>366.76888590299887</v>
      </c>
      <c r="AI28" s="25">
        <f ca="1"/>
        <v>366.76888590299887</v>
      </c>
      <c r="AJ28" s="25">
        <f ca="1"/>
        <v>0</v>
      </c>
      <c r="AK28" s="25">
        <f ca="1"/>
        <v>0</v>
      </c>
      <c r="AL28" s="25">
        <f ca="1"/>
        <v>0</v>
      </c>
      <c r="AM28" s="25"/>
      <c r="AN28" s="25"/>
      <c r="AO28" s="25"/>
      <c r="AP28" s="25"/>
      <c r="AQ28" s="25"/>
    </row>
    <row r="29" spans="18:43" ht="15" customHeight="1">
      <c r="AA29" s="25"/>
      <c r="AB29" s="25"/>
      <c r="AC29" s="25"/>
      <c r="AD29" s="25" t="str">
        <f ca="1"/>
        <v>SG&amp;A Margin</v>
      </c>
      <c r="AE29" s="25">
        <f ca="1"/>
        <v>0</v>
      </c>
      <c r="AF29" s="25">
        <f ca="1"/>
        <v>0.01</v>
      </c>
      <c r="AG29" s="25">
        <f ca="1"/>
        <v>0</v>
      </c>
      <c r="AH29" s="25">
        <f ca="1"/>
        <v>366.76888590299887</v>
      </c>
      <c r="AI29" s="25">
        <f ca="1"/>
        <v>366.76888590299887</v>
      </c>
      <c r="AJ29" s="25">
        <f ca="1"/>
        <v>0</v>
      </c>
      <c r="AK29" s="25">
        <f ca="1"/>
        <v>0</v>
      </c>
      <c r="AL29" s="25">
        <f ca="1"/>
        <v>0</v>
      </c>
      <c r="AM29" s="25"/>
      <c r="AN29" s="25"/>
      <c r="AO29" s="25"/>
      <c r="AP29" s="25"/>
      <c r="AQ29" s="25"/>
    </row>
    <row r="30" spans="18:43" ht="15" customHeight="1">
      <c r="AA30" s="25"/>
      <c r="AB30" s="25"/>
      <c r="AC30" s="25"/>
      <c r="AD30" s="25" t="str">
        <f ca="1"/>
        <v>Terminal g</v>
      </c>
      <c r="AE30" s="25">
        <f ca="1"/>
        <v>0</v>
      </c>
      <c r="AF30" s="25">
        <f ca="1"/>
        <v>5.0000000000000001E-3</v>
      </c>
      <c r="AG30" s="25">
        <f ca="1"/>
        <v>0</v>
      </c>
      <c r="AH30" s="25">
        <f ca="1"/>
        <v>366.76888590299887</v>
      </c>
      <c r="AI30" s="25">
        <f ca="1"/>
        <v>366.76888590299887</v>
      </c>
      <c r="AJ30" s="25">
        <f ca="1"/>
        <v>0</v>
      </c>
      <c r="AK30" s="25">
        <f ca="1"/>
        <v>0</v>
      </c>
      <c r="AL30" s="25">
        <f ca="1"/>
        <v>0</v>
      </c>
      <c r="AM30" s="25"/>
      <c r="AN30" s="25"/>
      <c r="AO30" s="25"/>
      <c r="AP30" s="25"/>
      <c r="AQ30" s="25"/>
    </row>
    <row r="31" spans="18:43" ht="15" customHeight="1">
      <c r="AA31" s="25"/>
      <c r="AB31" s="25"/>
      <c r="AC31" s="25"/>
      <c r="AD31" s="25" t="str">
        <f ca="1"/>
        <v>Revenue Exit</v>
      </c>
      <c r="AE31" s="25">
        <f ca="1"/>
        <v>0</v>
      </c>
      <c r="AF31" s="25">
        <f ca="1"/>
        <v>1</v>
      </c>
      <c r="AG31" s="25">
        <f ca="1"/>
        <v>0</v>
      </c>
      <c r="AH31" s="25">
        <f ca="1"/>
        <v>366.76888590299887</v>
      </c>
      <c r="AI31" s="25">
        <f ca="1"/>
        <v>366.76888590299887</v>
      </c>
      <c r="AJ31" s="25">
        <f ca="1"/>
        <v>0</v>
      </c>
      <c r="AK31" s="25">
        <f ca="1"/>
        <v>0</v>
      </c>
      <c r="AL31" s="25">
        <f ca="1"/>
        <v>0</v>
      </c>
      <c r="AM31" s="25"/>
      <c r="AN31" s="25"/>
      <c r="AO31" s="25"/>
      <c r="AP31" s="25"/>
      <c r="AQ31" s="25"/>
    </row>
    <row r="32" spans="18:43" ht="15" customHeight="1">
      <c r="R32" s="367" t="s">
        <v>713</v>
      </c>
      <c r="S32" s="32"/>
      <c r="T32" s="32"/>
      <c r="U32" s="32"/>
      <c r="V32" s="367" t="s">
        <v>714</v>
      </c>
      <c r="W32" s="32"/>
      <c r="X32" s="32"/>
      <c r="Y32" s="32"/>
      <c r="Z32" s="37" t="s">
        <v>715</v>
      </c>
      <c r="AA32" s="25"/>
      <c r="AB32" s="25"/>
      <c r="AC32" s="25"/>
      <c r="AD32" s="25" t="str">
        <f ca="1"/>
        <v>Capex Intensity</v>
      </c>
      <c r="AE32" s="25">
        <f ca="1"/>
        <v>0</v>
      </c>
      <c r="AF32" s="25">
        <f ca="1"/>
        <v>0.01</v>
      </c>
      <c r="AG32" s="25">
        <f ca="1"/>
        <v>0</v>
      </c>
      <c r="AH32" s="25">
        <f ca="1"/>
        <v>357.46</v>
      </c>
      <c r="AI32" s="25">
        <f ca="1"/>
        <v>335.1</v>
      </c>
      <c r="AJ32" s="25">
        <f ca="1"/>
        <v>-9.3088859029988953</v>
      </c>
      <c r="AK32" s="25">
        <f ca="1"/>
        <v>-31.668885902998852</v>
      </c>
      <c r="AL32" s="25">
        <f ca="1"/>
        <v>31.668885902998852</v>
      </c>
      <c r="AM32" s="25"/>
      <c r="AN32" s="25"/>
      <c r="AO32" s="25"/>
      <c r="AP32" s="25"/>
      <c r="AQ32" s="25"/>
    </row>
    <row r="33" spans="18:43" ht="15" customHeight="1">
      <c r="R33" s="33" t="s">
        <v>716</v>
      </c>
      <c r="T33" s="24">
        <f ca="1">+FCFF!AL171</f>
        <v>236.02412569343173</v>
      </c>
      <c r="V33" s="33" t="s">
        <v>717</v>
      </c>
      <c r="W33" s="97"/>
      <c r="X33" s="612">
        <f ca="1">T33</f>
        <v>236.02412569343173</v>
      </c>
      <c r="Z33" s="23" t="s">
        <v>457</v>
      </c>
      <c r="AA33" s="25"/>
      <c r="AB33" s="25"/>
      <c r="AC33" s="25"/>
      <c r="AD33" s="25" t="str">
        <f ca="1"/>
        <v>EBITDA Exit</v>
      </c>
      <c r="AE33" s="25">
        <f ca="1"/>
        <v>0</v>
      </c>
      <c r="AF33" s="25">
        <f ca="1"/>
        <v>1.5</v>
      </c>
      <c r="AG33" s="25">
        <f ca="1"/>
        <v>0</v>
      </c>
      <c r="AH33" s="25">
        <f ca="1"/>
        <v>390.09</v>
      </c>
      <c r="AI33" s="25">
        <f ca="1"/>
        <v>411.55</v>
      </c>
      <c r="AJ33" s="25">
        <f ca="1"/>
        <v>23.3211140970011</v>
      </c>
      <c r="AK33" s="25">
        <f ca="1"/>
        <v>44.781114097001137</v>
      </c>
      <c r="AL33" s="25">
        <f ca="1"/>
        <v>44.781114097001137</v>
      </c>
      <c r="AM33" s="25"/>
      <c r="AN33" s="25"/>
      <c r="AO33" s="25"/>
      <c r="AP33" s="25"/>
      <c r="AQ33" s="25"/>
    </row>
    <row r="34" spans="18:43" ht="15" customHeight="1">
      <c r="R34" s="33" t="s">
        <v>718</v>
      </c>
      <c r="T34" s="591">
        <f ca="1">+FCFF!Z171</f>
        <v>366.76888590299887</v>
      </c>
      <c r="V34" s="105" t="s">
        <v>719</v>
      </c>
      <c r="W34" s="97"/>
      <c r="X34" s="612">
        <f ca="1">T34</f>
        <v>366.76888590299887</v>
      </c>
      <c r="AA34" s="25"/>
      <c r="AB34" s="25"/>
      <c r="AC34" s="25"/>
      <c r="AD34" s="25" t="str">
        <f ca="1"/>
        <v>WACC</v>
      </c>
      <c r="AE34" s="25">
        <f ca="1"/>
        <v>0</v>
      </c>
      <c r="AF34" s="25">
        <f ca="1"/>
        <v>5.0000000000000001E-3</v>
      </c>
      <c r="AG34" s="25">
        <f ca="1"/>
        <v>0</v>
      </c>
      <c r="AH34" s="25">
        <f ca="1"/>
        <v>352.17</v>
      </c>
      <c r="AI34" s="25">
        <f ca="1"/>
        <v>255.68</v>
      </c>
      <c r="AJ34" s="25">
        <f ca="1"/>
        <v>-14.598885902998859</v>
      </c>
      <c r="AK34" s="25">
        <f ca="1"/>
        <v>-111.08888590299887</v>
      </c>
      <c r="AL34" s="25">
        <f ca="1"/>
        <v>111.08888590299887</v>
      </c>
      <c r="AM34" s="25"/>
      <c r="AN34" s="25"/>
      <c r="AO34" s="25"/>
      <c r="AP34" s="25"/>
      <c r="AQ34" s="25"/>
    </row>
    <row r="35" spans="18:43" ht="15" customHeight="1">
      <c r="R35" s="33" t="s">
        <v>720</v>
      </c>
      <c r="T35" s="591">
        <f ca="1">FCFF!AF171</f>
        <v>301.61273136928071</v>
      </c>
      <c r="V35" s="33" t="s">
        <v>721</v>
      </c>
      <c r="X35" s="613">
        <f ca="1">T35</f>
        <v>301.61273136928071</v>
      </c>
      <c r="AA35" s="25"/>
      <c r="AB35" s="25"/>
      <c r="AC35" s="25"/>
      <c r="AD35" s="25"/>
      <c r="AE35" s="25"/>
      <c r="AF35" s="25"/>
      <c r="AG35" s="25"/>
      <c r="AH35" s="25"/>
      <c r="AI35" s="25"/>
      <c r="AJ35" s="25"/>
      <c r="AK35" s="25"/>
      <c r="AL35" s="25"/>
      <c r="AM35" s="25"/>
      <c r="AN35" s="25"/>
      <c r="AO35" s="25"/>
      <c r="AP35" s="25"/>
      <c r="AQ35" s="25"/>
    </row>
    <row r="36" spans="18:43" ht="15" customHeight="1">
      <c r="AA36" s="25"/>
      <c r="AB36" s="25"/>
      <c r="AC36" s="25"/>
      <c r="AD36" s="25"/>
      <c r="AE36" s="25"/>
      <c r="AF36" s="25"/>
      <c r="AG36" s="25"/>
      <c r="AH36" s="25"/>
      <c r="AI36" s="25"/>
      <c r="AJ36" s="25"/>
      <c r="AK36" s="25"/>
      <c r="AL36" s="25"/>
      <c r="AM36" s="25"/>
      <c r="AN36" s="25"/>
      <c r="AO36" s="25"/>
      <c r="AP36" s="25"/>
      <c r="AQ36" s="25"/>
    </row>
    <row r="37" spans="18:43" ht="15" customHeight="1">
      <c r="R37" s="32"/>
      <c r="S37" s="32"/>
      <c r="T37" s="592" t="s">
        <v>722</v>
      </c>
      <c r="U37" s="592" t="s">
        <v>723</v>
      </c>
      <c r="V37" s="593" t="s">
        <v>724</v>
      </c>
      <c r="W37" s="593" t="s">
        <v>725</v>
      </c>
      <c r="X37" s="592" t="s">
        <v>726</v>
      </c>
      <c r="Y37" s="592" t="s">
        <v>727</v>
      </c>
      <c r="Z37" s="592" t="s">
        <v>728</v>
      </c>
      <c r="AA37" s="25"/>
      <c r="AB37" s="25"/>
      <c r="AC37" s="25"/>
      <c r="AD37" s="25"/>
      <c r="AE37" s="25"/>
      <c r="AF37" s="25"/>
      <c r="AG37" s="25"/>
      <c r="AH37" s="25"/>
      <c r="AI37" s="25"/>
      <c r="AJ37" s="25"/>
      <c r="AK37" s="25"/>
      <c r="AL37" s="25"/>
      <c r="AM37" s="25"/>
      <c r="AN37" s="25"/>
      <c r="AO37" s="25"/>
      <c r="AP37" s="25"/>
      <c r="AQ37" s="25"/>
    </row>
    <row r="38" spans="18:43" ht="15" customHeight="1">
      <c r="R38" s="97" t="s">
        <v>729</v>
      </c>
      <c r="S38" s="97"/>
      <c r="T38" s="596">
        <v>0.01</v>
      </c>
      <c r="U38" s="594"/>
      <c r="V38" s="612">
        <v>357.46</v>
      </c>
      <c r="W38" s="612">
        <v>335.1</v>
      </c>
      <c r="X38" s="813" cm="1">
        <f t="array" aca="1" ref="X38" ca="1">+V38-_xlfn.IFS($Z$33="EBITDA",$X$34,$Z$33="Revenue",$X$35,$Z$33="Gordon",$X$33)</f>
        <v>-9.3088859029988953</v>
      </c>
      <c r="Y38" s="813" cm="1">
        <f t="array" aca="1" ref="Y38" ca="1">+W38-_xlfn.IFS($Z$33="EBITDA",$X$34,$Z$33="Revenue",$X$35,$Z$33="Gordon",$X$33)</f>
        <v>-31.668885902998852</v>
      </c>
      <c r="Z38" s="813">
        <f ca="1">MAX(ABS(X38),ABS(Y38))</f>
        <v>31.668885902998852</v>
      </c>
      <c r="AA38" s="25"/>
      <c r="AB38" s="25"/>
      <c r="AC38" s="25"/>
      <c r="AD38" s="25"/>
      <c r="AE38" s="25"/>
      <c r="AF38" s="25"/>
      <c r="AG38" s="25"/>
      <c r="AH38" s="25"/>
      <c r="AI38" s="25"/>
      <c r="AJ38" s="25"/>
      <c r="AK38" s="25"/>
      <c r="AL38" s="25"/>
      <c r="AM38" s="25"/>
      <c r="AN38" s="25"/>
      <c r="AO38" s="25"/>
      <c r="AP38" s="25"/>
      <c r="AQ38" s="25"/>
    </row>
    <row r="39" spans="18:43" ht="15" customHeight="1">
      <c r="R39" s="97" t="s">
        <v>730</v>
      </c>
      <c r="S39" s="333"/>
      <c r="T39" s="596">
        <v>0.02</v>
      </c>
      <c r="U39" s="594"/>
      <c r="V39" s="612">
        <f ca="1">X34</f>
        <v>366.76888590299887</v>
      </c>
      <c r="W39" s="612">
        <f ca="1">X34</f>
        <v>366.76888590299887</v>
      </c>
      <c r="X39" s="813" cm="1">
        <f t="array" aca="1" ref="X39" ca="1">+V39-_xlfn.IFS($Z$33="EBITDA",$X$34,$Z$33="Revenue",$X$35,$Z$33="Gordon",$X$33)</f>
        <v>0</v>
      </c>
      <c r="Y39" s="813" cm="1">
        <f t="array" aca="1" ref="Y39" ca="1">+W39-_xlfn.IFS($Z$33="EBITDA",$X$34,$Z$33="Revenue",$X$35,$Z$33="Gordon",$X$33)</f>
        <v>0</v>
      </c>
      <c r="Z39" s="813">
        <f ca="1">MAX(ABS(X39),ABS(Y39))</f>
        <v>0</v>
      </c>
      <c r="AA39" s="25"/>
      <c r="AB39" s="25"/>
      <c r="AC39" s="25"/>
      <c r="AD39" s="25"/>
      <c r="AE39" s="25"/>
      <c r="AF39" s="25"/>
      <c r="AG39" s="25"/>
      <c r="AH39" s="25"/>
      <c r="AI39" s="25"/>
      <c r="AJ39" s="25"/>
      <c r="AK39" s="25"/>
      <c r="AL39" s="25"/>
      <c r="AM39" s="25"/>
      <c r="AN39" s="25"/>
      <c r="AO39" s="25"/>
      <c r="AP39" s="25"/>
      <c r="AQ39" s="25"/>
    </row>
    <row r="40" spans="18:43" ht="15" customHeight="1">
      <c r="R40" s="97" t="s">
        <v>731</v>
      </c>
      <c r="S40" s="97"/>
      <c r="T40" s="596">
        <v>0.01</v>
      </c>
      <c r="U40" s="594"/>
      <c r="V40" s="812">
        <f ca="1">X34</f>
        <v>366.76888590299887</v>
      </c>
      <c r="W40" s="812">
        <f ca="1">X34</f>
        <v>366.76888590299887</v>
      </c>
      <c r="X40" s="813" cm="1">
        <f t="array" aca="1" ref="X40" ca="1">+V40-_xlfn.IFS($Z$33="EBITDA",$X$34,$Z$33="Revenue",$X$35,$Z$33="Gordon",$X$33)</f>
        <v>0</v>
      </c>
      <c r="Y40" s="813" cm="1">
        <f t="array" aca="1" ref="Y40" ca="1">+W40-_xlfn.IFS($Z$33="EBITDA",$X$34,$Z$33="Revenue",$X$35,$Z$33="Gordon",$X$33)</f>
        <v>0</v>
      </c>
      <c r="Z40" s="813">
        <f t="shared" ref="Z40:Z44" ca="1" si="0">MAX(ABS(X40),ABS(Y40))</f>
        <v>0</v>
      </c>
      <c r="AA40" s="25"/>
      <c r="AB40" s="25"/>
      <c r="AC40" s="25"/>
      <c r="AD40" s="25"/>
      <c r="AE40" s="25"/>
      <c r="AF40" s="25"/>
      <c r="AG40" s="25"/>
      <c r="AH40" s="25"/>
      <c r="AI40" s="25"/>
      <c r="AJ40" s="25"/>
      <c r="AK40" s="25"/>
      <c r="AL40" s="25"/>
      <c r="AM40" s="25"/>
      <c r="AN40" s="25"/>
      <c r="AO40" s="25"/>
      <c r="AP40" s="25"/>
      <c r="AQ40" s="25"/>
    </row>
    <row r="41" spans="18:43" ht="15" customHeight="1">
      <c r="R41" s="97" t="s">
        <v>528</v>
      </c>
      <c r="S41" s="97"/>
      <c r="T41" s="596">
        <v>5.0000000000000001E-3</v>
      </c>
      <c r="U41" s="594"/>
      <c r="V41" s="612">
        <v>352.17</v>
      </c>
      <c r="W41" s="613">
        <v>255.68</v>
      </c>
      <c r="X41" s="813" cm="1">
        <f t="array" aca="1" ref="X41" ca="1">+V41-_xlfn.IFS($Z$33="EBITDA",$X$34,$Z$33="Revenue",$X$35,$Z$33="Gordon",$X$33)</f>
        <v>-14.598885902998859</v>
      </c>
      <c r="Y41" s="813" cm="1">
        <f t="array" aca="1" ref="Y41" ca="1">+W41-_xlfn.IFS($Z$33="EBITDA",$X$34,$Z$33="Revenue",$X$35,$Z$33="Gordon",$X$33)</f>
        <v>-111.08888590299887</v>
      </c>
      <c r="Z41" s="813">
        <f t="shared" ca="1" si="0"/>
        <v>111.08888590299887</v>
      </c>
      <c r="AA41" s="25"/>
      <c r="AB41" s="25"/>
      <c r="AC41" s="25"/>
      <c r="AD41" s="25"/>
      <c r="AE41" s="25"/>
      <c r="AF41" s="25"/>
      <c r="AG41" s="25"/>
      <c r="AH41" s="25"/>
      <c r="AI41" s="25"/>
      <c r="AJ41" s="25"/>
      <c r="AK41" s="25"/>
      <c r="AL41" s="25"/>
      <c r="AM41" s="25"/>
      <c r="AN41" s="25"/>
      <c r="AO41" s="25"/>
      <c r="AP41" s="25"/>
      <c r="AQ41" s="25"/>
    </row>
    <row r="42" spans="18:43" ht="15" customHeight="1">
      <c r="R42" s="97" t="s">
        <v>732</v>
      </c>
      <c r="S42" s="97"/>
      <c r="T42" s="596">
        <v>5.0000000000000001E-3</v>
      </c>
      <c r="U42" s="594"/>
      <c r="V42" s="612">
        <f ca="1">X34</f>
        <v>366.76888590299887</v>
      </c>
      <c r="W42" s="613">
        <f ca="1">V42</f>
        <v>366.76888590299887</v>
      </c>
      <c r="X42" s="813" cm="1">
        <f t="array" aca="1" ref="X42" ca="1">+V42-_xlfn.IFS($Z$33="EBITDA",$X$34,$Z$33="Revenue",$X$35,$Z$33="Gordon",$X$33)</f>
        <v>0</v>
      </c>
      <c r="Y42" s="813" cm="1">
        <f t="array" aca="1" ref="Y42" ca="1">+W42-_xlfn.IFS($Z$33="EBITDA",$X$34,$Z$33="Revenue",$X$35,$Z$33="Gordon",$X$33)</f>
        <v>0</v>
      </c>
      <c r="Z42" s="813">
        <f t="shared" ca="1" si="0"/>
        <v>0</v>
      </c>
      <c r="AA42" s="25"/>
      <c r="AB42" s="25"/>
      <c r="AC42" s="25"/>
      <c r="AD42" s="25"/>
      <c r="AE42" s="25"/>
      <c r="AF42" s="25"/>
      <c r="AG42" s="25"/>
      <c r="AH42" s="25"/>
      <c r="AI42" s="25"/>
      <c r="AJ42" s="25"/>
      <c r="AK42" s="25"/>
      <c r="AL42" s="25"/>
      <c r="AM42" s="25"/>
      <c r="AN42" s="25"/>
      <c r="AO42" s="25"/>
      <c r="AP42" s="25"/>
      <c r="AQ42" s="25"/>
    </row>
    <row r="43" spans="18:43" ht="15" customHeight="1">
      <c r="R43" s="97" t="s">
        <v>733</v>
      </c>
      <c r="S43" s="97"/>
      <c r="T43" s="597">
        <v>1.5</v>
      </c>
      <c r="U43" s="595"/>
      <c r="V43" s="613">
        <v>390.09</v>
      </c>
      <c r="W43" s="613">
        <v>411.55</v>
      </c>
      <c r="X43" s="813" cm="1">
        <f t="array" aca="1" ref="X43" ca="1">+V43-_xlfn.IFS($Z$33="EBITDA",$X$34,$Z$33="Revenue",$X$35,$Z$33="Gordon",$X$33)</f>
        <v>23.3211140970011</v>
      </c>
      <c r="Y43" s="813" cm="1">
        <f t="array" aca="1" ref="Y43" ca="1">+W43-_xlfn.IFS($Z$33="EBITDA",$X$34,$Z$33="Revenue",$X$35,$Z$33="Gordon",$X$33)</f>
        <v>44.781114097001137</v>
      </c>
      <c r="Z43" s="813">
        <f t="shared" ca="1" si="0"/>
        <v>44.781114097001137</v>
      </c>
      <c r="AA43" s="25"/>
      <c r="AB43" s="25"/>
      <c r="AC43" s="25"/>
      <c r="AD43" s="25"/>
      <c r="AE43" s="25"/>
      <c r="AF43" s="25"/>
      <c r="AG43" s="25"/>
      <c r="AH43" s="25"/>
      <c r="AI43" s="25"/>
      <c r="AJ43" s="25"/>
      <c r="AK43" s="25"/>
      <c r="AL43" s="25"/>
      <c r="AM43" s="25"/>
      <c r="AN43" s="25"/>
      <c r="AO43" s="25"/>
      <c r="AP43" s="25"/>
      <c r="AQ43" s="25"/>
    </row>
    <row r="44" spans="18:43" ht="15" customHeight="1">
      <c r="R44" s="97" t="s">
        <v>639</v>
      </c>
      <c r="S44" s="97"/>
      <c r="T44" s="597">
        <v>1</v>
      </c>
      <c r="U44" s="595"/>
      <c r="V44" s="612">
        <f ca="1">X34</f>
        <v>366.76888590299887</v>
      </c>
      <c r="W44" s="613">
        <f ca="1">X34</f>
        <v>366.76888590299887</v>
      </c>
      <c r="X44" s="23" cm="1">
        <f t="array" aca="1" ref="X44" ca="1">+V44-_xlfn.IFS($Z$33="EBITDA",$X$34,$Z$33="Revenue",$X$35,$Z$33="Gordon",$X$33)</f>
        <v>0</v>
      </c>
      <c r="Y44" s="23" cm="1">
        <f t="array" aca="1" ref="Y44" ca="1">+W44-_xlfn.IFS($Z$33="EBITDA",$X$34,$Z$33="Revenue",$X$35,$Z$33="Gordon",$X$33)</f>
        <v>0</v>
      </c>
      <c r="Z44" s="23">
        <f t="shared" ca="1" si="0"/>
        <v>0</v>
      </c>
      <c r="AA44" s="25"/>
      <c r="AB44" s="25"/>
      <c r="AC44" s="25"/>
      <c r="AD44" s="25"/>
      <c r="AE44" s="25"/>
      <c r="AF44" s="25"/>
      <c r="AG44" s="25"/>
      <c r="AH44" s="25"/>
      <c r="AI44" s="25"/>
      <c r="AJ44" s="25"/>
      <c r="AK44" s="25"/>
      <c r="AL44" s="25"/>
      <c r="AM44" s="25"/>
      <c r="AN44" s="25"/>
      <c r="AO44" s="25"/>
      <c r="AP44" s="25"/>
      <c r="AQ44" s="25"/>
    </row>
    <row r="45" spans="18:43" ht="15" customHeight="1">
      <c r="AA45" s="25"/>
      <c r="AB45" s="25"/>
      <c r="AC45" s="25"/>
      <c r="AD45" s="25"/>
      <c r="AE45" s="25"/>
      <c r="AF45" s="25"/>
      <c r="AG45" s="25"/>
      <c r="AH45" s="25"/>
      <c r="AI45" s="25"/>
      <c r="AJ45" s="25"/>
      <c r="AK45" s="25"/>
      <c r="AL45" s="25"/>
      <c r="AM45" s="25"/>
      <c r="AN45" s="25"/>
      <c r="AO45" s="25"/>
      <c r="AP45" s="25"/>
      <c r="AQ45" s="25"/>
    </row>
    <row r="46" spans="18:43" ht="15" customHeight="1">
      <c r="AA46" s="25"/>
      <c r="AB46" s="25"/>
      <c r="AC46" s="25"/>
      <c r="AD46" s="25"/>
      <c r="AE46" s="25"/>
      <c r="AF46" s="25"/>
      <c r="AG46" s="25"/>
      <c r="AH46" s="25"/>
      <c r="AI46" s="25"/>
      <c r="AJ46" s="25"/>
      <c r="AK46" s="25"/>
      <c r="AL46" s="25"/>
      <c r="AM46" s="25"/>
      <c r="AN46" s="25"/>
      <c r="AO46" s="25"/>
      <c r="AP46" s="25"/>
      <c r="AQ46" s="25"/>
    </row>
    <row r="47" spans="18:43" ht="15" customHeight="1">
      <c r="AA47" s="25"/>
      <c r="AB47" s="25"/>
      <c r="AC47" s="25"/>
      <c r="AD47" s="25"/>
      <c r="AE47" s="25"/>
      <c r="AF47" s="25"/>
      <c r="AG47" s="25"/>
      <c r="AH47" s="25"/>
      <c r="AI47" s="25"/>
      <c r="AJ47" s="25"/>
      <c r="AK47" s="25"/>
      <c r="AL47" s="25"/>
      <c r="AM47" s="25"/>
      <c r="AN47" s="25"/>
      <c r="AO47" s="25"/>
      <c r="AP47" s="25"/>
      <c r="AQ47" s="25"/>
    </row>
    <row r="48" spans="18:43" ht="15" customHeight="1">
      <c r="AA48" s="25"/>
      <c r="AB48" s="25"/>
      <c r="AC48" s="25"/>
      <c r="AD48" s="25"/>
      <c r="AE48" s="25"/>
      <c r="AF48" s="25"/>
      <c r="AG48" s="25"/>
      <c r="AH48" s="25"/>
      <c r="AI48" s="25"/>
      <c r="AJ48" s="25"/>
      <c r="AK48" s="25"/>
      <c r="AL48" s="25"/>
      <c r="AM48" s="25"/>
      <c r="AN48" s="25"/>
      <c r="AO48" s="25"/>
      <c r="AP48" s="25"/>
      <c r="AQ48" s="25"/>
    </row>
    <row r="49" spans="27:43" ht="15" customHeight="1">
      <c r="AA49" s="25"/>
      <c r="AB49" s="25"/>
      <c r="AC49" s="25"/>
      <c r="AD49" s="25"/>
      <c r="AE49" s="25"/>
      <c r="AF49" s="25"/>
      <c r="AG49" s="25"/>
      <c r="AH49" s="25"/>
      <c r="AI49" s="25"/>
      <c r="AJ49" s="25"/>
      <c r="AK49" s="25"/>
      <c r="AL49" s="25"/>
      <c r="AM49" s="25"/>
      <c r="AN49" s="25"/>
      <c r="AO49" s="25"/>
      <c r="AP49" s="25"/>
      <c r="AQ49" s="25"/>
    </row>
    <row r="50" spans="27:43" ht="15" customHeight="1">
      <c r="AA50" s="25"/>
      <c r="AB50" s="25"/>
      <c r="AC50" s="25"/>
      <c r="AD50" s="25"/>
      <c r="AE50" s="25"/>
      <c r="AF50" s="25"/>
      <c r="AG50" s="25"/>
      <c r="AH50" s="25"/>
      <c r="AI50" s="25"/>
      <c r="AJ50" s="25"/>
      <c r="AK50" s="25"/>
      <c r="AL50" s="25"/>
      <c r="AM50" s="25"/>
      <c r="AN50" s="25"/>
      <c r="AO50" s="25"/>
      <c r="AP50" s="25"/>
      <c r="AQ50" s="25"/>
    </row>
    <row r="51" spans="27:43" ht="15" customHeight="1">
      <c r="AA51" s="25"/>
      <c r="AB51" s="25"/>
      <c r="AC51" s="25"/>
      <c r="AD51" s="25"/>
      <c r="AE51" s="25"/>
      <c r="AF51" s="25"/>
      <c r="AG51" s="25"/>
      <c r="AH51" s="25"/>
      <c r="AI51" s="25"/>
      <c r="AJ51" s="25"/>
      <c r="AK51" s="25"/>
      <c r="AL51" s="25"/>
      <c r="AM51" s="25"/>
      <c r="AN51" s="25"/>
      <c r="AO51" s="25"/>
      <c r="AP51" s="25"/>
      <c r="AQ51" s="25"/>
    </row>
    <row r="52" spans="27:43" ht="15" customHeight="1">
      <c r="AA52" s="25"/>
      <c r="AB52" s="25"/>
      <c r="AC52" s="25"/>
      <c r="AD52" s="25"/>
      <c r="AE52" s="25"/>
      <c r="AF52" s="25"/>
      <c r="AG52" s="25"/>
      <c r="AH52" s="25"/>
      <c r="AI52" s="25"/>
      <c r="AJ52" s="25"/>
      <c r="AK52" s="25"/>
      <c r="AL52" s="25"/>
      <c r="AM52" s="25"/>
      <c r="AN52" s="25"/>
      <c r="AO52" s="25"/>
      <c r="AP52" s="25"/>
      <c r="AQ52" s="25"/>
    </row>
    <row r="53" spans="27:43" ht="15" customHeight="1">
      <c r="AA53" s="25"/>
      <c r="AB53" s="25"/>
      <c r="AC53" s="25"/>
      <c r="AD53" s="25"/>
      <c r="AE53" s="25"/>
      <c r="AF53" s="25"/>
      <c r="AG53" s="25"/>
      <c r="AH53" s="25"/>
      <c r="AI53" s="25"/>
      <c r="AJ53" s="25"/>
      <c r="AK53" s="25"/>
      <c r="AL53" s="25"/>
      <c r="AM53" s="25"/>
      <c r="AN53" s="25"/>
      <c r="AO53" s="25"/>
      <c r="AP53" s="25"/>
      <c r="AQ53" s="25"/>
    </row>
    <row r="54" spans="27:43" ht="15" customHeight="1">
      <c r="AA54" s="25"/>
      <c r="AB54" s="25"/>
      <c r="AC54" s="25"/>
      <c r="AD54" s="25"/>
      <c r="AE54" s="25"/>
      <c r="AF54" s="25"/>
      <c r="AG54" s="25"/>
      <c r="AH54" s="25"/>
      <c r="AI54" s="25"/>
      <c r="AJ54" s="25"/>
      <c r="AK54" s="25"/>
      <c r="AL54" s="25"/>
      <c r="AM54" s="25"/>
      <c r="AN54" s="25"/>
      <c r="AO54" s="25"/>
      <c r="AP54" s="25"/>
      <c r="AQ54" s="25"/>
    </row>
  </sheetData>
  <dataValidations count="1">
    <dataValidation type="list" allowBlank="1" showInputMessage="1" showErrorMessage="1" sqref="Z33" xr:uid="{CA918BB2-7643-46AD-A5C9-F8292C1ABE7A}">
      <formula1>"Gordon, EBITDA, Revenue"</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tabColor theme="4" tint="-0.249977111117893"/>
  </sheetPr>
  <dimension ref="A1:AX64"/>
  <sheetViews>
    <sheetView showGridLines="0" topLeftCell="A34" zoomScaleNormal="100" workbookViewId="0">
      <selection activeCell="AF54" sqref="AF54"/>
    </sheetView>
  </sheetViews>
  <sheetFormatPr defaultColWidth="9" defaultRowHeight="14.25" customHeight="1" outlineLevelCol="1"/>
  <cols>
    <col min="1" max="1" width="2.125" style="97" customWidth="1"/>
    <col min="2" max="2" width="50.625" style="97" customWidth="1"/>
    <col min="3" max="3" width="3.375" style="23" customWidth="1"/>
    <col min="4" max="7" width="9.625" style="97" hidden="1" customWidth="1" outlineLevel="1"/>
    <col min="8" max="8" width="11.625" style="97" customWidth="1" collapsed="1"/>
    <col min="9" max="9" width="1.625" style="23" customWidth="1"/>
    <col min="10" max="13" width="9.625" style="97" hidden="1" customWidth="1" outlineLevel="1"/>
    <col min="14" max="14" width="11.625" style="97" customWidth="1" collapsed="1"/>
    <col min="15" max="15" width="1.625" style="23" customWidth="1"/>
    <col min="16" max="19" width="9.625" style="97" hidden="1" customWidth="1" outlineLevel="1"/>
    <col min="20" max="20" width="11.625" style="97" customWidth="1" collapsed="1"/>
    <col min="21" max="21" width="1.625" style="23" customWidth="1"/>
    <col min="22" max="25" width="9.625" style="97" hidden="1" customWidth="1" outlineLevel="1"/>
    <col min="26" max="26" width="11.625" style="97" customWidth="1" collapsed="1"/>
    <col min="27" max="27" width="1.625" style="23" customWidth="1"/>
    <col min="28" max="31" width="9.5" style="97" hidden="1" customWidth="1" outlineLevel="1"/>
    <col min="32" max="32" width="11.625" style="97" customWidth="1" collapsed="1"/>
    <col min="33" max="33" width="1.625" style="23" customWidth="1"/>
    <col min="34" max="37" width="9.5" style="97" hidden="1" customWidth="1" outlineLevel="1"/>
    <col min="38" max="38" width="11.625" style="97" customWidth="1" collapsed="1"/>
    <col min="39" max="39" width="1.625" style="23" customWidth="1"/>
    <col min="40" max="43" width="9.625" style="97" hidden="1" customWidth="1" outlineLevel="1"/>
    <col min="44" max="44" width="11.625" style="97" customWidth="1" collapsed="1"/>
    <col min="45" max="45" width="1.625" style="23" customWidth="1"/>
    <col min="46" max="46" width="11.625" style="97" customWidth="1"/>
    <col min="47" max="47" width="1.625" style="23" customWidth="1"/>
    <col min="48" max="48" width="11.625" style="105" customWidth="1"/>
    <col min="49" max="49" width="1.625" style="23" customWidth="1"/>
    <col min="50" max="50" width="11.625" style="97" customWidth="1"/>
    <col min="51" max="51" width="1.625" style="97" customWidth="1"/>
    <col min="52" max="16384" width="9" style="97"/>
  </cols>
  <sheetData>
    <row r="1" spans="2:50" s="573" customFormat="1" ht="15" customHeight="1"/>
    <row r="2" spans="2:50" s="573" customFormat="1" ht="15" customHeight="1"/>
    <row r="3" spans="2:50" s="573" customFormat="1" ht="15" customHeight="1"/>
    <row r="4" spans="2:50" s="573" customFormat="1" ht="15" customHeight="1"/>
    <row r="5" spans="2:50" s="282" customFormat="1" ht="3.95" customHeight="1">
      <c r="C5" s="36"/>
      <c r="I5" s="36"/>
      <c r="O5" s="36"/>
      <c r="U5" s="36"/>
      <c r="AA5" s="36"/>
      <c r="AG5" s="36"/>
      <c r="AM5" s="36"/>
      <c r="AS5" s="36"/>
      <c r="AU5" s="36"/>
      <c r="AV5" s="283"/>
      <c r="AW5" s="36"/>
    </row>
    <row r="7" spans="2:50" s="41" customFormat="1" ht="15" customHeight="1">
      <c r="B7" s="161" t="s">
        <v>539</v>
      </c>
      <c r="C7" s="18"/>
      <c r="D7" s="200">
        <v>2020</v>
      </c>
      <c r="E7" s="200">
        <v>2020</v>
      </c>
      <c r="F7" s="200">
        <v>2020</v>
      </c>
      <c r="G7" s="200">
        <v>2020</v>
      </c>
      <c r="H7" s="200">
        <v>2020</v>
      </c>
      <c r="I7" s="18"/>
      <c r="J7" s="200">
        <v>2021</v>
      </c>
      <c r="K7" s="200">
        <v>2021</v>
      </c>
      <c r="L7" s="200">
        <v>2021</v>
      </c>
      <c r="M7" s="200">
        <v>2021</v>
      </c>
      <c r="N7" s="200">
        <v>2021</v>
      </c>
      <c r="O7" s="169"/>
      <c r="P7" s="200">
        <v>2022</v>
      </c>
      <c r="Q7" s="200">
        <v>2022</v>
      </c>
      <c r="R7" s="200">
        <v>2022</v>
      </c>
      <c r="S7" s="200">
        <v>2022</v>
      </c>
      <c r="T7" s="200">
        <v>2022</v>
      </c>
      <c r="U7" s="169"/>
      <c r="V7" s="200">
        <v>2023</v>
      </c>
      <c r="W7" s="200">
        <v>2023</v>
      </c>
      <c r="X7" s="200">
        <v>2023</v>
      </c>
      <c r="Y7" s="200">
        <v>2023</v>
      </c>
      <c r="Z7" s="200">
        <v>2023</v>
      </c>
      <c r="AA7" s="170"/>
      <c r="AB7" s="200">
        <v>2024</v>
      </c>
      <c r="AC7" s="200">
        <v>2024</v>
      </c>
      <c r="AD7" s="200">
        <v>2024</v>
      </c>
      <c r="AE7" s="200">
        <v>2024</v>
      </c>
      <c r="AF7" s="200">
        <v>2024</v>
      </c>
      <c r="AG7" s="170"/>
      <c r="AH7" s="200">
        <v>2025</v>
      </c>
      <c r="AI7" s="200">
        <v>2025</v>
      </c>
      <c r="AJ7" s="201">
        <v>2025</v>
      </c>
      <c r="AK7" s="200">
        <v>2025</v>
      </c>
      <c r="AL7" s="200">
        <v>2025</v>
      </c>
      <c r="AM7" s="171"/>
      <c r="AN7" s="200">
        <v>2025</v>
      </c>
      <c r="AO7" s="200">
        <v>2025</v>
      </c>
      <c r="AP7" s="201">
        <v>2025</v>
      </c>
      <c r="AQ7" s="200">
        <v>2025</v>
      </c>
      <c r="AR7" s="200">
        <v>2025</v>
      </c>
      <c r="AS7" s="18"/>
      <c r="AT7" s="162"/>
      <c r="AU7" s="18"/>
      <c r="AV7" s="163"/>
      <c r="AW7" s="18"/>
      <c r="AX7" s="163"/>
    </row>
    <row r="8" spans="2:50" s="41" customFormat="1" ht="15" customHeight="1">
      <c r="B8" s="164"/>
      <c r="C8" s="18"/>
      <c r="D8" s="893">
        <v>2020</v>
      </c>
      <c r="E8" s="893"/>
      <c r="F8" s="893"/>
      <c r="G8" s="893"/>
      <c r="H8" s="893"/>
      <c r="I8" s="169"/>
      <c r="J8" s="893">
        <v>2021</v>
      </c>
      <c r="K8" s="893"/>
      <c r="L8" s="893"/>
      <c r="M8" s="893"/>
      <c r="N8" s="893"/>
      <c r="O8" s="169"/>
      <c r="P8" s="893">
        <v>2022</v>
      </c>
      <c r="Q8" s="893"/>
      <c r="R8" s="893"/>
      <c r="S8" s="893"/>
      <c r="T8" s="893"/>
      <c r="U8" s="169"/>
      <c r="V8" s="893">
        <v>2023</v>
      </c>
      <c r="W8" s="893"/>
      <c r="X8" s="893"/>
      <c r="Y8" s="893"/>
      <c r="Z8" s="893"/>
      <c r="AA8" s="169"/>
      <c r="AB8" s="893">
        <v>2024</v>
      </c>
      <c r="AC8" s="893"/>
      <c r="AD8" s="893"/>
      <c r="AE8" s="893"/>
      <c r="AF8" s="893"/>
      <c r="AG8" s="169"/>
      <c r="AH8" s="892">
        <v>2025</v>
      </c>
      <c r="AI8" s="892"/>
      <c r="AJ8" s="892"/>
      <c r="AK8" s="892"/>
      <c r="AL8" s="892"/>
      <c r="AM8" s="169"/>
      <c r="AN8" s="892">
        <v>2026</v>
      </c>
      <c r="AO8" s="892"/>
      <c r="AP8" s="892"/>
      <c r="AQ8" s="892"/>
      <c r="AR8" s="892"/>
      <c r="AS8" s="171"/>
      <c r="AT8" s="166">
        <v>2027</v>
      </c>
      <c r="AU8" s="167"/>
      <c r="AV8" s="166">
        <v>2028</v>
      </c>
      <c r="AW8" s="167"/>
      <c r="AX8" s="166">
        <v>2029</v>
      </c>
    </row>
    <row r="9" spans="2:50" s="41" customFormat="1" ht="14.25" customHeight="1">
      <c r="B9" s="164"/>
      <c r="C9" s="18"/>
      <c r="D9" s="168" t="s">
        <v>292</v>
      </c>
      <c r="E9" s="168" t="s">
        <v>293</v>
      </c>
      <c r="F9" s="168" t="s">
        <v>294</v>
      </c>
      <c r="G9" s="168" t="s">
        <v>295</v>
      </c>
      <c r="H9" s="168" t="s">
        <v>296</v>
      </c>
      <c r="I9" s="18"/>
      <c r="J9" s="168" t="s">
        <v>292</v>
      </c>
      <c r="K9" s="168" t="s">
        <v>293</v>
      </c>
      <c r="L9" s="168" t="s">
        <v>294</v>
      </c>
      <c r="M9" s="168" t="s">
        <v>295</v>
      </c>
      <c r="N9" s="168" t="s">
        <v>296</v>
      </c>
      <c r="O9" s="165"/>
      <c r="P9" s="168" t="s">
        <v>292</v>
      </c>
      <c r="Q9" s="168" t="s">
        <v>293</v>
      </c>
      <c r="R9" s="168" t="s">
        <v>294</v>
      </c>
      <c r="S9" s="168" t="s">
        <v>295</v>
      </c>
      <c r="T9" s="168" t="s">
        <v>296</v>
      </c>
      <c r="U9" s="165"/>
      <c r="V9" s="168" t="s">
        <v>292</v>
      </c>
      <c r="W9" s="168" t="s">
        <v>293</v>
      </c>
      <c r="X9" s="168" t="s">
        <v>294</v>
      </c>
      <c r="Y9" s="168" t="s">
        <v>295</v>
      </c>
      <c r="Z9" s="168" t="s">
        <v>296</v>
      </c>
      <c r="AA9" s="165"/>
      <c r="AB9" s="168" t="s">
        <v>292</v>
      </c>
      <c r="AC9" s="168" t="s">
        <v>293</v>
      </c>
      <c r="AD9" s="168" t="s">
        <v>294</v>
      </c>
      <c r="AE9" s="168" t="s">
        <v>295</v>
      </c>
      <c r="AF9" s="168" t="s">
        <v>296</v>
      </c>
      <c r="AG9" s="165"/>
      <c r="AH9" s="168" t="s">
        <v>292</v>
      </c>
      <c r="AI9" s="168" t="s">
        <v>293</v>
      </c>
      <c r="AJ9" s="168" t="s">
        <v>294</v>
      </c>
      <c r="AK9" s="168" t="s">
        <v>295</v>
      </c>
      <c r="AL9" s="168" t="s">
        <v>296</v>
      </c>
      <c r="AM9" s="165"/>
      <c r="AN9" s="168" t="s">
        <v>292</v>
      </c>
      <c r="AO9" s="168" t="s">
        <v>293</v>
      </c>
      <c r="AP9" s="168" t="s">
        <v>294</v>
      </c>
      <c r="AQ9" s="168" t="s">
        <v>295</v>
      </c>
      <c r="AR9" s="168" t="s">
        <v>296</v>
      </c>
      <c r="AS9" s="165"/>
      <c r="AT9" s="168" t="s">
        <v>296</v>
      </c>
      <c r="AU9" s="165"/>
      <c r="AV9" s="168" t="s">
        <v>296</v>
      </c>
      <c r="AW9" s="165"/>
      <c r="AX9" s="168" t="s">
        <v>296</v>
      </c>
    </row>
    <row r="10" spans="2:50" s="41" customFormat="1" ht="3.95" customHeight="1">
      <c r="B10" s="176"/>
      <c r="C10" s="35"/>
      <c r="D10" s="177"/>
      <c r="E10" s="177"/>
      <c r="F10" s="177"/>
      <c r="G10" s="177"/>
      <c r="H10" s="177"/>
      <c r="I10" s="35"/>
      <c r="J10" s="177"/>
      <c r="K10" s="177"/>
      <c r="L10" s="177"/>
      <c r="M10" s="177"/>
      <c r="N10" s="177"/>
      <c r="O10" s="178"/>
      <c r="P10" s="177"/>
      <c r="Q10" s="177"/>
      <c r="R10" s="177"/>
      <c r="S10" s="177"/>
      <c r="T10" s="177"/>
      <c r="U10" s="178"/>
      <c r="V10" s="177"/>
      <c r="W10" s="177"/>
      <c r="X10" s="177"/>
      <c r="Y10" s="177"/>
      <c r="Z10" s="177"/>
      <c r="AA10" s="178"/>
      <c r="AB10" s="177"/>
      <c r="AC10" s="177"/>
      <c r="AD10" s="177"/>
      <c r="AE10" s="177"/>
      <c r="AF10" s="177"/>
      <c r="AG10" s="178"/>
      <c r="AH10" s="177"/>
      <c r="AI10" s="177"/>
      <c r="AJ10" s="177"/>
      <c r="AK10" s="177"/>
      <c r="AL10" s="179"/>
      <c r="AM10" s="180"/>
      <c r="AN10" s="179"/>
      <c r="AO10" s="179"/>
      <c r="AP10" s="179"/>
      <c r="AQ10" s="179"/>
      <c r="AR10" s="179"/>
      <c r="AS10" s="180"/>
      <c r="AT10" s="179"/>
      <c r="AU10" s="180"/>
      <c r="AV10" s="179"/>
      <c r="AW10" s="180"/>
      <c r="AX10" s="179"/>
    </row>
    <row r="11" spans="2:50" s="41" customFormat="1" ht="3.95" customHeight="1">
      <c r="B11" s="172"/>
      <c r="C11" s="19"/>
      <c r="D11" s="173"/>
      <c r="E11" s="173"/>
      <c r="F11" s="173"/>
      <c r="G11" s="173"/>
      <c r="H11" s="173"/>
      <c r="I11" s="19"/>
      <c r="J11" s="173"/>
      <c r="K11" s="173"/>
      <c r="L11" s="173"/>
      <c r="M11" s="173"/>
      <c r="N11" s="173"/>
      <c r="O11" s="174"/>
      <c r="P11" s="173"/>
      <c r="Q11" s="173"/>
      <c r="R11" s="173"/>
      <c r="S11" s="173"/>
      <c r="T11" s="173"/>
      <c r="U11" s="174"/>
      <c r="V11" s="173"/>
      <c r="W11" s="173"/>
      <c r="X11" s="173"/>
      <c r="Y11" s="173"/>
      <c r="Z11" s="173"/>
      <c r="AA11" s="174"/>
      <c r="AB11" s="173"/>
      <c r="AC11" s="173"/>
      <c r="AD11" s="173"/>
      <c r="AE11" s="173"/>
      <c r="AF11" s="173"/>
      <c r="AG11" s="202"/>
      <c r="AH11" s="173"/>
      <c r="AI11" s="173"/>
      <c r="AJ11" s="173"/>
      <c r="AK11" s="173"/>
      <c r="AL11" s="175"/>
      <c r="AM11" s="34"/>
      <c r="AN11" s="175"/>
      <c r="AO11" s="175"/>
      <c r="AP11" s="175"/>
      <c r="AQ11" s="175"/>
      <c r="AR11" s="175"/>
      <c r="AS11" s="34"/>
      <c r="AT11" s="175"/>
      <c r="AU11" s="34"/>
      <c r="AV11" s="175"/>
      <c r="AW11" s="34"/>
      <c r="AX11" s="175"/>
    </row>
    <row r="12" spans="2:50" s="54" customFormat="1" ht="14.25" customHeight="1">
      <c r="B12" s="45" t="s">
        <v>734</v>
      </c>
      <c r="C12" s="23"/>
      <c r="D12" s="46"/>
      <c r="E12" s="46"/>
      <c r="F12" s="46"/>
      <c r="G12" s="46"/>
      <c r="H12" s="47"/>
      <c r="I12" s="48"/>
      <c r="J12" s="46"/>
      <c r="K12" s="46"/>
      <c r="L12" s="46"/>
      <c r="M12" s="46"/>
      <c r="N12" s="47"/>
      <c r="O12" s="47"/>
      <c r="P12" s="46"/>
      <c r="Q12" s="46"/>
      <c r="R12" s="46"/>
      <c r="S12" s="46"/>
      <c r="T12" s="47"/>
      <c r="U12" s="47"/>
      <c r="V12" s="46"/>
      <c r="W12" s="46"/>
      <c r="X12" s="46"/>
      <c r="Y12" s="46"/>
      <c r="Z12" s="47"/>
      <c r="AA12" s="47"/>
      <c r="AB12" s="46"/>
      <c r="AC12" s="46"/>
      <c r="AD12" s="46"/>
      <c r="AE12" s="46"/>
      <c r="AF12" s="47"/>
      <c r="AG12" s="49"/>
      <c r="AH12" s="46"/>
      <c r="AI12" s="46"/>
      <c r="AJ12" s="50"/>
      <c r="AK12" s="50"/>
      <c r="AL12" s="47"/>
      <c r="AM12" s="51"/>
      <c r="AN12" s="50"/>
      <c r="AO12" s="50"/>
      <c r="AP12" s="50"/>
      <c r="AQ12" s="50"/>
      <c r="AR12" s="47"/>
      <c r="AS12" s="51"/>
      <c r="AT12" s="52"/>
      <c r="AU12" s="53"/>
      <c r="AV12" s="52"/>
      <c r="AW12" s="53"/>
      <c r="AX12" s="52"/>
    </row>
    <row r="13" spans="2:50" s="54" customFormat="1" ht="14.25" customHeight="1">
      <c r="B13" s="692" t="s">
        <v>298</v>
      </c>
      <c r="C13" s="23"/>
      <c r="D13" s="50">
        <v>0</v>
      </c>
      <c r="E13" s="50">
        <v>0</v>
      </c>
      <c r="F13" s="50">
        <v>0</v>
      </c>
      <c r="G13" s="50">
        <v>0</v>
      </c>
      <c r="H13" s="695" t="s">
        <v>299</v>
      </c>
      <c r="I13" s="48"/>
      <c r="J13" s="50">
        <v>0</v>
      </c>
      <c r="K13" s="50">
        <v>0</v>
      </c>
      <c r="L13" s="50">
        <v>0</v>
      </c>
      <c r="M13" s="50">
        <v>0</v>
      </c>
      <c r="N13" s="695" t="s">
        <v>300</v>
      </c>
      <c r="O13" s="47"/>
      <c r="P13" s="50">
        <v>0</v>
      </c>
      <c r="Q13" s="50">
        <v>0</v>
      </c>
      <c r="R13" s="50">
        <v>0</v>
      </c>
      <c r="S13" s="50">
        <v>0</v>
      </c>
      <c r="T13" s="695" t="s">
        <v>735</v>
      </c>
      <c r="U13" s="47"/>
      <c r="V13" s="50">
        <v>0</v>
      </c>
      <c r="W13" s="50">
        <v>0</v>
      </c>
      <c r="X13" s="50">
        <v>0</v>
      </c>
      <c r="Y13" s="50">
        <v>0</v>
      </c>
      <c r="Z13" s="695" t="s">
        <v>736</v>
      </c>
      <c r="AA13" s="47"/>
      <c r="AB13" s="50">
        <v>0</v>
      </c>
      <c r="AC13" s="50">
        <v>0</v>
      </c>
      <c r="AD13" s="50">
        <v>0</v>
      </c>
      <c r="AE13" s="50">
        <v>0</v>
      </c>
      <c r="AF13" s="696">
        <v>28618</v>
      </c>
      <c r="AG13" s="49"/>
      <c r="AH13" s="50">
        <v>0</v>
      </c>
      <c r="AI13" s="50">
        <v>0</v>
      </c>
      <c r="AJ13" s="50">
        <v>0</v>
      </c>
      <c r="AK13" s="50">
        <v>0</v>
      </c>
      <c r="AL13" s="52">
        <v>0</v>
      </c>
      <c r="AM13" s="51"/>
      <c r="AN13" s="50">
        <v>0</v>
      </c>
      <c r="AO13" s="50">
        <v>0</v>
      </c>
      <c r="AP13" s="50">
        <v>0</v>
      </c>
      <c r="AQ13" s="50">
        <v>0</v>
      </c>
      <c r="AR13" s="52">
        <v>0</v>
      </c>
      <c r="AS13" s="51"/>
      <c r="AT13" s="52">
        <v>0</v>
      </c>
      <c r="AU13" s="53"/>
      <c r="AV13" s="52">
        <v>0</v>
      </c>
      <c r="AW13" s="53"/>
      <c r="AX13" s="52">
        <v>0</v>
      </c>
    </row>
    <row r="14" spans="2:50" s="54" customFormat="1" ht="14.25" customHeight="1">
      <c r="B14" s="692" t="s">
        <v>301</v>
      </c>
      <c r="C14" s="23"/>
      <c r="D14" s="50">
        <v>0</v>
      </c>
      <c r="E14" s="50">
        <v>0</v>
      </c>
      <c r="F14" s="50">
        <v>0</v>
      </c>
      <c r="G14" s="50">
        <v>0</v>
      </c>
      <c r="H14" s="695" t="s">
        <v>302</v>
      </c>
      <c r="I14" s="48"/>
      <c r="J14" s="50">
        <v>0</v>
      </c>
      <c r="K14" s="50">
        <v>0</v>
      </c>
      <c r="L14" s="50">
        <v>0</v>
      </c>
      <c r="M14" s="50">
        <v>0</v>
      </c>
      <c r="N14" s="695" t="s">
        <v>303</v>
      </c>
      <c r="O14" s="47"/>
      <c r="P14" s="50">
        <v>0</v>
      </c>
      <c r="Q14" s="50">
        <v>0</v>
      </c>
      <c r="R14" s="50">
        <v>0</v>
      </c>
      <c r="S14" s="50">
        <v>0</v>
      </c>
      <c r="T14" s="695" t="s">
        <v>737</v>
      </c>
      <c r="U14" s="47"/>
      <c r="V14" s="50">
        <v>0</v>
      </c>
      <c r="W14" s="50">
        <v>0</v>
      </c>
      <c r="X14" s="50">
        <v>0</v>
      </c>
      <c r="Y14" s="50">
        <v>0</v>
      </c>
      <c r="Z14" s="695" t="s">
        <v>304</v>
      </c>
      <c r="AA14" s="47"/>
      <c r="AB14" s="50">
        <v>0</v>
      </c>
      <c r="AC14" s="50">
        <v>0</v>
      </c>
      <c r="AD14" s="50">
        <v>0</v>
      </c>
      <c r="AE14" s="50">
        <v>0</v>
      </c>
      <c r="AF14" s="696">
        <v>12682</v>
      </c>
      <c r="AG14" s="49"/>
      <c r="AH14" s="50">
        <v>0</v>
      </c>
      <c r="AI14" s="50">
        <v>0</v>
      </c>
      <c r="AJ14" s="50">
        <v>0</v>
      </c>
      <c r="AK14" s="50">
        <v>0</v>
      </c>
      <c r="AL14" s="52">
        <v>0</v>
      </c>
      <c r="AM14" s="51"/>
      <c r="AN14" s="50">
        <v>0</v>
      </c>
      <c r="AO14" s="50">
        <v>0</v>
      </c>
      <c r="AP14" s="50">
        <v>0</v>
      </c>
      <c r="AQ14" s="50">
        <v>0</v>
      </c>
      <c r="AR14" s="52">
        <v>0</v>
      </c>
      <c r="AS14" s="51"/>
      <c r="AT14" s="52">
        <v>0</v>
      </c>
      <c r="AU14" s="53"/>
      <c r="AV14" s="52">
        <v>0</v>
      </c>
      <c r="AW14" s="53"/>
      <c r="AX14" s="52">
        <v>0</v>
      </c>
    </row>
    <row r="15" spans="2:50" s="54" customFormat="1" ht="14.25" customHeight="1">
      <c r="B15" s="692" t="s">
        <v>306</v>
      </c>
      <c r="C15" s="23"/>
      <c r="D15" s="50">
        <v>0</v>
      </c>
      <c r="E15" s="50">
        <v>0</v>
      </c>
      <c r="F15" s="50">
        <v>0</v>
      </c>
      <c r="G15" s="50">
        <v>0</v>
      </c>
      <c r="H15" s="695" t="s">
        <v>307</v>
      </c>
      <c r="I15" s="48"/>
      <c r="J15" s="50">
        <v>0</v>
      </c>
      <c r="K15" s="50">
        <v>0</v>
      </c>
      <c r="L15" s="50">
        <v>0</v>
      </c>
      <c r="M15" s="50">
        <v>0</v>
      </c>
      <c r="N15" s="695" t="s">
        <v>308</v>
      </c>
      <c r="O15" s="47"/>
      <c r="P15" s="50">
        <v>0</v>
      </c>
      <c r="Q15" s="50">
        <v>0</v>
      </c>
      <c r="R15" s="50">
        <v>0</v>
      </c>
      <c r="S15" s="50">
        <v>0</v>
      </c>
      <c r="T15" s="695" t="s">
        <v>738</v>
      </c>
      <c r="U15" s="47"/>
      <c r="V15" s="50">
        <v>0</v>
      </c>
      <c r="W15" s="50">
        <v>0</v>
      </c>
      <c r="X15" s="50">
        <v>0</v>
      </c>
      <c r="Y15" s="50">
        <v>0</v>
      </c>
      <c r="Z15" s="695" t="s">
        <v>309</v>
      </c>
      <c r="AA15" s="47"/>
      <c r="AB15" s="50">
        <v>0</v>
      </c>
      <c r="AC15" s="50">
        <v>0</v>
      </c>
      <c r="AD15" s="50">
        <v>0</v>
      </c>
      <c r="AE15" s="50">
        <v>0</v>
      </c>
      <c r="AF15" s="696">
        <v>17264</v>
      </c>
      <c r="AG15" s="49"/>
      <c r="AH15" s="50">
        <v>0</v>
      </c>
      <c r="AI15" s="50">
        <v>0</v>
      </c>
      <c r="AJ15" s="50">
        <v>0</v>
      </c>
      <c r="AK15" s="50">
        <v>0</v>
      </c>
      <c r="AL15" s="52">
        <v>0</v>
      </c>
      <c r="AM15" s="51"/>
      <c r="AN15" s="50">
        <v>0</v>
      </c>
      <c r="AO15" s="50">
        <v>0</v>
      </c>
      <c r="AP15" s="50">
        <v>0</v>
      </c>
      <c r="AQ15" s="50">
        <v>0</v>
      </c>
      <c r="AR15" s="52">
        <v>0</v>
      </c>
      <c r="AS15" s="51"/>
      <c r="AT15" s="52">
        <v>0</v>
      </c>
      <c r="AU15" s="53"/>
      <c r="AV15" s="52">
        <v>0</v>
      </c>
      <c r="AW15" s="53"/>
      <c r="AX15" s="52">
        <v>0</v>
      </c>
    </row>
    <row r="16" spans="2:50" s="54" customFormat="1" ht="14.25" customHeight="1">
      <c r="B16" s="692" t="s">
        <v>311</v>
      </c>
      <c r="C16" s="23"/>
      <c r="D16" s="50">
        <v>0</v>
      </c>
      <c r="E16" s="50">
        <v>0</v>
      </c>
      <c r="F16" s="50">
        <v>0</v>
      </c>
      <c r="G16" s="50">
        <v>0</v>
      </c>
      <c r="H16" s="695" t="s">
        <v>312</v>
      </c>
      <c r="I16" s="48"/>
      <c r="J16" s="50">
        <v>0</v>
      </c>
      <c r="K16" s="50">
        <v>0</v>
      </c>
      <c r="L16" s="50">
        <v>0</v>
      </c>
      <c r="M16" s="50">
        <v>0</v>
      </c>
      <c r="N16" s="695" t="s">
        <v>313</v>
      </c>
      <c r="O16" s="57"/>
      <c r="P16" s="50">
        <v>0</v>
      </c>
      <c r="Q16" s="50">
        <v>0</v>
      </c>
      <c r="R16" s="50">
        <v>0</v>
      </c>
      <c r="S16" s="50">
        <v>0</v>
      </c>
      <c r="T16" s="695" t="s">
        <v>739</v>
      </c>
      <c r="U16" s="57"/>
      <c r="V16" s="50">
        <v>0</v>
      </c>
      <c r="W16" s="50">
        <v>0</v>
      </c>
      <c r="X16" s="50">
        <v>0</v>
      </c>
      <c r="Y16" s="50">
        <v>0</v>
      </c>
      <c r="Z16" s="695" t="s">
        <v>314</v>
      </c>
      <c r="AA16" s="57"/>
      <c r="AB16" s="50">
        <v>0</v>
      </c>
      <c r="AC16" s="50">
        <v>0</v>
      </c>
      <c r="AD16" s="50">
        <v>0</v>
      </c>
      <c r="AE16" s="50">
        <v>0</v>
      </c>
      <c r="AF16" s="696">
        <v>12479</v>
      </c>
      <c r="AG16" s="49"/>
      <c r="AH16" s="50">
        <v>0</v>
      </c>
      <c r="AI16" s="50">
        <v>0</v>
      </c>
      <c r="AJ16" s="50">
        <v>0</v>
      </c>
      <c r="AK16" s="50">
        <v>0</v>
      </c>
      <c r="AL16" s="58">
        <v>0</v>
      </c>
      <c r="AM16" s="51"/>
      <c r="AN16" s="50">
        <v>0</v>
      </c>
      <c r="AO16" s="50">
        <v>0</v>
      </c>
      <c r="AP16" s="50">
        <v>0</v>
      </c>
      <c r="AQ16" s="50">
        <v>0</v>
      </c>
      <c r="AR16" s="58">
        <v>0</v>
      </c>
      <c r="AS16" s="51"/>
      <c r="AT16" s="58">
        <v>0</v>
      </c>
      <c r="AU16" s="53"/>
      <c r="AV16" s="58">
        <v>0</v>
      </c>
      <c r="AW16" s="53"/>
      <c r="AX16" s="58">
        <v>0</v>
      </c>
    </row>
    <row r="17" spans="1:50" s="54" customFormat="1" ht="14.25" customHeight="1">
      <c r="A17" s="55"/>
      <c r="B17" s="59" t="s">
        <v>316</v>
      </c>
      <c r="C17" s="23"/>
      <c r="D17" s="60">
        <v>15651</v>
      </c>
      <c r="E17" s="60">
        <v>16220</v>
      </c>
      <c r="F17" s="60">
        <v>16495</v>
      </c>
      <c r="G17" s="60">
        <v>17032</v>
      </c>
      <c r="H17" s="61">
        <v>65398</v>
      </c>
      <c r="I17" s="48"/>
      <c r="J17" s="60">
        <v>16258</v>
      </c>
      <c r="K17" s="60">
        <v>17029</v>
      </c>
      <c r="L17" s="60">
        <v>16028</v>
      </c>
      <c r="M17" s="60">
        <v>17729</v>
      </c>
      <c r="N17" s="61">
        <v>67044</v>
      </c>
      <c r="O17" s="47"/>
      <c r="P17" s="60">
        <v>14964</v>
      </c>
      <c r="Q17" s="60">
        <v>15446</v>
      </c>
      <c r="R17" s="60">
        <v>16583</v>
      </c>
      <c r="S17" s="60">
        <v>18991</v>
      </c>
      <c r="T17" s="61">
        <v>65984</v>
      </c>
      <c r="U17" s="47"/>
      <c r="V17" s="60">
        <v>15126</v>
      </c>
      <c r="W17" s="60">
        <v>16693</v>
      </c>
      <c r="X17" s="60">
        <v>16878</v>
      </c>
      <c r="Y17" s="60">
        <v>18874</v>
      </c>
      <c r="Z17" s="61">
        <v>67571</v>
      </c>
      <c r="AA17" s="47"/>
      <c r="AB17" s="60">
        <v>17195</v>
      </c>
      <c r="AC17" s="60">
        <v>18122</v>
      </c>
      <c r="AD17" s="60">
        <v>17104</v>
      </c>
      <c r="AE17" s="60">
        <v>18622</v>
      </c>
      <c r="AF17" s="61">
        <v>71043</v>
      </c>
      <c r="AG17" s="49"/>
      <c r="AH17" s="60">
        <v>17963</v>
      </c>
      <c r="AI17" s="60">
        <v>18155</v>
      </c>
      <c r="AJ17" s="62">
        <v>25000</v>
      </c>
      <c r="AK17" s="62">
        <v>25000</v>
      </c>
      <c r="AL17" s="63">
        <v>86118</v>
      </c>
      <c r="AM17" s="51"/>
      <c r="AN17" s="62">
        <v>22000</v>
      </c>
      <c r="AO17" s="62">
        <v>22000</v>
      </c>
      <c r="AP17" s="62">
        <v>22000</v>
      </c>
      <c r="AQ17" s="62">
        <v>22000</v>
      </c>
      <c r="AR17" s="63">
        <v>88000</v>
      </c>
      <c r="AS17" s="51"/>
      <c r="AT17" s="63">
        <v>90000</v>
      </c>
      <c r="AU17" s="53"/>
      <c r="AV17" s="63">
        <v>87000</v>
      </c>
      <c r="AW17" s="53"/>
      <c r="AX17" s="63">
        <v>105000</v>
      </c>
    </row>
    <row r="18" spans="1:50" s="54" customFormat="1" ht="14.25" customHeight="1">
      <c r="A18" s="55"/>
      <c r="B18" s="64"/>
      <c r="C18" s="23"/>
      <c r="D18" s="46"/>
      <c r="E18" s="46"/>
      <c r="F18" s="46"/>
      <c r="G18" s="46"/>
      <c r="H18" s="47"/>
      <c r="I18" s="48"/>
      <c r="J18" s="46"/>
      <c r="K18" s="46"/>
      <c r="L18" s="46"/>
      <c r="M18" s="46"/>
      <c r="N18" s="47"/>
      <c r="O18" s="47"/>
      <c r="P18" s="46"/>
      <c r="Q18" s="46"/>
      <c r="R18" s="46"/>
      <c r="S18" s="46"/>
      <c r="T18" s="47"/>
      <c r="U18" s="47"/>
      <c r="V18" s="46"/>
      <c r="W18" s="46"/>
      <c r="X18" s="46"/>
      <c r="Y18" s="46"/>
      <c r="Z18" s="47"/>
      <c r="AA18" s="47"/>
      <c r="AB18" s="46"/>
      <c r="AC18" s="46"/>
      <c r="AD18" s="46"/>
      <c r="AE18" s="46"/>
      <c r="AF18" s="47"/>
      <c r="AG18" s="49"/>
      <c r="AH18" s="564"/>
      <c r="AI18" s="46"/>
      <c r="AJ18" s="50"/>
      <c r="AK18" s="50"/>
      <c r="AL18" s="52"/>
      <c r="AM18" s="51"/>
      <c r="AN18" s="50"/>
      <c r="AO18" s="50"/>
      <c r="AP18" s="50"/>
      <c r="AQ18" s="50"/>
      <c r="AR18" s="52"/>
      <c r="AS18" s="51"/>
      <c r="AT18" s="52"/>
      <c r="AU18" s="53"/>
      <c r="AV18" s="52"/>
      <c r="AW18" s="53"/>
      <c r="AX18" s="52"/>
    </row>
    <row r="19" spans="1:50" s="54" customFormat="1" ht="14.25" customHeight="1">
      <c r="A19" s="44" t="s">
        <v>41</v>
      </c>
      <c r="B19" s="65" t="s">
        <v>740</v>
      </c>
      <c r="C19" s="21"/>
      <c r="D19" s="46"/>
      <c r="E19" s="46"/>
      <c r="F19" s="46"/>
      <c r="G19" s="46"/>
      <c r="H19" s="66"/>
      <c r="I19" s="48"/>
      <c r="J19" s="46"/>
      <c r="K19" s="46"/>
      <c r="L19" s="46"/>
      <c r="M19" s="46"/>
      <c r="N19" s="66"/>
      <c r="O19" s="48"/>
      <c r="P19" s="46"/>
      <c r="Q19" s="46"/>
      <c r="R19" s="46"/>
      <c r="S19" s="46"/>
      <c r="T19" s="66"/>
      <c r="U19" s="48"/>
      <c r="V19" s="46"/>
      <c r="W19" s="46"/>
      <c r="X19" s="46"/>
      <c r="Y19" s="46"/>
      <c r="Z19" s="66"/>
      <c r="AA19" s="51"/>
      <c r="AB19" s="46"/>
      <c r="AC19" s="46"/>
      <c r="AD19" s="46"/>
      <c r="AE19" s="46"/>
      <c r="AF19" s="66"/>
      <c r="AG19" s="49"/>
      <c r="AH19" s="46"/>
      <c r="AI19" s="46"/>
      <c r="AJ19" s="50"/>
      <c r="AK19" s="50"/>
      <c r="AL19" s="68"/>
      <c r="AM19" s="67"/>
      <c r="AN19" s="50"/>
      <c r="AO19" s="50"/>
      <c r="AP19" s="50"/>
      <c r="AQ19" s="50"/>
      <c r="AR19" s="68"/>
      <c r="AS19" s="67"/>
      <c r="AT19" s="68"/>
      <c r="AU19" s="69"/>
      <c r="AV19" s="68"/>
      <c r="AW19" s="69"/>
      <c r="AX19" s="68"/>
    </row>
    <row r="20" spans="1:50" s="54" customFormat="1" ht="14.25" customHeight="1">
      <c r="A20" s="55"/>
      <c r="B20" s="70" t="s">
        <v>741</v>
      </c>
      <c r="C20" s="24"/>
      <c r="D20" s="60">
        <v>13560</v>
      </c>
      <c r="E20" s="60">
        <v>14007</v>
      </c>
      <c r="F20" s="60">
        <v>14359</v>
      </c>
      <c r="G20" s="60">
        <v>14818</v>
      </c>
      <c r="H20" s="66">
        <v>56744</v>
      </c>
      <c r="I20" s="48"/>
      <c r="J20" s="60">
        <v>14072</v>
      </c>
      <c r="K20" s="60">
        <v>14878</v>
      </c>
      <c r="L20" s="60">
        <v>13726</v>
      </c>
      <c r="M20" s="60">
        <v>15307</v>
      </c>
      <c r="N20" s="66">
        <v>57983</v>
      </c>
      <c r="O20" s="48"/>
      <c r="P20" s="60">
        <v>13055</v>
      </c>
      <c r="Q20" s="60">
        <v>13490</v>
      </c>
      <c r="R20" s="60">
        <v>14463</v>
      </c>
      <c r="S20" s="60">
        <v>16689</v>
      </c>
      <c r="T20" s="66">
        <v>57697</v>
      </c>
      <c r="U20" s="48"/>
      <c r="V20" s="60">
        <v>13080</v>
      </c>
      <c r="W20" s="60">
        <v>14603</v>
      </c>
      <c r="X20" s="60">
        <v>14830</v>
      </c>
      <c r="Y20" s="60">
        <v>16579</v>
      </c>
      <c r="Z20" s="66">
        <v>59092</v>
      </c>
      <c r="AA20" s="51"/>
      <c r="AB20" s="60">
        <v>15202</v>
      </c>
      <c r="AC20" s="60">
        <v>15905</v>
      </c>
      <c r="AD20" s="60">
        <v>14987</v>
      </c>
      <c r="AE20" s="60">
        <v>17932</v>
      </c>
      <c r="AF20" s="66">
        <v>64113</v>
      </c>
      <c r="AG20" s="49"/>
      <c r="AH20" s="60">
        <v>15640</v>
      </c>
      <c r="AI20" s="60">
        <v>17355</v>
      </c>
      <c r="AJ20" s="50">
        <v>0</v>
      </c>
      <c r="AK20" s="50">
        <v>0</v>
      </c>
      <c r="AL20" s="68">
        <v>32995</v>
      </c>
      <c r="AM20" s="71"/>
      <c r="AN20" s="50">
        <v>0</v>
      </c>
      <c r="AO20" s="50">
        <v>0</v>
      </c>
      <c r="AP20" s="50">
        <v>0</v>
      </c>
      <c r="AQ20" s="50">
        <v>0</v>
      </c>
      <c r="AR20" s="68">
        <v>0</v>
      </c>
      <c r="AS20" s="71"/>
      <c r="AT20" s="68">
        <v>0</v>
      </c>
      <c r="AU20" s="72"/>
      <c r="AV20" s="68">
        <v>0</v>
      </c>
      <c r="AW20" s="72"/>
      <c r="AX20" s="68">
        <v>0</v>
      </c>
    </row>
    <row r="21" spans="1:50" s="54" customFormat="1" ht="14.25" customHeight="1">
      <c r="A21" s="73"/>
      <c r="B21" s="70" t="s">
        <v>742</v>
      </c>
      <c r="C21" s="21"/>
      <c r="D21" s="60">
        <v>0</v>
      </c>
      <c r="E21" s="60">
        <v>0</v>
      </c>
      <c r="F21" s="60">
        <v>0</v>
      </c>
      <c r="G21" s="60">
        <v>0</v>
      </c>
      <c r="H21" s="74">
        <v>0</v>
      </c>
      <c r="I21" s="48"/>
      <c r="J21" s="60">
        <v>0</v>
      </c>
      <c r="K21" s="60">
        <v>0</v>
      </c>
      <c r="L21" s="60">
        <v>0</v>
      </c>
      <c r="M21" s="60">
        <v>0</v>
      </c>
      <c r="N21" s="74">
        <v>0</v>
      </c>
      <c r="O21" s="48"/>
      <c r="P21" s="60">
        <v>0</v>
      </c>
      <c r="Q21" s="60">
        <v>0</v>
      </c>
      <c r="R21" s="60">
        <v>0</v>
      </c>
      <c r="S21" s="60">
        <v>0</v>
      </c>
      <c r="T21" s="74">
        <v>0</v>
      </c>
      <c r="U21" s="48"/>
      <c r="V21" s="60">
        <v>0</v>
      </c>
      <c r="W21" s="60">
        <v>0</v>
      </c>
      <c r="X21" s="60">
        <v>0</v>
      </c>
      <c r="Y21" s="60">
        <v>0</v>
      </c>
      <c r="Z21" s="74">
        <v>0</v>
      </c>
      <c r="AA21" s="51"/>
      <c r="AB21" s="60">
        <v>0</v>
      </c>
      <c r="AC21" s="60">
        <v>0</v>
      </c>
      <c r="AD21" s="60">
        <v>0</v>
      </c>
      <c r="AE21" s="60">
        <v>0</v>
      </c>
      <c r="AF21" s="74">
        <v>0</v>
      </c>
      <c r="AG21" s="49"/>
      <c r="AH21" s="60">
        <v>0</v>
      </c>
      <c r="AI21" s="60">
        <v>0</v>
      </c>
      <c r="AJ21" s="50">
        <v>0</v>
      </c>
      <c r="AK21" s="50">
        <v>0</v>
      </c>
      <c r="AL21" s="75">
        <v>0</v>
      </c>
      <c r="AM21" s="71"/>
      <c r="AN21" s="50">
        <v>0</v>
      </c>
      <c r="AO21" s="50">
        <v>0</v>
      </c>
      <c r="AP21" s="50">
        <v>0</v>
      </c>
      <c r="AQ21" s="50">
        <v>0</v>
      </c>
      <c r="AR21" s="75">
        <v>0</v>
      </c>
      <c r="AS21" s="71"/>
      <c r="AT21" s="75">
        <v>0</v>
      </c>
      <c r="AU21" s="72"/>
      <c r="AV21" s="75">
        <v>0</v>
      </c>
      <c r="AW21" s="72"/>
      <c r="AX21" s="75">
        <v>0</v>
      </c>
    </row>
    <row r="22" spans="1:50" s="54" customFormat="1" ht="14.25" customHeight="1">
      <c r="A22" s="55"/>
      <c r="B22" s="76" t="s">
        <v>743</v>
      </c>
      <c r="C22" s="23"/>
      <c r="D22" s="46">
        <v>13560</v>
      </c>
      <c r="E22" s="46">
        <v>14007</v>
      </c>
      <c r="F22" s="46">
        <v>14359</v>
      </c>
      <c r="G22" s="46">
        <v>14818</v>
      </c>
      <c r="H22" s="77">
        <v>56744</v>
      </c>
      <c r="I22" s="48"/>
      <c r="J22" s="46">
        <v>14072</v>
      </c>
      <c r="K22" s="46">
        <v>14878</v>
      </c>
      <c r="L22" s="46">
        <v>13726</v>
      </c>
      <c r="M22" s="46">
        <v>15307</v>
      </c>
      <c r="N22" s="77">
        <v>57983</v>
      </c>
      <c r="O22" s="48"/>
      <c r="P22" s="46">
        <v>13055</v>
      </c>
      <c r="Q22" s="46">
        <v>13490</v>
      </c>
      <c r="R22" s="46">
        <v>14463</v>
      </c>
      <c r="S22" s="46">
        <v>16689</v>
      </c>
      <c r="T22" s="77">
        <v>57697</v>
      </c>
      <c r="U22" s="48"/>
      <c r="V22" s="46">
        <v>13080</v>
      </c>
      <c r="W22" s="46">
        <v>14603</v>
      </c>
      <c r="X22" s="46">
        <v>14830</v>
      </c>
      <c r="Y22" s="46">
        <v>16579</v>
      </c>
      <c r="Z22" s="77">
        <v>59092</v>
      </c>
      <c r="AA22" s="51"/>
      <c r="AB22" s="46">
        <v>15202</v>
      </c>
      <c r="AC22" s="46">
        <v>15905</v>
      </c>
      <c r="AD22" s="46">
        <v>14987</v>
      </c>
      <c r="AE22" s="46">
        <v>17932</v>
      </c>
      <c r="AF22" s="77">
        <v>64113</v>
      </c>
      <c r="AG22" s="49"/>
      <c r="AH22" s="46">
        <v>15640</v>
      </c>
      <c r="AI22" s="46">
        <v>17355</v>
      </c>
      <c r="AJ22" s="50">
        <v>25000</v>
      </c>
      <c r="AK22" s="50">
        <v>25000</v>
      </c>
      <c r="AL22" s="78">
        <v>53123</v>
      </c>
      <c r="AM22" s="71"/>
      <c r="AN22" s="50">
        <v>22000</v>
      </c>
      <c r="AO22" s="50">
        <v>22000</v>
      </c>
      <c r="AP22" s="50">
        <v>22000</v>
      </c>
      <c r="AQ22" s="50">
        <v>22000</v>
      </c>
      <c r="AR22" s="78">
        <v>88000</v>
      </c>
      <c r="AS22" s="71"/>
      <c r="AT22" s="78">
        <v>90000</v>
      </c>
      <c r="AU22" s="72"/>
      <c r="AV22" s="78">
        <v>87000</v>
      </c>
      <c r="AW22" s="72"/>
      <c r="AX22" s="78">
        <v>105000</v>
      </c>
    </row>
    <row r="23" spans="1:50" s="54" customFormat="1" ht="14.25" customHeight="1">
      <c r="A23" s="73"/>
      <c r="B23" s="79" t="s">
        <v>391</v>
      </c>
      <c r="C23" s="21"/>
      <c r="D23" s="46">
        <v>2091</v>
      </c>
      <c r="E23" s="46">
        <v>2213</v>
      </c>
      <c r="F23" s="46">
        <v>2136</v>
      </c>
      <c r="G23" s="46">
        <v>2214</v>
      </c>
      <c r="H23" s="77">
        <v>8654</v>
      </c>
      <c r="I23" s="48"/>
      <c r="J23" s="46">
        <v>2186</v>
      </c>
      <c r="K23" s="46">
        <v>2151</v>
      </c>
      <c r="L23" s="46">
        <v>2302</v>
      </c>
      <c r="M23" s="46">
        <v>2422</v>
      </c>
      <c r="N23" s="77">
        <v>9061</v>
      </c>
      <c r="O23" s="48"/>
      <c r="P23" s="46">
        <v>1909</v>
      </c>
      <c r="Q23" s="46">
        <v>1956</v>
      </c>
      <c r="R23" s="46">
        <v>2120</v>
      </c>
      <c r="S23" s="46">
        <v>2302</v>
      </c>
      <c r="T23" s="77">
        <v>8287</v>
      </c>
      <c r="U23" s="48"/>
      <c r="V23" s="46">
        <v>2046</v>
      </c>
      <c r="W23" s="46">
        <v>2090</v>
      </c>
      <c r="X23" s="46">
        <v>2048</v>
      </c>
      <c r="Y23" s="46">
        <v>2295</v>
      </c>
      <c r="Z23" s="77">
        <v>8479</v>
      </c>
      <c r="AA23" s="51"/>
      <c r="AB23" s="46">
        <v>1993</v>
      </c>
      <c r="AC23" s="46">
        <v>2217</v>
      </c>
      <c r="AD23" s="46">
        <v>2117</v>
      </c>
      <c r="AE23" s="46">
        <v>690</v>
      </c>
      <c r="AF23" s="77">
        <v>6930</v>
      </c>
      <c r="AG23" s="49"/>
      <c r="AH23" s="46">
        <v>2323</v>
      </c>
      <c r="AI23" s="46">
        <v>800</v>
      </c>
      <c r="AJ23" s="50">
        <v>25000</v>
      </c>
      <c r="AK23" s="50">
        <v>25000</v>
      </c>
      <c r="AL23" s="78">
        <v>53123</v>
      </c>
      <c r="AM23" s="71"/>
      <c r="AN23" s="50">
        <v>22000</v>
      </c>
      <c r="AO23" s="50">
        <v>22000</v>
      </c>
      <c r="AP23" s="50">
        <v>22000</v>
      </c>
      <c r="AQ23" s="50">
        <v>22000</v>
      </c>
      <c r="AR23" s="78">
        <v>88000</v>
      </c>
      <c r="AS23" s="71"/>
      <c r="AT23" s="78">
        <v>90000</v>
      </c>
      <c r="AU23" s="72"/>
      <c r="AV23" s="78">
        <v>87000</v>
      </c>
      <c r="AW23" s="72"/>
      <c r="AX23" s="78">
        <v>105000</v>
      </c>
    </row>
    <row r="24" spans="1:50" s="54" customFormat="1" ht="14.25" customHeight="1">
      <c r="A24" s="55"/>
      <c r="B24" s="80"/>
      <c r="C24" s="23"/>
      <c r="D24" s="46"/>
      <c r="E24" s="46"/>
      <c r="F24" s="46"/>
      <c r="G24" s="46"/>
      <c r="H24" s="289"/>
      <c r="I24" s="289"/>
      <c r="J24" s="289"/>
      <c r="K24" s="289"/>
      <c r="L24" s="289"/>
      <c r="M24" s="289"/>
      <c r="N24" s="289"/>
      <c r="O24" s="289"/>
      <c r="P24" s="289"/>
      <c r="Q24" s="289"/>
      <c r="R24" s="289"/>
      <c r="S24" s="289"/>
      <c r="T24" s="289"/>
      <c r="U24" s="289"/>
      <c r="V24" s="289"/>
      <c r="W24" s="289"/>
      <c r="X24" s="289"/>
      <c r="Y24" s="289"/>
      <c r="Z24" s="289"/>
      <c r="AA24" s="289"/>
      <c r="AB24" s="289"/>
      <c r="AC24" s="289"/>
      <c r="AD24" s="289"/>
      <c r="AE24" s="289"/>
      <c r="AF24" s="289"/>
      <c r="AG24" s="49"/>
      <c r="AH24" s="46"/>
      <c r="AI24" s="46"/>
      <c r="AJ24" s="50"/>
      <c r="AK24" s="50"/>
      <c r="AL24" s="68"/>
      <c r="AM24" s="71"/>
      <c r="AN24" s="50"/>
      <c r="AO24" s="50"/>
      <c r="AP24" s="50"/>
      <c r="AQ24" s="50"/>
      <c r="AR24" s="68"/>
      <c r="AS24" s="71"/>
      <c r="AT24" s="68"/>
      <c r="AU24" s="72"/>
      <c r="AV24" s="68"/>
      <c r="AW24" s="72"/>
      <c r="AX24" s="68"/>
    </row>
    <row r="25" spans="1:50" s="54" customFormat="1" ht="14.25" customHeight="1">
      <c r="A25" s="44" t="s">
        <v>41</v>
      </c>
      <c r="B25" s="65" t="s">
        <v>744</v>
      </c>
      <c r="C25" s="21"/>
      <c r="D25" s="46"/>
      <c r="E25" s="46"/>
      <c r="F25" s="46"/>
      <c r="G25" s="46"/>
      <c r="H25" s="66"/>
      <c r="I25" s="48"/>
      <c r="J25" s="46"/>
      <c r="K25" s="46"/>
      <c r="L25" s="46"/>
      <c r="M25" s="46"/>
      <c r="N25" s="66"/>
      <c r="O25" s="48"/>
      <c r="P25" s="46"/>
      <c r="Q25" s="46"/>
      <c r="R25" s="46"/>
      <c r="S25" s="46"/>
      <c r="T25" s="66"/>
      <c r="U25" s="48"/>
      <c r="V25" s="46"/>
      <c r="W25" s="46"/>
      <c r="X25" s="46"/>
      <c r="Y25" s="46"/>
      <c r="Z25" s="66"/>
      <c r="AA25" s="81"/>
      <c r="AB25" s="46"/>
      <c r="AC25" s="46"/>
      <c r="AD25" s="46"/>
      <c r="AE25" s="46"/>
      <c r="AF25" s="66"/>
      <c r="AG25" s="82"/>
      <c r="AH25" s="46"/>
      <c r="AI25" s="46"/>
      <c r="AJ25" s="50"/>
      <c r="AK25" s="50"/>
      <c r="AL25" s="68"/>
      <c r="AM25" s="81"/>
      <c r="AN25" s="50"/>
      <c r="AO25" s="50"/>
      <c r="AP25" s="50"/>
      <c r="AQ25" s="50"/>
      <c r="AR25" s="68"/>
      <c r="AS25" s="81"/>
      <c r="AT25" s="68"/>
      <c r="AU25" s="83"/>
      <c r="AV25" s="68"/>
      <c r="AW25" s="83"/>
      <c r="AX25" s="68"/>
    </row>
    <row r="26" spans="1:50" s="54" customFormat="1" ht="14.25" customHeight="1">
      <c r="A26" s="84"/>
      <c r="B26" s="70" t="s">
        <v>745</v>
      </c>
      <c r="C26" s="26"/>
      <c r="D26" s="46">
        <v>0</v>
      </c>
      <c r="E26" s="46">
        <v>0</v>
      </c>
      <c r="F26" s="46">
        <v>0</v>
      </c>
      <c r="G26" s="46">
        <v>0</v>
      </c>
      <c r="H26" s="66">
        <v>0</v>
      </c>
      <c r="I26" s="48"/>
      <c r="J26" s="46">
        <v>0</v>
      </c>
      <c r="K26" s="46">
        <v>0</v>
      </c>
      <c r="L26" s="46">
        <v>0</v>
      </c>
      <c r="M26" s="46">
        <v>0</v>
      </c>
      <c r="N26" s="66">
        <v>0</v>
      </c>
      <c r="O26" s="48"/>
      <c r="P26" s="46">
        <v>0</v>
      </c>
      <c r="Q26" s="46">
        <v>0</v>
      </c>
      <c r="R26" s="46">
        <v>0</v>
      </c>
      <c r="S26" s="46">
        <v>0</v>
      </c>
      <c r="T26" s="66">
        <v>0</v>
      </c>
      <c r="U26" s="48"/>
      <c r="V26" s="46">
        <v>0</v>
      </c>
      <c r="W26" s="46">
        <v>0</v>
      </c>
      <c r="X26" s="46">
        <v>0</v>
      </c>
      <c r="Y26" s="46">
        <v>0</v>
      </c>
      <c r="Z26" s="66">
        <v>0</v>
      </c>
      <c r="AA26" s="81"/>
      <c r="AB26" s="46">
        <v>0</v>
      </c>
      <c r="AC26" s="46">
        <v>0</v>
      </c>
      <c r="AD26" s="46">
        <v>0</v>
      </c>
      <c r="AE26" s="46">
        <v>0</v>
      </c>
      <c r="AF26" s="66">
        <v>0</v>
      </c>
      <c r="AG26" s="82"/>
      <c r="AH26" s="46">
        <v>0</v>
      </c>
      <c r="AI26" s="46">
        <v>0</v>
      </c>
      <c r="AJ26" s="50">
        <v>0</v>
      </c>
      <c r="AK26" s="50">
        <v>0</v>
      </c>
      <c r="AL26" s="68">
        <v>0</v>
      </c>
      <c r="AM26" s="81"/>
      <c r="AN26" s="50">
        <v>0</v>
      </c>
      <c r="AO26" s="50">
        <v>0</v>
      </c>
      <c r="AP26" s="50">
        <v>0</v>
      </c>
      <c r="AQ26" s="50">
        <v>0</v>
      </c>
      <c r="AR26" s="68">
        <v>0</v>
      </c>
      <c r="AS26" s="81"/>
      <c r="AT26" s="68">
        <v>0</v>
      </c>
      <c r="AU26" s="83"/>
      <c r="AV26" s="68">
        <v>0</v>
      </c>
      <c r="AW26" s="83"/>
      <c r="AX26" s="68">
        <v>0</v>
      </c>
    </row>
    <row r="27" spans="1:50" s="54" customFormat="1" ht="14.25" customHeight="1">
      <c r="A27" s="55"/>
      <c r="B27" s="70" t="s">
        <v>746</v>
      </c>
      <c r="C27" s="23"/>
      <c r="D27" s="46">
        <v>0</v>
      </c>
      <c r="E27" s="46">
        <v>0</v>
      </c>
      <c r="F27" s="46">
        <v>0</v>
      </c>
      <c r="G27" s="46">
        <v>0</v>
      </c>
      <c r="H27" s="66">
        <v>0</v>
      </c>
      <c r="I27" s="48"/>
      <c r="J27" s="46">
        <v>0</v>
      </c>
      <c r="K27" s="46">
        <v>0</v>
      </c>
      <c r="L27" s="46">
        <v>0</v>
      </c>
      <c r="M27" s="46">
        <v>0</v>
      </c>
      <c r="N27" s="66">
        <v>0</v>
      </c>
      <c r="O27" s="48"/>
      <c r="P27" s="46">
        <v>0</v>
      </c>
      <c r="Q27" s="46">
        <v>0</v>
      </c>
      <c r="R27" s="46">
        <v>0</v>
      </c>
      <c r="S27" s="46">
        <v>0</v>
      </c>
      <c r="T27" s="66">
        <v>0</v>
      </c>
      <c r="U27" s="48"/>
      <c r="V27" s="46">
        <v>0</v>
      </c>
      <c r="W27" s="46">
        <v>0</v>
      </c>
      <c r="X27" s="46">
        <v>0</v>
      </c>
      <c r="Y27" s="46">
        <v>0</v>
      </c>
      <c r="Z27" s="66">
        <v>0</v>
      </c>
      <c r="AA27" s="51"/>
      <c r="AB27" s="46">
        <v>0</v>
      </c>
      <c r="AC27" s="46">
        <v>0</v>
      </c>
      <c r="AD27" s="46">
        <v>0</v>
      </c>
      <c r="AE27" s="46">
        <v>0</v>
      </c>
      <c r="AF27" s="66">
        <v>0</v>
      </c>
      <c r="AG27" s="49"/>
      <c r="AH27" s="46">
        <v>0</v>
      </c>
      <c r="AI27" s="46">
        <v>0</v>
      </c>
      <c r="AJ27" s="50">
        <v>0</v>
      </c>
      <c r="AK27" s="50">
        <v>0</v>
      </c>
      <c r="AL27" s="68">
        <v>0</v>
      </c>
      <c r="AM27" s="71"/>
      <c r="AN27" s="50">
        <v>0</v>
      </c>
      <c r="AO27" s="50">
        <v>0</v>
      </c>
      <c r="AP27" s="50">
        <v>0</v>
      </c>
      <c r="AQ27" s="50">
        <v>0</v>
      </c>
      <c r="AR27" s="68">
        <v>0</v>
      </c>
      <c r="AS27" s="71"/>
      <c r="AT27" s="68">
        <v>0</v>
      </c>
      <c r="AU27" s="72"/>
      <c r="AV27" s="68">
        <v>0</v>
      </c>
      <c r="AW27" s="72"/>
      <c r="AX27" s="68">
        <v>0</v>
      </c>
    </row>
    <row r="28" spans="1:50" s="54" customFormat="1" ht="14.25" customHeight="1">
      <c r="A28" s="73"/>
      <c r="B28" s="70" t="s">
        <v>747</v>
      </c>
      <c r="C28" s="21"/>
      <c r="D28" s="46">
        <v>0</v>
      </c>
      <c r="E28" s="46">
        <v>0</v>
      </c>
      <c r="F28" s="46">
        <v>0</v>
      </c>
      <c r="G28" s="46">
        <v>0</v>
      </c>
      <c r="H28" s="66">
        <v>0</v>
      </c>
      <c r="I28" s="48"/>
      <c r="J28" s="46">
        <v>0</v>
      </c>
      <c r="K28" s="46">
        <v>0</v>
      </c>
      <c r="L28" s="46">
        <v>0</v>
      </c>
      <c r="M28" s="46">
        <v>0</v>
      </c>
      <c r="N28" s="66">
        <v>0</v>
      </c>
      <c r="O28" s="48"/>
      <c r="P28" s="46">
        <v>0</v>
      </c>
      <c r="Q28" s="46">
        <v>0</v>
      </c>
      <c r="R28" s="46">
        <v>0</v>
      </c>
      <c r="S28" s="46">
        <v>0</v>
      </c>
      <c r="T28" s="66">
        <v>0</v>
      </c>
      <c r="U28" s="48"/>
      <c r="V28" s="46">
        <v>0</v>
      </c>
      <c r="W28" s="46">
        <v>0</v>
      </c>
      <c r="X28" s="46">
        <v>0</v>
      </c>
      <c r="Y28" s="46">
        <v>0</v>
      </c>
      <c r="Z28" s="66">
        <v>0</v>
      </c>
      <c r="AA28" s="81"/>
      <c r="AB28" s="46">
        <v>0</v>
      </c>
      <c r="AC28" s="46">
        <v>0</v>
      </c>
      <c r="AD28" s="46">
        <v>0</v>
      </c>
      <c r="AE28" s="46">
        <v>0</v>
      </c>
      <c r="AF28" s="66">
        <v>0</v>
      </c>
      <c r="AG28" s="82"/>
      <c r="AH28" s="46">
        <v>0</v>
      </c>
      <c r="AI28" s="46">
        <v>0</v>
      </c>
      <c r="AJ28" s="50">
        <v>0</v>
      </c>
      <c r="AK28" s="50">
        <v>0</v>
      </c>
      <c r="AL28" s="68">
        <v>0</v>
      </c>
      <c r="AM28" s="81"/>
      <c r="AN28" s="50">
        <v>0</v>
      </c>
      <c r="AO28" s="50">
        <v>0</v>
      </c>
      <c r="AP28" s="50">
        <v>0</v>
      </c>
      <c r="AQ28" s="50">
        <v>0</v>
      </c>
      <c r="AR28" s="68">
        <v>0</v>
      </c>
      <c r="AS28" s="81"/>
      <c r="AT28" s="68">
        <v>0</v>
      </c>
      <c r="AU28" s="83"/>
      <c r="AV28" s="68">
        <v>0</v>
      </c>
      <c r="AW28" s="83"/>
      <c r="AX28" s="68">
        <v>0</v>
      </c>
    </row>
    <row r="29" spans="1:50" s="54" customFormat="1" ht="14.25" customHeight="1">
      <c r="A29" s="55"/>
      <c r="B29" s="70" t="s">
        <v>748</v>
      </c>
      <c r="C29" s="23"/>
      <c r="D29" s="46">
        <v>-500</v>
      </c>
      <c r="E29" s="46">
        <v>-470</v>
      </c>
      <c r="F29" s="46">
        <v>-480</v>
      </c>
      <c r="G29" s="46">
        <v>-571</v>
      </c>
      <c r="H29" s="74">
        <v>-1866</v>
      </c>
      <c r="I29" s="48"/>
      <c r="J29" s="46">
        <v>-521</v>
      </c>
      <c r="K29" s="46">
        <v>-530</v>
      </c>
      <c r="L29" s="46">
        <v>-2183</v>
      </c>
      <c r="M29" s="46">
        <v>-524</v>
      </c>
      <c r="N29" s="74">
        <v>-2058</v>
      </c>
      <c r="O29" s="48"/>
      <c r="P29" s="46">
        <v>402</v>
      </c>
      <c r="Q29" s="46">
        <v>418</v>
      </c>
      <c r="R29" s="46">
        <v>-469</v>
      </c>
      <c r="S29" s="46">
        <v>437</v>
      </c>
      <c r="T29" s="74">
        <v>1548</v>
      </c>
      <c r="U29" s="48"/>
      <c r="V29" s="46">
        <v>-406</v>
      </c>
      <c r="W29" s="46">
        <v>-416</v>
      </c>
      <c r="X29" s="46">
        <v>6</v>
      </c>
      <c r="Y29" s="46">
        <v>325</v>
      </c>
      <c r="Z29" s="74">
        <v>1540</v>
      </c>
      <c r="AA29" s="51"/>
      <c r="AB29" s="46">
        <v>-424</v>
      </c>
      <c r="AC29" s="46">
        <v>-319</v>
      </c>
      <c r="AD29" s="46">
        <v>-429</v>
      </c>
      <c r="AE29" s="46">
        <v>-412</v>
      </c>
      <c r="AF29" s="74">
        <v>-1794</v>
      </c>
      <c r="AG29" s="49"/>
      <c r="AH29" s="46">
        <v>-428</v>
      </c>
      <c r="AI29" s="46">
        <v>-313</v>
      </c>
      <c r="AJ29" s="50">
        <v>0</v>
      </c>
      <c r="AK29" s="50">
        <v>0</v>
      </c>
      <c r="AL29" s="75">
        <v>-727</v>
      </c>
      <c r="AM29" s="71"/>
      <c r="AN29" s="50">
        <v>0</v>
      </c>
      <c r="AO29" s="50">
        <v>0</v>
      </c>
      <c r="AP29" s="50">
        <v>0</v>
      </c>
      <c r="AQ29" s="50">
        <v>0</v>
      </c>
      <c r="AR29" s="75">
        <v>0</v>
      </c>
      <c r="AS29" s="71"/>
      <c r="AT29" s="75">
        <v>0</v>
      </c>
      <c r="AU29" s="72"/>
      <c r="AV29" s="75">
        <v>0</v>
      </c>
      <c r="AW29" s="72"/>
      <c r="AX29" s="75">
        <v>0</v>
      </c>
    </row>
    <row r="30" spans="1:50" s="54" customFormat="1" ht="14.25" customHeight="1">
      <c r="A30" s="73"/>
      <c r="B30" s="76" t="s">
        <v>749</v>
      </c>
      <c r="C30" s="21"/>
      <c r="D30" s="46">
        <v>-500</v>
      </c>
      <c r="E30" s="46">
        <v>-470</v>
      </c>
      <c r="F30" s="46">
        <v>-480</v>
      </c>
      <c r="G30" s="46">
        <v>-571</v>
      </c>
      <c r="H30" s="85">
        <v>-1866</v>
      </c>
      <c r="I30" s="48"/>
      <c r="J30" s="46">
        <v>-521</v>
      </c>
      <c r="K30" s="46">
        <v>-530</v>
      </c>
      <c r="L30" s="46">
        <v>-2183</v>
      </c>
      <c r="M30" s="46">
        <v>-524</v>
      </c>
      <c r="N30" s="85">
        <v>-2058</v>
      </c>
      <c r="O30" s="48"/>
      <c r="P30" s="46">
        <v>402</v>
      </c>
      <c r="Q30" s="46">
        <v>418</v>
      </c>
      <c r="R30" s="46">
        <v>-469</v>
      </c>
      <c r="S30" s="46">
        <v>437</v>
      </c>
      <c r="T30" s="85">
        <v>1548</v>
      </c>
      <c r="U30" s="48"/>
      <c r="V30" s="46">
        <v>-406</v>
      </c>
      <c r="W30" s="46">
        <v>-416</v>
      </c>
      <c r="X30" s="46">
        <v>6</v>
      </c>
      <c r="Y30" s="46">
        <v>325</v>
      </c>
      <c r="Z30" s="85">
        <v>1540</v>
      </c>
      <c r="AA30" s="81"/>
      <c r="AB30" s="46">
        <v>-424</v>
      </c>
      <c r="AC30" s="46">
        <v>-319</v>
      </c>
      <c r="AD30" s="46">
        <v>-429</v>
      </c>
      <c r="AE30" s="46">
        <v>-412</v>
      </c>
      <c r="AF30" s="85">
        <v>-1794</v>
      </c>
      <c r="AG30" s="82"/>
      <c r="AH30" s="46">
        <v>-428</v>
      </c>
      <c r="AI30" s="46">
        <v>-313</v>
      </c>
      <c r="AJ30" s="46">
        <v>0</v>
      </c>
      <c r="AK30" s="46">
        <v>0</v>
      </c>
      <c r="AL30" s="353">
        <v>-727</v>
      </c>
      <c r="AM30" s="81"/>
      <c r="AN30" s="46">
        <v>0</v>
      </c>
      <c r="AO30" s="46">
        <v>0</v>
      </c>
      <c r="AP30" s="46">
        <v>0</v>
      </c>
      <c r="AQ30" s="46">
        <v>0</v>
      </c>
      <c r="AR30" s="353">
        <v>0</v>
      </c>
      <c r="AS30" s="81"/>
      <c r="AT30" s="353">
        <v>0</v>
      </c>
      <c r="AU30" s="83"/>
      <c r="AV30" s="353">
        <v>0</v>
      </c>
      <c r="AW30" s="83"/>
      <c r="AX30" s="353">
        <v>0</v>
      </c>
    </row>
    <row r="31" spans="1:50" s="54" customFormat="1" ht="14.25" customHeight="1">
      <c r="A31" s="73"/>
      <c r="B31" s="76" t="s">
        <v>750</v>
      </c>
      <c r="C31" s="21"/>
      <c r="D31" s="46">
        <v>0</v>
      </c>
      <c r="E31" s="46">
        <v>0</v>
      </c>
      <c r="F31" s="46">
        <v>0</v>
      </c>
      <c r="G31" s="46">
        <v>0</v>
      </c>
      <c r="H31" s="74">
        <v>0</v>
      </c>
      <c r="I31" s="48"/>
      <c r="J31" s="46">
        <v>0</v>
      </c>
      <c r="K31" s="46">
        <v>0</v>
      </c>
      <c r="L31" s="46">
        <v>0</v>
      </c>
      <c r="M31" s="46">
        <v>0</v>
      </c>
      <c r="N31" s="74">
        <v>0</v>
      </c>
      <c r="O31" s="48"/>
      <c r="P31" s="46">
        <v>0</v>
      </c>
      <c r="Q31" s="46">
        <v>0</v>
      </c>
      <c r="R31" s="46">
        <v>0</v>
      </c>
      <c r="S31" s="46">
        <v>0</v>
      </c>
      <c r="T31" s="74">
        <v>0</v>
      </c>
      <c r="U31" s="48"/>
      <c r="V31" s="46">
        <v>0</v>
      </c>
      <c r="W31" s="46">
        <v>45</v>
      </c>
      <c r="X31" s="46">
        <v>0</v>
      </c>
      <c r="Y31" s="46">
        <v>0</v>
      </c>
      <c r="Z31" s="74">
        <v>0</v>
      </c>
      <c r="AA31" s="86"/>
      <c r="AB31" s="46">
        <v>0</v>
      </c>
      <c r="AC31" s="46">
        <v>18</v>
      </c>
      <c r="AD31" s="46">
        <v>0</v>
      </c>
      <c r="AE31" s="46">
        <v>0</v>
      </c>
      <c r="AF31" s="74">
        <v>0</v>
      </c>
      <c r="AG31" s="82"/>
      <c r="AH31" s="46">
        <v>0</v>
      </c>
      <c r="AI31" s="46">
        <v>14</v>
      </c>
      <c r="AJ31" s="50"/>
      <c r="AK31" s="50"/>
      <c r="AL31" s="75"/>
      <c r="AM31" s="86"/>
      <c r="AN31" s="50"/>
      <c r="AO31" s="50"/>
      <c r="AP31" s="50"/>
      <c r="AQ31" s="50"/>
      <c r="AR31" s="75"/>
      <c r="AS31" s="86"/>
      <c r="AT31" s="75"/>
      <c r="AU31" s="87"/>
      <c r="AV31" s="75"/>
      <c r="AW31" s="87"/>
      <c r="AX31" s="75"/>
    </row>
    <row r="32" spans="1:50" s="54" customFormat="1" ht="14.25" customHeight="1">
      <c r="A32" s="55"/>
      <c r="B32" s="79" t="s">
        <v>751</v>
      </c>
      <c r="C32" s="23"/>
      <c r="D32" s="46">
        <v>2591</v>
      </c>
      <c r="E32" s="46">
        <v>2683</v>
      </c>
      <c r="F32" s="46">
        <v>2616</v>
      </c>
      <c r="G32" s="46">
        <v>2785</v>
      </c>
      <c r="H32" s="74">
        <v>10520</v>
      </c>
      <c r="I32" s="48"/>
      <c r="J32" s="46">
        <v>2707</v>
      </c>
      <c r="K32" s="46">
        <v>2681</v>
      </c>
      <c r="L32" s="46">
        <v>4485</v>
      </c>
      <c r="M32" s="46">
        <v>2946</v>
      </c>
      <c r="N32" s="74">
        <v>11119</v>
      </c>
      <c r="O32" s="48"/>
      <c r="P32" s="46">
        <v>1507</v>
      </c>
      <c r="Q32" s="46">
        <v>1538</v>
      </c>
      <c r="R32" s="46">
        <v>2589</v>
      </c>
      <c r="S32" s="46">
        <v>1865</v>
      </c>
      <c r="T32" s="74">
        <v>6739</v>
      </c>
      <c r="U32" s="48"/>
      <c r="V32" s="46">
        <v>2452</v>
      </c>
      <c r="W32" s="46">
        <v>2551</v>
      </c>
      <c r="X32" s="46">
        <v>2042</v>
      </c>
      <c r="Y32" s="46">
        <v>1970</v>
      </c>
      <c r="Z32" s="74">
        <v>6939</v>
      </c>
      <c r="AA32" s="51"/>
      <c r="AB32" s="46">
        <v>2417</v>
      </c>
      <c r="AC32" s="46">
        <v>2554</v>
      </c>
      <c r="AD32" s="46">
        <v>2546</v>
      </c>
      <c r="AE32" s="46">
        <v>1102</v>
      </c>
      <c r="AF32" s="74">
        <v>8724</v>
      </c>
      <c r="AG32" s="49"/>
      <c r="AH32" s="46">
        <v>2751</v>
      </c>
      <c r="AI32" s="46">
        <v>1127</v>
      </c>
      <c r="AJ32" s="50">
        <v>25000</v>
      </c>
      <c r="AK32" s="50">
        <v>25000</v>
      </c>
      <c r="AL32" s="75">
        <v>53878</v>
      </c>
      <c r="AM32" s="71"/>
      <c r="AN32" s="50">
        <v>22000</v>
      </c>
      <c r="AO32" s="50">
        <v>22000</v>
      </c>
      <c r="AP32" s="50">
        <v>22000</v>
      </c>
      <c r="AQ32" s="50">
        <v>22000</v>
      </c>
      <c r="AR32" s="75">
        <v>88000</v>
      </c>
      <c r="AS32" s="71"/>
      <c r="AT32" s="75">
        <v>90000</v>
      </c>
      <c r="AU32" s="72"/>
      <c r="AV32" s="75">
        <v>87000</v>
      </c>
      <c r="AW32" s="72"/>
      <c r="AX32" s="75">
        <v>105000</v>
      </c>
    </row>
    <row r="33" spans="1:50" s="54" customFormat="1" ht="14.25" customHeight="1">
      <c r="A33" s="73"/>
      <c r="B33" s="73"/>
      <c r="C33" s="21"/>
      <c r="D33" s="46"/>
      <c r="E33" s="46"/>
      <c r="F33" s="46"/>
      <c r="G33" s="46"/>
      <c r="H33" s="66"/>
      <c r="I33" s="48"/>
      <c r="J33" s="46"/>
      <c r="K33" s="46"/>
      <c r="L33" s="46"/>
      <c r="M33" s="46"/>
      <c r="N33" s="66"/>
      <c r="O33" s="48"/>
      <c r="P33" s="46"/>
      <c r="Q33" s="46"/>
      <c r="R33" s="46"/>
      <c r="S33" s="46"/>
      <c r="T33" s="66"/>
      <c r="U33" s="48"/>
      <c r="V33" s="46"/>
      <c r="W33" s="46"/>
      <c r="X33" s="46"/>
      <c r="Y33" s="46"/>
      <c r="Z33" s="66"/>
      <c r="AA33" s="81"/>
      <c r="AB33" s="46"/>
      <c r="AC33" s="46"/>
      <c r="AD33" s="46"/>
      <c r="AE33" s="46"/>
      <c r="AF33" s="66"/>
      <c r="AG33" s="82"/>
      <c r="AH33" s="46"/>
      <c r="AI33" s="46"/>
      <c r="AJ33" s="50"/>
      <c r="AK33" s="50"/>
      <c r="AL33" s="68"/>
      <c r="AM33" s="88"/>
      <c r="AN33" s="50"/>
      <c r="AO33" s="50"/>
      <c r="AP33" s="50"/>
      <c r="AQ33" s="50"/>
      <c r="AR33" s="68"/>
      <c r="AS33" s="88"/>
      <c r="AT33" s="68"/>
      <c r="AU33" s="89"/>
      <c r="AV33" s="68"/>
      <c r="AW33" s="89"/>
      <c r="AX33" s="68"/>
    </row>
    <row r="34" spans="1:50" s="54" customFormat="1" ht="14.25" customHeight="1">
      <c r="A34" s="44" t="s">
        <v>41</v>
      </c>
      <c r="B34" s="65" t="s">
        <v>752</v>
      </c>
      <c r="C34" s="23"/>
      <c r="D34" s="46"/>
      <c r="E34" s="46"/>
      <c r="F34" s="46"/>
      <c r="G34" s="46"/>
      <c r="H34" s="66"/>
      <c r="I34" s="48"/>
      <c r="J34" s="46"/>
      <c r="K34" s="46"/>
      <c r="L34" s="46"/>
      <c r="M34" s="46"/>
      <c r="N34" s="66"/>
      <c r="O34" s="48"/>
      <c r="P34" s="46"/>
      <c r="Q34" s="46"/>
      <c r="R34" s="46"/>
      <c r="S34" s="46"/>
      <c r="T34" s="66"/>
      <c r="U34" s="48"/>
      <c r="V34" s="46"/>
      <c r="W34" s="46"/>
      <c r="X34" s="46"/>
      <c r="Y34" s="46"/>
      <c r="Z34" s="66"/>
      <c r="AA34" s="51"/>
      <c r="AB34" s="46"/>
      <c r="AC34" s="46"/>
      <c r="AD34" s="46"/>
      <c r="AE34" s="46"/>
      <c r="AF34" s="66"/>
      <c r="AG34" s="49"/>
      <c r="AH34" s="46"/>
      <c r="AI34" s="46"/>
      <c r="AJ34" s="50"/>
      <c r="AK34" s="50"/>
      <c r="AL34" s="68"/>
      <c r="AM34" s="71"/>
      <c r="AN34" s="50"/>
      <c r="AO34" s="50"/>
      <c r="AP34" s="50"/>
      <c r="AQ34" s="50"/>
      <c r="AR34" s="68"/>
      <c r="AS34" s="71"/>
      <c r="AT34" s="68"/>
      <c r="AU34" s="72"/>
      <c r="AV34" s="68"/>
      <c r="AW34" s="72"/>
      <c r="AX34" s="68"/>
    </row>
    <row r="35" spans="1:50" s="54" customFormat="1" ht="14.25" customHeight="1">
      <c r="A35" s="44"/>
      <c r="B35" s="70" t="s">
        <v>753</v>
      </c>
      <c r="C35" s="23"/>
      <c r="D35" s="46">
        <v>148</v>
      </c>
      <c r="E35" s="46">
        <v>149</v>
      </c>
      <c r="F35" s="46">
        <v>145</v>
      </c>
      <c r="G35" s="46">
        <v>149</v>
      </c>
      <c r="H35" s="66">
        <v>591</v>
      </c>
      <c r="I35" s="48"/>
      <c r="J35" s="46">
        <v>140</v>
      </c>
      <c r="K35" s="46">
        <v>142</v>
      </c>
      <c r="L35" s="46">
        <v>141</v>
      </c>
      <c r="M35" s="46">
        <v>146</v>
      </c>
      <c r="N35" s="66">
        <v>569</v>
      </c>
      <c r="O35" s="48"/>
      <c r="P35" s="46">
        <v>135</v>
      </c>
      <c r="Q35" s="46">
        <v>141</v>
      </c>
      <c r="R35" s="46">
        <v>145</v>
      </c>
      <c r="S35" s="46">
        <v>202</v>
      </c>
      <c r="T35" s="66">
        <v>623</v>
      </c>
      <c r="U35" s="48"/>
      <c r="V35" s="46">
        <v>202</v>
      </c>
      <c r="W35" s="46">
        <v>223</v>
      </c>
      <c r="X35" s="46">
        <v>237</v>
      </c>
      <c r="Y35" s="46">
        <v>254</v>
      </c>
      <c r="Z35" s="66">
        <v>916</v>
      </c>
      <c r="AA35" s="51"/>
      <c r="AB35" s="46">
        <v>255</v>
      </c>
      <c r="AC35" s="46">
        <v>261</v>
      </c>
      <c r="AD35" s="46">
        <v>256</v>
      </c>
      <c r="AE35" s="46">
        <v>264</v>
      </c>
      <c r="AF35" s="66">
        <v>1036</v>
      </c>
      <c r="AG35" s="49"/>
      <c r="AH35" s="46">
        <v>268</v>
      </c>
      <c r="AI35" s="46">
        <v>274</v>
      </c>
      <c r="AJ35" s="50"/>
      <c r="AK35" s="50"/>
      <c r="AL35" s="68"/>
      <c r="AM35" s="71"/>
      <c r="AN35" s="50"/>
      <c r="AO35" s="50"/>
      <c r="AP35" s="50"/>
      <c r="AQ35" s="50"/>
      <c r="AR35" s="68"/>
      <c r="AS35" s="71"/>
      <c r="AT35" s="68"/>
      <c r="AU35" s="72"/>
      <c r="AV35" s="68"/>
      <c r="AW35" s="72"/>
      <c r="AX35" s="68"/>
    </row>
    <row r="36" spans="1:50" s="54" customFormat="1" ht="14.25" customHeight="1">
      <c r="A36" s="44"/>
      <c r="B36" s="70" t="s">
        <v>754</v>
      </c>
      <c r="C36" s="23"/>
      <c r="D36" s="46">
        <v>0</v>
      </c>
      <c r="E36" s="46">
        <v>0</v>
      </c>
      <c r="F36" s="46">
        <v>0</v>
      </c>
      <c r="G36" s="46">
        <v>0</v>
      </c>
      <c r="H36" s="66">
        <v>0</v>
      </c>
      <c r="I36" s="48"/>
      <c r="J36" s="46">
        <v>0</v>
      </c>
      <c r="K36" s="46">
        <v>0</v>
      </c>
      <c r="L36" s="46">
        <v>0</v>
      </c>
      <c r="M36" s="46">
        <v>0</v>
      </c>
      <c r="N36" s="66">
        <v>0</v>
      </c>
      <c r="O36" s="48"/>
      <c r="P36" s="46">
        <v>0</v>
      </c>
      <c r="Q36" s="46">
        <v>0</v>
      </c>
      <c r="R36" s="46">
        <v>0</v>
      </c>
      <c r="S36" s="46">
        <v>0</v>
      </c>
      <c r="T36" s="66">
        <v>0</v>
      </c>
      <c r="U36" s="48"/>
      <c r="V36" s="46">
        <v>0</v>
      </c>
      <c r="W36" s="46">
        <v>0</v>
      </c>
      <c r="X36" s="46">
        <v>0</v>
      </c>
      <c r="Y36" s="46">
        <v>0</v>
      </c>
      <c r="Z36" s="66">
        <v>0</v>
      </c>
      <c r="AA36" s="51"/>
      <c r="AB36" s="46">
        <v>0</v>
      </c>
      <c r="AC36" s="46">
        <v>0</v>
      </c>
      <c r="AD36" s="46">
        <v>0</v>
      </c>
      <c r="AE36" s="46">
        <v>0</v>
      </c>
      <c r="AF36" s="66">
        <v>0</v>
      </c>
      <c r="AG36" s="49"/>
      <c r="AH36" s="46">
        <v>0</v>
      </c>
      <c r="AI36" s="46">
        <v>0</v>
      </c>
      <c r="AJ36" s="50"/>
      <c r="AK36" s="50"/>
      <c r="AL36" s="68"/>
      <c r="AM36" s="71"/>
      <c r="AN36" s="50"/>
      <c r="AO36" s="50"/>
      <c r="AP36" s="50"/>
      <c r="AQ36" s="50"/>
      <c r="AR36" s="68"/>
      <c r="AS36" s="71"/>
      <c r="AT36" s="68"/>
      <c r="AU36" s="72"/>
      <c r="AV36" s="68"/>
      <c r="AW36" s="72"/>
      <c r="AX36" s="68"/>
    </row>
    <row r="37" spans="1:50" s="54" customFormat="1" ht="14.25" customHeight="1">
      <c r="A37" s="55" t="s">
        <v>41</v>
      </c>
      <c r="B37" s="76" t="s">
        <v>755</v>
      </c>
      <c r="C37" s="23"/>
      <c r="D37" s="46">
        <v>148</v>
      </c>
      <c r="E37" s="46">
        <v>149</v>
      </c>
      <c r="F37" s="46">
        <v>145</v>
      </c>
      <c r="G37" s="46">
        <v>149</v>
      </c>
      <c r="H37" s="66">
        <v>591</v>
      </c>
      <c r="I37" s="48"/>
      <c r="J37" s="46">
        <v>140</v>
      </c>
      <c r="K37" s="46">
        <v>142</v>
      </c>
      <c r="L37" s="46">
        <v>141</v>
      </c>
      <c r="M37" s="46">
        <v>146</v>
      </c>
      <c r="N37" s="66">
        <v>569</v>
      </c>
      <c r="O37" s="48"/>
      <c r="P37" s="46">
        <v>135</v>
      </c>
      <c r="Q37" s="46">
        <v>141</v>
      </c>
      <c r="R37" s="46">
        <v>145</v>
      </c>
      <c r="S37" s="46">
        <v>202</v>
      </c>
      <c r="T37" s="66">
        <v>623</v>
      </c>
      <c r="U37" s="48"/>
      <c r="V37" s="46">
        <v>202</v>
      </c>
      <c r="W37" s="46">
        <v>223</v>
      </c>
      <c r="X37" s="46">
        <v>237</v>
      </c>
      <c r="Y37" s="46">
        <v>254</v>
      </c>
      <c r="Z37" s="66">
        <v>916</v>
      </c>
      <c r="AA37" s="51"/>
      <c r="AB37" s="46">
        <v>255</v>
      </c>
      <c r="AC37" s="46">
        <v>261</v>
      </c>
      <c r="AD37" s="46">
        <v>256</v>
      </c>
      <c r="AE37" s="46">
        <v>264</v>
      </c>
      <c r="AF37" s="66">
        <v>1036</v>
      </c>
      <c r="AG37" s="49"/>
      <c r="AH37" s="46">
        <v>268</v>
      </c>
      <c r="AI37" s="46">
        <v>274</v>
      </c>
      <c r="AJ37" s="50"/>
      <c r="AK37" s="50"/>
      <c r="AL37" s="68"/>
      <c r="AM37" s="71"/>
      <c r="AN37" s="50"/>
      <c r="AO37" s="50"/>
      <c r="AP37" s="50"/>
      <c r="AQ37" s="50"/>
      <c r="AR37" s="68"/>
      <c r="AS37" s="71"/>
      <c r="AT37" s="68"/>
      <c r="AU37" s="72"/>
      <c r="AV37" s="68"/>
      <c r="AW37" s="72"/>
      <c r="AX37" s="68"/>
    </row>
    <row r="38" spans="1:50" s="54" customFormat="1" ht="14.25" customHeight="1">
      <c r="A38" s="73"/>
      <c r="B38" s="76" t="s">
        <v>756</v>
      </c>
      <c r="C38" s="21"/>
      <c r="D38" s="46">
        <v>0</v>
      </c>
      <c r="E38" s="46">
        <v>0</v>
      </c>
      <c r="F38" s="46">
        <v>0</v>
      </c>
      <c r="G38" s="46">
        <v>0</v>
      </c>
      <c r="H38" s="66">
        <v>0</v>
      </c>
      <c r="I38" s="48"/>
      <c r="J38" s="46">
        <v>0</v>
      </c>
      <c r="K38" s="46">
        <v>0</v>
      </c>
      <c r="L38" s="46">
        <v>0</v>
      </c>
      <c r="M38" s="46">
        <v>0</v>
      </c>
      <c r="N38" s="66">
        <v>0</v>
      </c>
      <c r="O38" s="48"/>
      <c r="P38" s="46">
        <v>0</v>
      </c>
      <c r="Q38" s="46">
        <v>0</v>
      </c>
      <c r="R38" s="46">
        <v>0</v>
      </c>
      <c r="S38" s="46">
        <v>0</v>
      </c>
      <c r="T38" s="66">
        <v>0</v>
      </c>
      <c r="U38" s="48"/>
      <c r="V38" s="46">
        <v>0</v>
      </c>
      <c r="W38" s="46">
        <v>0</v>
      </c>
      <c r="X38" s="46">
        <v>0</v>
      </c>
      <c r="Y38" s="46">
        <v>0</v>
      </c>
      <c r="Z38" s="66">
        <v>0</v>
      </c>
      <c r="AA38" s="81"/>
      <c r="AB38" s="46">
        <v>0</v>
      </c>
      <c r="AC38" s="46">
        <v>0</v>
      </c>
      <c r="AD38" s="46">
        <v>0</v>
      </c>
      <c r="AE38" s="46">
        <v>0</v>
      </c>
      <c r="AF38" s="66">
        <v>0</v>
      </c>
      <c r="AG38" s="82"/>
      <c r="AH38" s="46">
        <v>0</v>
      </c>
      <c r="AI38" s="46">
        <v>0</v>
      </c>
      <c r="AJ38" s="50"/>
      <c r="AK38" s="50"/>
      <c r="AL38" s="68"/>
      <c r="AM38" s="81"/>
      <c r="AN38" s="50"/>
      <c r="AO38" s="50"/>
      <c r="AP38" s="50"/>
      <c r="AQ38" s="50"/>
      <c r="AR38" s="68"/>
      <c r="AS38" s="81"/>
      <c r="AT38" s="68"/>
      <c r="AU38" s="83"/>
      <c r="AV38" s="68"/>
      <c r="AW38" s="83"/>
      <c r="AX38" s="68"/>
    </row>
    <row r="39" spans="1:50" s="54" customFormat="1" ht="14.25" customHeight="1">
      <c r="A39" s="55"/>
      <c r="B39" s="76" t="s">
        <v>757</v>
      </c>
      <c r="C39" s="23"/>
      <c r="D39" s="46">
        <v>-56</v>
      </c>
      <c r="E39" s="46">
        <v>-80</v>
      </c>
      <c r="F39" s="46">
        <v>-108</v>
      </c>
      <c r="G39" s="46">
        <v>-47</v>
      </c>
      <c r="H39" s="74">
        <v>-182</v>
      </c>
      <c r="I39" s="48"/>
      <c r="J39" s="46">
        <v>-169</v>
      </c>
      <c r="K39" s="46">
        <v>-120</v>
      </c>
      <c r="L39" s="46">
        <v>1572</v>
      </c>
      <c r="M39" s="46">
        <v>-96</v>
      </c>
      <c r="N39" s="74">
        <v>1269</v>
      </c>
      <c r="O39" s="48"/>
      <c r="P39" s="46">
        <v>-263</v>
      </c>
      <c r="Q39" s="46">
        <v>1315</v>
      </c>
      <c r="R39" s="46">
        <v>-111</v>
      </c>
      <c r="S39" s="46">
        <v>-99</v>
      </c>
      <c r="T39" s="74">
        <v>1131</v>
      </c>
      <c r="U39" s="48"/>
      <c r="V39" s="46">
        <v>-159</v>
      </c>
      <c r="W39" s="46">
        <v>-128</v>
      </c>
      <c r="X39" s="46">
        <v>-589.92409999999995</v>
      </c>
      <c r="Y39" s="46">
        <v>-106</v>
      </c>
      <c r="Z39" s="74">
        <v>-459</v>
      </c>
      <c r="AA39" s="51"/>
      <c r="AB39" s="46">
        <v>-61</v>
      </c>
      <c r="AC39" s="46">
        <v>-53</v>
      </c>
      <c r="AD39" s="46">
        <v>-48</v>
      </c>
      <c r="AE39" s="46">
        <v>-77</v>
      </c>
      <c r="AF39" s="74">
        <v>-221</v>
      </c>
      <c r="AG39" s="49"/>
      <c r="AH39" s="46">
        <v>68</v>
      </c>
      <c r="AI39" s="46">
        <v>57</v>
      </c>
      <c r="AJ39" s="50"/>
      <c r="AK39" s="50"/>
      <c r="AL39" s="75"/>
      <c r="AM39" s="51"/>
      <c r="AN39" s="50"/>
      <c r="AO39" s="50"/>
      <c r="AP39" s="50"/>
      <c r="AQ39" s="50"/>
      <c r="AR39" s="75"/>
      <c r="AS39" s="51"/>
      <c r="AT39" s="75"/>
      <c r="AU39" s="53"/>
      <c r="AV39" s="75"/>
      <c r="AW39" s="53"/>
      <c r="AX39" s="75"/>
    </row>
    <row r="40" spans="1:50" s="54" customFormat="1" ht="14.25" customHeight="1">
      <c r="A40" s="73"/>
      <c r="B40" s="79" t="s">
        <v>758</v>
      </c>
      <c r="C40" s="21"/>
      <c r="D40" s="46">
        <v>92</v>
      </c>
      <c r="E40" s="46">
        <v>69</v>
      </c>
      <c r="F40" s="46">
        <v>37</v>
      </c>
      <c r="G40" s="46">
        <v>102</v>
      </c>
      <c r="H40" s="77">
        <v>409</v>
      </c>
      <c r="I40" s="48"/>
      <c r="J40" s="46">
        <v>-29</v>
      </c>
      <c r="K40" s="46">
        <v>22</v>
      </c>
      <c r="L40" s="46">
        <v>1713</v>
      </c>
      <c r="M40" s="46">
        <v>50</v>
      </c>
      <c r="N40" s="77">
        <v>1838</v>
      </c>
      <c r="O40" s="48"/>
      <c r="P40" s="46">
        <v>-128</v>
      </c>
      <c r="Q40" s="46">
        <v>1456</v>
      </c>
      <c r="R40" s="46">
        <v>34</v>
      </c>
      <c r="S40" s="46">
        <v>103</v>
      </c>
      <c r="T40" s="77">
        <v>1754</v>
      </c>
      <c r="U40" s="48"/>
      <c r="V40" s="46">
        <v>43</v>
      </c>
      <c r="W40" s="46">
        <v>95</v>
      </c>
      <c r="X40" s="46">
        <v>-352.92410000000001</v>
      </c>
      <c r="Y40" s="46">
        <v>148</v>
      </c>
      <c r="Z40" s="77">
        <v>457</v>
      </c>
      <c r="AA40" s="86"/>
      <c r="AB40" s="46">
        <v>194</v>
      </c>
      <c r="AC40" s="46">
        <v>208</v>
      </c>
      <c r="AD40" s="46">
        <v>208</v>
      </c>
      <c r="AE40" s="46">
        <v>187</v>
      </c>
      <c r="AF40" s="77">
        <v>815</v>
      </c>
      <c r="AG40" s="82"/>
      <c r="AH40" s="46">
        <v>336</v>
      </c>
      <c r="AI40" s="46">
        <v>331</v>
      </c>
      <c r="AJ40" s="50"/>
      <c r="AK40" s="50"/>
      <c r="AL40" s="78"/>
      <c r="AM40" s="81"/>
      <c r="AN40" s="50"/>
      <c r="AO40" s="50"/>
      <c r="AP40" s="50"/>
      <c r="AQ40" s="50"/>
      <c r="AR40" s="78"/>
      <c r="AS40" s="81"/>
      <c r="AT40" s="78"/>
      <c r="AU40" s="83"/>
      <c r="AV40" s="78"/>
      <c r="AW40" s="83"/>
      <c r="AX40" s="78"/>
    </row>
    <row r="41" spans="1:50" s="54" customFormat="1" ht="14.25" customHeight="1">
      <c r="A41" s="84"/>
      <c r="B41" s="90" t="s">
        <v>690</v>
      </c>
      <c r="C41" s="22"/>
      <c r="D41" s="46">
        <v>2499</v>
      </c>
      <c r="E41" s="46">
        <v>2614</v>
      </c>
      <c r="F41" s="46">
        <v>2579</v>
      </c>
      <c r="G41" s="46">
        <v>2683</v>
      </c>
      <c r="H41" s="77">
        <v>10111</v>
      </c>
      <c r="I41" s="48"/>
      <c r="J41" s="46">
        <v>2736</v>
      </c>
      <c r="K41" s="46">
        <v>2659</v>
      </c>
      <c r="L41" s="46">
        <v>2772</v>
      </c>
      <c r="M41" s="46">
        <v>2896</v>
      </c>
      <c r="N41" s="77">
        <v>9281</v>
      </c>
      <c r="O41" s="48"/>
      <c r="P41" s="46">
        <v>1635</v>
      </c>
      <c r="Q41" s="46">
        <v>82</v>
      </c>
      <c r="R41" s="46">
        <v>2555</v>
      </c>
      <c r="S41" s="46">
        <v>1762</v>
      </c>
      <c r="T41" s="77">
        <v>4985</v>
      </c>
      <c r="U41" s="48"/>
      <c r="V41" s="46">
        <v>2409</v>
      </c>
      <c r="W41" s="46">
        <v>2456</v>
      </c>
      <c r="X41" s="46">
        <v>2394.9241000000002</v>
      </c>
      <c r="Y41" s="46">
        <v>1822</v>
      </c>
      <c r="Z41" s="77">
        <v>6482</v>
      </c>
      <c r="AA41" s="51"/>
      <c r="AB41" s="46">
        <v>2223</v>
      </c>
      <c r="AC41" s="46">
        <v>2346</v>
      </c>
      <c r="AD41" s="46">
        <v>2338</v>
      </c>
      <c r="AE41" s="46">
        <v>915</v>
      </c>
      <c r="AF41" s="77">
        <v>7909</v>
      </c>
      <c r="AG41" s="49"/>
      <c r="AH41" s="46">
        <v>2415</v>
      </c>
      <c r="AI41" s="46">
        <v>796</v>
      </c>
      <c r="AJ41" s="50"/>
      <c r="AK41" s="50"/>
      <c r="AL41" s="78"/>
      <c r="AM41" s="51"/>
      <c r="AN41" s="50"/>
      <c r="AO41" s="50"/>
      <c r="AP41" s="50"/>
      <c r="AQ41" s="50"/>
      <c r="AR41" s="78"/>
      <c r="AS41" s="51"/>
      <c r="AT41" s="78"/>
      <c r="AU41" s="53"/>
      <c r="AV41" s="78"/>
      <c r="AW41" s="53"/>
      <c r="AX41" s="78"/>
    </row>
    <row r="42" spans="1:50" s="54" customFormat="1" ht="14.25" customHeight="1">
      <c r="A42" s="73"/>
      <c r="B42" s="76"/>
      <c r="C42" s="21"/>
      <c r="D42" s="46"/>
      <c r="E42" s="46"/>
      <c r="F42" s="46"/>
      <c r="G42" s="46"/>
      <c r="H42" s="66"/>
      <c r="I42" s="48"/>
      <c r="J42" s="46"/>
      <c r="K42" s="46"/>
      <c r="L42" s="46"/>
      <c r="M42" s="46"/>
      <c r="N42" s="66"/>
      <c r="O42" s="48"/>
      <c r="P42" s="46"/>
      <c r="Q42" s="46"/>
      <c r="R42" s="46"/>
      <c r="S42" s="46"/>
      <c r="T42" s="66"/>
      <c r="U42" s="48"/>
      <c r="V42" s="46"/>
      <c r="W42" s="46"/>
      <c r="X42" s="46"/>
      <c r="Y42" s="46"/>
      <c r="Z42" s="66"/>
      <c r="AA42" s="51"/>
      <c r="AB42" s="46"/>
      <c r="AC42" s="46"/>
      <c r="AD42" s="46"/>
      <c r="AE42" s="46"/>
      <c r="AF42" s="66"/>
      <c r="AG42" s="49"/>
      <c r="AH42" s="46"/>
      <c r="AI42" s="46"/>
      <c r="AJ42" s="50"/>
      <c r="AK42" s="50"/>
      <c r="AL42" s="68"/>
      <c r="AM42" s="51"/>
      <c r="AN42" s="50"/>
      <c r="AO42" s="50"/>
      <c r="AP42" s="50"/>
      <c r="AQ42" s="50"/>
      <c r="AR42" s="68"/>
      <c r="AS42" s="51"/>
      <c r="AT42" s="68"/>
      <c r="AU42" s="53"/>
      <c r="AV42" s="68"/>
      <c r="AW42" s="53"/>
      <c r="AX42" s="68"/>
    </row>
    <row r="43" spans="1:50" s="54" customFormat="1" ht="14.25" customHeight="1">
      <c r="A43" s="44" t="s">
        <v>41</v>
      </c>
      <c r="B43" s="65" t="s">
        <v>759</v>
      </c>
      <c r="C43" s="21"/>
      <c r="D43" s="46"/>
      <c r="E43" s="46"/>
      <c r="F43" s="46"/>
      <c r="G43" s="46"/>
      <c r="H43" s="66"/>
      <c r="I43" s="48"/>
      <c r="J43" s="46"/>
      <c r="K43" s="46"/>
      <c r="L43" s="46"/>
      <c r="M43" s="46"/>
      <c r="N43" s="66"/>
      <c r="O43" s="48"/>
      <c r="P43" s="46"/>
      <c r="Q43" s="46"/>
      <c r="R43" s="46"/>
      <c r="S43" s="46"/>
      <c r="T43" s="66"/>
      <c r="U43" s="48"/>
      <c r="V43" s="46"/>
      <c r="W43" s="46"/>
      <c r="X43" s="46"/>
      <c r="Y43" s="46"/>
      <c r="Z43" s="66"/>
      <c r="AA43" s="51"/>
      <c r="AB43" s="46"/>
      <c r="AC43" s="46"/>
      <c r="AD43" s="46"/>
      <c r="AE43" s="46"/>
      <c r="AF43" s="66"/>
      <c r="AG43" s="49"/>
      <c r="AH43" s="46"/>
      <c r="AI43" s="46"/>
      <c r="AJ43" s="50"/>
      <c r="AK43" s="50"/>
      <c r="AL43" s="68"/>
      <c r="AM43" s="51"/>
      <c r="AN43" s="50"/>
      <c r="AO43" s="50"/>
      <c r="AP43" s="50"/>
      <c r="AQ43" s="50"/>
      <c r="AR43" s="68"/>
      <c r="AS43" s="51"/>
      <c r="AT43" s="68"/>
      <c r="AU43" s="53"/>
      <c r="AV43" s="68"/>
      <c r="AW43" s="53"/>
      <c r="AX43" s="68"/>
    </row>
    <row r="44" spans="1:50" s="54" customFormat="1" ht="14.25" customHeight="1">
      <c r="A44" s="84"/>
      <c r="B44" s="70" t="s">
        <v>691</v>
      </c>
      <c r="C44" s="22"/>
      <c r="D44" s="46">
        <v>411.49</v>
      </c>
      <c r="E44" s="46">
        <v>478.04</v>
      </c>
      <c r="F44" s="46">
        <v>412.83</v>
      </c>
      <c r="G44" s="46">
        <v>499.49</v>
      </c>
      <c r="H44" s="66">
        <v>1740.96</v>
      </c>
      <c r="I44" s="48"/>
      <c r="J44" s="46">
        <v>484.69</v>
      </c>
      <c r="K44" s="46">
        <v>457.69</v>
      </c>
      <c r="L44" s="46">
        <v>544.11</v>
      </c>
      <c r="M44" s="46">
        <v>523.11</v>
      </c>
      <c r="N44" s="66">
        <v>1837</v>
      </c>
      <c r="O44" s="48"/>
      <c r="P44" s="46">
        <v>238.54</v>
      </c>
      <c r="Q44" s="46">
        <v>-24.6</v>
      </c>
      <c r="R44" s="46">
        <v>417.3</v>
      </c>
      <c r="S44" s="46">
        <v>188.12</v>
      </c>
      <c r="T44" s="66">
        <v>609.11</v>
      </c>
      <c r="U44" s="48"/>
      <c r="V44" s="46">
        <v>392.15</v>
      </c>
      <c r="W44" s="46">
        <v>420.36</v>
      </c>
      <c r="X44" s="46">
        <v>361.80410000000001</v>
      </c>
      <c r="Y44" s="46">
        <v>211.17</v>
      </c>
      <c r="Z44" s="66">
        <v>848.12800000000004</v>
      </c>
      <c r="AA44" s="71"/>
      <c r="AB44" s="46">
        <v>371.48</v>
      </c>
      <c r="AC44" s="46">
        <v>642</v>
      </c>
      <c r="AD44" s="46">
        <v>384.71600000000001</v>
      </c>
      <c r="AE44" s="46">
        <v>74.260000000000005</v>
      </c>
      <c r="AF44" s="66">
        <v>1238.31</v>
      </c>
      <c r="AG44" s="49"/>
      <c r="AH44" s="46">
        <v>403.59</v>
      </c>
      <c r="AI44" s="46">
        <v>154.59</v>
      </c>
      <c r="AJ44" s="50"/>
      <c r="AK44" s="50"/>
      <c r="AL44" s="68"/>
      <c r="AM44" s="91"/>
      <c r="AN44" s="50"/>
      <c r="AO44" s="50"/>
      <c r="AP44" s="50"/>
      <c r="AQ44" s="50"/>
      <c r="AR44" s="68"/>
      <c r="AS44" s="71"/>
      <c r="AT44" s="68"/>
      <c r="AU44" s="72"/>
      <c r="AV44" s="68"/>
      <c r="AW44" s="72"/>
      <c r="AX44" s="68"/>
    </row>
    <row r="45" spans="1:50" s="54" customFormat="1" ht="14.25" customHeight="1">
      <c r="A45" s="84"/>
      <c r="B45" s="70" t="s">
        <v>760</v>
      </c>
      <c r="C45" s="22"/>
      <c r="D45" s="46">
        <v>0</v>
      </c>
      <c r="E45" s="46">
        <v>0</v>
      </c>
      <c r="F45" s="46">
        <v>0</v>
      </c>
      <c r="G45" s="46">
        <v>0</v>
      </c>
      <c r="H45" s="66">
        <v>0</v>
      </c>
      <c r="I45" s="48"/>
      <c r="J45" s="46">
        <v>0</v>
      </c>
      <c r="K45" s="46">
        <v>0</v>
      </c>
      <c r="L45" s="46">
        <v>0</v>
      </c>
      <c r="M45" s="46">
        <v>0</v>
      </c>
      <c r="N45" s="66">
        <v>0</v>
      </c>
      <c r="O45" s="48"/>
      <c r="P45" s="46">
        <v>0</v>
      </c>
      <c r="Q45" s="46">
        <v>0</v>
      </c>
      <c r="R45" s="46">
        <v>0</v>
      </c>
      <c r="S45" s="46">
        <v>0</v>
      </c>
      <c r="T45" s="66">
        <v>0</v>
      </c>
      <c r="U45" s="48"/>
      <c r="V45" s="46">
        <v>0</v>
      </c>
      <c r="W45" s="46">
        <v>0</v>
      </c>
      <c r="X45" s="46">
        <v>0</v>
      </c>
      <c r="Y45" s="46">
        <v>0</v>
      </c>
      <c r="Z45" s="66">
        <v>0</v>
      </c>
      <c r="AA45" s="51"/>
      <c r="AB45" s="46">
        <v>0</v>
      </c>
      <c r="AC45" s="46">
        <v>0</v>
      </c>
      <c r="AD45" s="46">
        <v>0</v>
      </c>
      <c r="AE45" s="46">
        <v>0</v>
      </c>
      <c r="AF45" s="66">
        <v>0</v>
      </c>
      <c r="AG45" s="49"/>
      <c r="AH45" s="46">
        <v>0</v>
      </c>
      <c r="AI45" s="46">
        <v>0</v>
      </c>
      <c r="AJ45" s="50"/>
      <c r="AK45" s="50"/>
      <c r="AL45" s="68"/>
      <c r="AM45" s="92"/>
      <c r="AN45" s="50"/>
      <c r="AO45" s="50"/>
      <c r="AP45" s="50"/>
      <c r="AQ45" s="50"/>
      <c r="AR45" s="68"/>
      <c r="AS45" s="51"/>
      <c r="AT45" s="68"/>
      <c r="AU45" s="53"/>
      <c r="AV45" s="68"/>
      <c r="AW45" s="53"/>
      <c r="AX45" s="68"/>
    </row>
    <row r="46" spans="1:50" s="54" customFormat="1" ht="14.25" customHeight="1">
      <c r="A46" s="73"/>
      <c r="B46" s="70" t="s">
        <v>761</v>
      </c>
      <c r="C46" s="21"/>
      <c r="D46" s="46">
        <v>2087.5100000000002</v>
      </c>
      <c r="E46" s="46">
        <v>2135.96</v>
      </c>
      <c r="F46" s="46">
        <v>2166.17</v>
      </c>
      <c r="G46" s="46">
        <v>2183.5100000000002</v>
      </c>
      <c r="H46" s="93">
        <v>8370.0400000000009</v>
      </c>
      <c r="I46" s="48"/>
      <c r="J46" s="46">
        <v>2251.31</v>
      </c>
      <c r="K46" s="46">
        <v>2201.31</v>
      </c>
      <c r="L46" s="46">
        <v>2227.89</v>
      </c>
      <c r="M46" s="46">
        <v>2372.89</v>
      </c>
      <c r="N46" s="93">
        <v>7444</v>
      </c>
      <c r="O46" s="48"/>
      <c r="P46" s="46">
        <v>1396.46</v>
      </c>
      <c r="Q46" s="46">
        <v>106.6</v>
      </c>
      <c r="R46" s="46">
        <v>2137.6999999999998</v>
      </c>
      <c r="S46" s="46">
        <v>1573.88</v>
      </c>
      <c r="T46" s="93">
        <v>4375.8900000000003</v>
      </c>
      <c r="U46" s="48"/>
      <c r="V46" s="46">
        <v>2016.85</v>
      </c>
      <c r="W46" s="46">
        <v>2035.64</v>
      </c>
      <c r="X46" s="46">
        <v>2033.12</v>
      </c>
      <c r="Y46" s="46">
        <v>1610.83</v>
      </c>
      <c r="Z46" s="93">
        <v>5633.8720000000003</v>
      </c>
      <c r="AA46" s="51"/>
      <c r="AB46" s="46">
        <v>1851.52</v>
      </c>
      <c r="AC46" s="46">
        <v>1704</v>
      </c>
      <c r="AD46" s="46">
        <v>1953.2840000000001</v>
      </c>
      <c r="AE46" s="46">
        <v>840.74</v>
      </c>
      <c r="AF46" s="93">
        <v>6670.69</v>
      </c>
      <c r="AG46" s="49"/>
      <c r="AH46" s="46">
        <v>2011.41</v>
      </c>
      <c r="AI46" s="46">
        <v>641.41</v>
      </c>
      <c r="AJ46" s="50"/>
      <c r="AK46" s="50"/>
      <c r="AL46" s="94"/>
      <c r="AM46" s="92"/>
      <c r="AN46" s="50"/>
      <c r="AO46" s="50"/>
      <c r="AP46" s="50"/>
      <c r="AQ46" s="50"/>
      <c r="AR46" s="94"/>
      <c r="AS46" s="51"/>
      <c r="AT46" s="94"/>
      <c r="AU46" s="53"/>
      <c r="AV46" s="94"/>
      <c r="AW46" s="53"/>
      <c r="AX46" s="94"/>
    </row>
    <row r="48" spans="1:50" s="54" customFormat="1" ht="14.25" customHeight="1">
      <c r="A48" s="44" t="s">
        <v>41</v>
      </c>
      <c r="B48" s="65" t="s">
        <v>762</v>
      </c>
      <c r="C48" s="23"/>
      <c r="D48" s="46"/>
      <c r="E48" s="46"/>
      <c r="F48" s="46"/>
      <c r="G48" s="46"/>
      <c r="H48" s="66"/>
      <c r="I48" s="48"/>
      <c r="J48" s="46"/>
      <c r="K48" s="46"/>
      <c r="L48" s="46"/>
      <c r="M48" s="46"/>
      <c r="N48" s="66"/>
      <c r="O48" s="48"/>
      <c r="P48" s="46"/>
      <c r="Q48" s="46"/>
      <c r="R48" s="46"/>
      <c r="S48" s="46"/>
      <c r="T48" s="66"/>
      <c r="U48" s="48"/>
      <c r="V48" s="46"/>
      <c r="W48" s="46"/>
      <c r="X48" s="46"/>
      <c r="Y48" s="46"/>
      <c r="Z48" s="66"/>
      <c r="AA48" s="48"/>
      <c r="AB48" s="46"/>
      <c r="AC48" s="46"/>
      <c r="AD48" s="46"/>
      <c r="AE48" s="46"/>
      <c r="AF48" s="66"/>
      <c r="AG48" s="95"/>
      <c r="AH48" s="46"/>
      <c r="AI48" s="46"/>
      <c r="AJ48" s="50"/>
      <c r="AK48" s="50"/>
      <c r="AL48" s="68"/>
      <c r="AM48" s="48"/>
      <c r="AN48" s="50"/>
      <c r="AO48" s="50"/>
      <c r="AP48" s="50"/>
      <c r="AQ48" s="50"/>
      <c r="AR48" s="68"/>
      <c r="AS48" s="48"/>
      <c r="AT48" s="68"/>
      <c r="AU48" s="96"/>
      <c r="AV48" s="68"/>
      <c r="AW48" s="96"/>
      <c r="AX48" s="68"/>
    </row>
    <row r="49" spans="1:50" s="54" customFormat="1" ht="14.25" customHeight="1">
      <c r="A49" s="73"/>
      <c r="B49" s="70" t="s">
        <v>763</v>
      </c>
      <c r="C49" s="21"/>
      <c r="D49" s="46">
        <v>0</v>
      </c>
      <c r="E49" s="46">
        <v>0</v>
      </c>
      <c r="F49" s="46">
        <v>0</v>
      </c>
      <c r="G49" s="46">
        <v>0</v>
      </c>
      <c r="H49" s="66">
        <v>0</v>
      </c>
      <c r="I49" s="48"/>
      <c r="J49" s="46">
        <v>0</v>
      </c>
      <c r="K49" s="46">
        <v>0</v>
      </c>
      <c r="L49" s="46">
        <v>0</v>
      </c>
      <c r="M49" s="46">
        <v>0</v>
      </c>
      <c r="N49" s="66">
        <v>0</v>
      </c>
      <c r="O49" s="48"/>
      <c r="P49" s="46">
        <v>0</v>
      </c>
      <c r="Q49" s="46">
        <v>0</v>
      </c>
      <c r="R49" s="46">
        <v>0</v>
      </c>
      <c r="S49" s="46">
        <v>0</v>
      </c>
      <c r="T49" s="66">
        <v>0</v>
      </c>
      <c r="U49" s="48"/>
      <c r="V49" s="46">
        <v>0</v>
      </c>
      <c r="W49" s="46">
        <v>0</v>
      </c>
      <c r="X49" s="46">
        <v>0</v>
      </c>
      <c r="Y49" s="46">
        <v>0</v>
      </c>
      <c r="Z49" s="66">
        <v>0</v>
      </c>
      <c r="AA49" s="81"/>
      <c r="AB49" s="46">
        <v>0</v>
      </c>
      <c r="AC49" s="46">
        <v>0</v>
      </c>
      <c r="AD49" s="46">
        <v>0</v>
      </c>
      <c r="AE49" s="46">
        <v>0</v>
      </c>
      <c r="AF49" s="66">
        <v>0</v>
      </c>
      <c r="AG49" s="82"/>
      <c r="AH49" s="46">
        <v>0</v>
      </c>
      <c r="AI49" s="46">
        <v>0</v>
      </c>
      <c r="AJ49" s="50"/>
      <c r="AK49" s="50"/>
      <c r="AL49" s="68"/>
      <c r="AM49" s="81"/>
      <c r="AN49" s="50"/>
      <c r="AO49" s="50"/>
      <c r="AP49" s="50"/>
      <c r="AQ49" s="50"/>
      <c r="AR49" s="68"/>
      <c r="AS49" s="81"/>
      <c r="AT49" s="68"/>
      <c r="AU49" s="83"/>
      <c r="AV49" s="68"/>
      <c r="AW49" s="83"/>
      <c r="AX49" s="68"/>
    </row>
    <row r="50" spans="1:50" s="54" customFormat="1" ht="14.25" customHeight="1">
      <c r="A50" s="55"/>
      <c r="B50" s="70" t="s">
        <v>764</v>
      </c>
      <c r="C50" s="23"/>
      <c r="D50" s="46">
        <v>0</v>
      </c>
      <c r="E50" s="46">
        <v>0</v>
      </c>
      <c r="F50" s="46">
        <v>0</v>
      </c>
      <c r="G50" s="46">
        <v>0</v>
      </c>
      <c r="H50" s="74">
        <v>0</v>
      </c>
      <c r="I50" s="48"/>
      <c r="J50" s="46">
        <v>0</v>
      </c>
      <c r="K50" s="46">
        <v>0</v>
      </c>
      <c r="L50" s="46">
        <v>0</v>
      </c>
      <c r="M50" s="46">
        <v>0</v>
      </c>
      <c r="N50" s="74">
        <v>0</v>
      </c>
      <c r="O50" s="48"/>
      <c r="P50" s="46">
        <v>0</v>
      </c>
      <c r="Q50" s="46">
        <v>0</v>
      </c>
      <c r="R50" s="46">
        <v>0</v>
      </c>
      <c r="S50" s="46">
        <v>0</v>
      </c>
      <c r="T50" s="74">
        <v>0</v>
      </c>
      <c r="U50" s="48"/>
      <c r="V50" s="46">
        <v>0</v>
      </c>
      <c r="W50" s="46">
        <v>0</v>
      </c>
      <c r="X50" s="46">
        <v>0</v>
      </c>
      <c r="Y50" s="46">
        <v>0</v>
      </c>
      <c r="Z50" s="74">
        <v>0</v>
      </c>
      <c r="AA50" s="48"/>
      <c r="AB50" s="46">
        <v>0</v>
      </c>
      <c r="AC50" s="46">
        <v>0</v>
      </c>
      <c r="AD50" s="46">
        <v>0</v>
      </c>
      <c r="AE50" s="46">
        <v>0</v>
      </c>
      <c r="AF50" s="74">
        <v>0</v>
      </c>
      <c r="AG50" s="95"/>
      <c r="AH50" s="46">
        <v>0</v>
      </c>
      <c r="AI50" s="46">
        <v>0</v>
      </c>
      <c r="AJ50" s="50"/>
      <c r="AK50" s="50"/>
      <c r="AL50" s="75"/>
      <c r="AM50" s="48"/>
      <c r="AN50" s="50"/>
      <c r="AO50" s="50"/>
      <c r="AP50" s="50"/>
      <c r="AQ50" s="50"/>
      <c r="AR50" s="75"/>
      <c r="AS50" s="48"/>
      <c r="AT50" s="75"/>
      <c r="AU50" s="96"/>
      <c r="AV50" s="75"/>
      <c r="AW50" s="96"/>
      <c r="AX50" s="75"/>
    </row>
    <row r="51" spans="1:50" s="54" customFormat="1" ht="14.25" customHeight="1">
      <c r="A51" s="73"/>
      <c r="B51" s="76" t="s">
        <v>765</v>
      </c>
      <c r="C51" s="21"/>
      <c r="D51" s="46">
        <v>2087.5100000000002</v>
      </c>
      <c r="E51" s="46">
        <v>2135.96</v>
      </c>
      <c r="F51" s="46">
        <v>2166.17</v>
      </c>
      <c r="G51" s="46">
        <v>2183.5100000000002</v>
      </c>
      <c r="H51" s="93">
        <v>8370.0400000000009</v>
      </c>
      <c r="I51" s="48"/>
      <c r="J51" s="46">
        <v>2251.31</v>
      </c>
      <c r="K51" s="46">
        <v>2201.31</v>
      </c>
      <c r="L51" s="46">
        <v>2227.89</v>
      </c>
      <c r="M51" s="46">
        <v>2372.89</v>
      </c>
      <c r="N51" s="93">
        <v>7444</v>
      </c>
      <c r="O51" s="48"/>
      <c r="P51" s="46">
        <v>1396.46</v>
      </c>
      <c r="Q51" s="46">
        <v>106.6</v>
      </c>
      <c r="R51" s="46">
        <v>2137.6999999999998</v>
      </c>
      <c r="S51" s="46">
        <v>1573.88</v>
      </c>
      <c r="T51" s="93">
        <v>4375.8900000000003</v>
      </c>
      <c r="U51" s="48"/>
      <c r="V51" s="46">
        <v>2016.85</v>
      </c>
      <c r="W51" s="46">
        <v>2035.64</v>
      </c>
      <c r="X51" s="46">
        <v>2033.12</v>
      </c>
      <c r="Y51" s="46">
        <v>1610.83</v>
      </c>
      <c r="Z51" s="93">
        <v>5633.8720000000003</v>
      </c>
      <c r="AA51" s="48"/>
      <c r="AB51" s="46">
        <v>1851.52</v>
      </c>
      <c r="AC51" s="46">
        <v>1704</v>
      </c>
      <c r="AD51" s="46">
        <v>1953.2840000000001</v>
      </c>
      <c r="AE51" s="46">
        <v>840.74</v>
      </c>
      <c r="AF51" s="93">
        <v>6670.69</v>
      </c>
      <c r="AG51" s="95"/>
      <c r="AH51" s="46">
        <v>2011.41</v>
      </c>
      <c r="AI51" s="46">
        <v>641.41</v>
      </c>
      <c r="AJ51" s="50"/>
      <c r="AK51" s="50"/>
      <c r="AL51" s="94"/>
      <c r="AM51" s="48"/>
      <c r="AN51" s="50"/>
      <c r="AO51" s="50"/>
      <c r="AP51" s="50"/>
      <c r="AQ51" s="50"/>
      <c r="AR51" s="94"/>
      <c r="AS51" s="48"/>
      <c r="AT51" s="94"/>
      <c r="AU51" s="96"/>
      <c r="AV51" s="94"/>
      <c r="AW51" s="96"/>
      <c r="AX51" s="94"/>
    </row>
    <row r="52" spans="1:50" s="54" customFormat="1" ht="14.25" customHeight="1">
      <c r="A52" s="55"/>
      <c r="B52" s="97"/>
      <c r="C52" s="23"/>
      <c r="D52" s="46"/>
      <c r="E52" s="46"/>
      <c r="F52" s="46"/>
      <c r="G52" s="46"/>
      <c r="H52" s="66"/>
      <c r="I52" s="48"/>
      <c r="J52" s="46"/>
      <c r="K52" s="46"/>
      <c r="L52" s="46"/>
      <c r="M52" s="46"/>
      <c r="N52" s="66"/>
      <c r="O52" s="48"/>
      <c r="P52" s="46"/>
      <c r="Q52" s="46"/>
      <c r="R52" s="46"/>
      <c r="S52" s="46"/>
      <c r="T52" s="66"/>
      <c r="U52" s="48"/>
      <c r="V52" s="46"/>
      <c r="W52" s="46"/>
      <c r="X52" s="46"/>
      <c r="Y52" s="46"/>
      <c r="Z52" s="66"/>
      <c r="AA52" s="48"/>
      <c r="AB52" s="46"/>
      <c r="AC52" s="46"/>
      <c r="AD52" s="46"/>
      <c r="AE52" s="46"/>
      <c r="AF52" s="66"/>
      <c r="AG52" s="95"/>
      <c r="AH52" s="46"/>
      <c r="AI52" s="46"/>
      <c r="AJ52" s="50"/>
      <c r="AK52" s="50"/>
      <c r="AL52" s="68"/>
      <c r="AM52" s="48"/>
      <c r="AN52" s="50"/>
      <c r="AO52" s="50"/>
      <c r="AP52" s="50"/>
      <c r="AQ52" s="50"/>
      <c r="AR52" s="68"/>
      <c r="AS52" s="48"/>
      <c r="AT52" s="68"/>
      <c r="AU52" s="96"/>
      <c r="AV52" s="68"/>
      <c r="AW52" s="96"/>
      <c r="AX52" s="68"/>
    </row>
    <row r="53" spans="1:50" s="54" customFormat="1" ht="14.25" customHeight="1">
      <c r="A53" s="44" t="s">
        <v>41</v>
      </c>
      <c r="B53" s="65" t="s">
        <v>766</v>
      </c>
      <c r="C53" s="21"/>
      <c r="D53" s="46"/>
      <c r="E53" s="46"/>
      <c r="F53" s="46"/>
      <c r="G53" s="46"/>
      <c r="H53" s="66"/>
      <c r="I53" s="48"/>
      <c r="J53" s="46"/>
      <c r="K53" s="46"/>
      <c r="L53" s="46"/>
      <c r="M53" s="46"/>
      <c r="N53" s="66"/>
      <c r="O53" s="48"/>
      <c r="P53" s="46"/>
      <c r="Q53" s="46"/>
      <c r="R53" s="46"/>
      <c r="S53" s="46"/>
      <c r="T53" s="66"/>
      <c r="U53" s="48"/>
      <c r="V53" s="46"/>
      <c r="W53" s="46"/>
      <c r="X53" s="46"/>
      <c r="Y53" s="46"/>
      <c r="Z53" s="66"/>
      <c r="AA53" s="48"/>
      <c r="AB53" s="46"/>
      <c r="AC53" s="46"/>
      <c r="AD53" s="46"/>
      <c r="AE53" s="46"/>
      <c r="AF53" s="66"/>
      <c r="AG53" s="95"/>
      <c r="AH53" s="46"/>
      <c r="AI53" s="46"/>
      <c r="AJ53" s="50"/>
      <c r="AK53" s="50"/>
      <c r="AL53" s="68"/>
      <c r="AM53" s="48"/>
      <c r="AN53" s="50"/>
      <c r="AO53" s="50"/>
      <c r="AP53" s="50"/>
      <c r="AQ53" s="50"/>
      <c r="AR53" s="68"/>
      <c r="AS53" s="48"/>
      <c r="AT53" s="68"/>
      <c r="AU53" s="96"/>
      <c r="AV53" s="68"/>
      <c r="AW53" s="96"/>
      <c r="AX53" s="68"/>
    </row>
    <row r="54" spans="1:50" s="54" customFormat="1" ht="14.25" customHeight="1">
      <c r="A54" s="55"/>
      <c r="B54" s="676" t="s">
        <v>767</v>
      </c>
      <c r="C54" s="23"/>
      <c r="D54" s="98">
        <v>7.4208999999999996</v>
      </c>
      <c r="E54" s="98">
        <v>7.6338999999999997</v>
      </c>
      <c r="F54" s="98">
        <v>7.7557</v>
      </c>
      <c r="G54" s="98">
        <v>7.8066000000000004</v>
      </c>
      <c r="H54" s="99">
        <v>29.893000000000001</v>
      </c>
      <c r="I54" s="100"/>
      <c r="J54" s="98">
        <v>8.0692000000000004</v>
      </c>
      <c r="K54" s="98">
        <v>7.9355000000000002</v>
      </c>
      <c r="L54" s="98">
        <v>8.0662000000000003</v>
      </c>
      <c r="M54" s="98">
        <v>8.6823999999999995</v>
      </c>
      <c r="N54" s="99">
        <v>26.931999999999999</v>
      </c>
      <c r="O54" s="100"/>
      <c r="P54" s="98">
        <v>5.2047999999999996</v>
      </c>
      <c r="Q54" s="98">
        <v>0.40110000000000001</v>
      </c>
      <c r="R54" s="98">
        <v>8.0943000000000005</v>
      </c>
      <c r="S54" s="98">
        <v>6.1216999999999997</v>
      </c>
      <c r="T54" s="99">
        <v>16.594200000000001</v>
      </c>
      <c r="U54" s="100"/>
      <c r="V54" s="98">
        <v>7.9184999999999999</v>
      </c>
      <c r="W54" s="98">
        <v>8.0524000000000004</v>
      </c>
      <c r="X54" s="98">
        <v>8.1553000000000004</v>
      </c>
      <c r="Y54" s="98">
        <v>6.5694999999999997</v>
      </c>
      <c r="Z54" s="99">
        <v>22.508500000000002</v>
      </c>
      <c r="AA54" s="100"/>
      <c r="AB54" s="98">
        <v>7.6921999999999997</v>
      </c>
      <c r="AC54" s="98">
        <v>7.1326999999999998</v>
      </c>
      <c r="AD54" s="98">
        <v>8.2243999999999993</v>
      </c>
      <c r="AE54" s="98">
        <v>3.5625</v>
      </c>
      <c r="AF54" s="99">
        <v>27.992799999999999</v>
      </c>
      <c r="AG54" s="101"/>
      <c r="AH54" s="98">
        <v>8.5810999999999993</v>
      </c>
      <c r="AI54" s="98">
        <v>2.7469000000000001</v>
      </c>
      <c r="AJ54" s="102"/>
      <c r="AK54" s="102"/>
      <c r="AL54" s="103"/>
      <c r="AM54" s="100"/>
      <c r="AN54" s="102"/>
      <c r="AO54" s="102"/>
      <c r="AP54" s="102"/>
      <c r="AQ54" s="102"/>
      <c r="AR54" s="103"/>
      <c r="AS54" s="100"/>
      <c r="AT54" s="103"/>
      <c r="AU54" s="104"/>
      <c r="AV54" s="103"/>
      <c r="AW54" s="104"/>
      <c r="AX54" s="103"/>
    </row>
    <row r="55" spans="1:50" s="54" customFormat="1" ht="14.25" customHeight="1">
      <c r="A55" s="73"/>
      <c r="B55" s="676" t="s">
        <v>768</v>
      </c>
      <c r="C55" s="21"/>
      <c r="D55" s="98">
        <v>7.3910999999999998</v>
      </c>
      <c r="E55" s="98">
        <v>7.6060999999999996</v>
      </c>
      <c r="F55" s="98">
        <v>7.7225000000000001</v>
      </c>
      <c r="G55" s="98">
        <v>7.7732999999999999</v>
      </c>
      <c r="H55" s="99">
        <v>29.770399999999999</v>
      </c>
      <c r="I55" s="100"/>
      <c r="J55" s="98">
        <v>8.0396999999999998</v>
      </c>
      <c r="K55" s="98">
        <v>7.9076000000000004</v>
      </c>
      <c r="L55" s="98">
        <v>8.0299999999999994</v>
      </c>
      <c r="M55" s="98">
        <v>8.6508000000000003</v>
      </c>
      <c r="N55" s="99">
        <v>26.829899999999999</v>
      </c>
      <c r="O55" s="100"/>
      <c r="P55" s="98">
        <v>5.1898999999999997</v>
      </c>
      <c r="Q55" s="98">
        <v>0.40110000000000001</v>
      </c>
      <c r="R55" s="98">
        <v>8.0668000000000006</v>
      </c>
      <c r="S55" s="98">
        <v>6.0910000000000002</v>
      </c>
      <c r="T55" s="99">
        <v>16.5349</v>
      </c>
      <c r="U55" s="100"/>
      <c r="V55" s="98">
        <v>7.8921999999999999</v>
      </c>
      <c r="W55" s="98">
        <v>8.0283999999999995</v>
      </c>
      <c r="X55" s="98">
        <v>8.1254000000000008</v>
      </c>
      <c r="Y55" s="98">
        <v>6.5430999999999999</v>
      </c>
      <c r="Z55" s="99">
        <v>22.430099999999999</v>
      </c>
      <c r="AA55" s="100"/>
      <c r="AB55" s="98">
        <v>7.6586999999999996</v>
      </c>
      <c r="AC55" s="98">
        <v>7.1128999999999998</v>
      </c>
      <c r="AD55" s="98">
        <v>8.1843000000000004</v>
      </c>
      <c r="AE55" s="98">
        <v>3.5438000000000001</v>
      </c>
      <c r="AF55" s="99">
        <v>27.889800000000001</v>
      </c>
      <c r="AG55" s="101"/>
      <c r="AH55" s="98">
        <v>8.5525000000000002</v>
      </c>
      <c r="AI55" s="98">
        <v>2.7378999999999998</v>
      </c>
      <c r="AJ55" s="102"/>
      <c r="AK55" s="102"/>
      <c r="AL55" s="103"/>
      <c r="AM55" s="100"/>
      <c r="AN55" s="102"/>
      <c r="AO55" s="102"/>
      <c r="AP55" s="102"/>
      <c r="AQ55" s="102"/>
      <c r="AR55" s="103"/>
      <c r="AS55" s="100"/>
      <c r="AT55" s="103"/>
      <c r="AU55" s="104"/>
      <c r="AV55" s="103"/>
      <c r="AW55" s="104"/>
      <c r="AX55" s="103"/>
    </row>
    <row r="56" spans="1:50" s="54" customFormat="1" ht="14.25" customHeight="1">
      <c r="A56" s="55"/>
      <c r="B56" s="97"/>
      <c r="C56" s="23"/>
      <c r="D56" s="46"/>
      <c r="E56" s="46"/>
      <c r="F56" s="46"/>
      <c r="G56" s="46"/>
      <c r="H56" s="66"/>
      <c r="I56" s="48"/>
      <c r="J56" s="46"/>
      <c r="K56" s="46"/>
      <c r="L56" s="46"/>
      <c r="M56" s="46"/>
      <c r="N56" s="66"/>
      <c r="O56" s="48"/>
      <c r="P56" s="46"/>
      <c r="Q56" s="46"/>
      <c r="R56" s="46"/>
      <c r="S56" s="46"/>
      <c r="T56" s="66"/>
      <c r="U56" s="48"/>
      <c r="V56" s="46"/>
      <c r="W56" s="46"/>
      <c r="X56" s="46"/>
      <c r="Y56" s="46"/>
      <c r="Z56" s="66"/>
      <c r="AA56" s="48"/>
      <c r="AB56" s="46"/>
      <c r="AC56" s="46"/>
      <c r="AD56" s="46"/>
      <c r="AE56" s="46"/>
      <c r="AF56" s="66"/>
      <c r="AG56" s="95"/>
      <c r="AH56" s="46"/>
      <c r="AI56" s="46"/>
      <c r="AJ56" s="50"/>
      <c r="AK56" s="50"/>
      <c r="AL56" s="68"/>
      <c r="AM56" s="48"/>
      <c r="AN56" s="50"/>
      <c r="AO56" s="50"/>
      <c r="AP56" s="50"/>
      <c r="AQ56" s="50"/>
      <c r="AR56" s="68"/>
      <c r="AS56" s="48"/>
      <c r="AT56" s="68"/>
      <c r="AU56" s="96"/>
      <c r="AV56" s="68"/>
      <c r="AW56" s="96"/>
      <c r="AX56" s="68"/>
    </row>
    <row r="57" spans="1:50" s="54" customFormat="1" ht="14.25" customHeight="1">
      <c r="A57" s="44" t="s">
        <v>41</v>
      </c>
      <c r="B57" s="65" t="s">
        <v>769</v>
      </c>
      <c r="C57" s="21"/>
      <c r="D57" s="46"/>
      <c r="E57" s="46"/>
      <c r="F57" s="46"/>
      <c r="G57" s="46"/>
      <c r="H57" s="66"/>
      <c r="I57" s="48"/>
      <c r="J57" s="46"/>
      <c r="K57" s="46"/>
      <c r="L57" s="46"/>
      <c r="M57" s="46"/>
      <c r="N57" s="66"/>
      <c r="O57" s="48"/>
      <c r="P57" s="46"/>
      <c r="Q57" s="46"/>
      <c r="R57" s="46"/>
      <c r="S57" s="46"/>
      <c r="T57" s="66"/>
      <c r="U57" s="48"/>
      <c r="V57" s="46"/>
      <c r="W57" s="46"/>
      <c r="X57" s="46"/>
      <c r="Y57" s="46"/>
      <c r="Z57" s="66"/>
      <c r="AA57" s="48"/>
      <c r="AB57" s="46"/>
      <c r="AC57" s="46"/>
      <c r="AD57" s="46"/>
      <c r="AE57" s="46"/>
      <c r="AF57" s="66"/>
      <c r="AG57" s="95"/>
      <c r="AH57" s="46"/>
      <c r="AI57" s="46"/>
      <c r="AJ57" s="50"/>
      <c r="AK57" s="50"/>
      <c r="AL57" s="68"/>
      <c r="AM57" s="48"/>
      <c r="AN57" s="50"/>
      <c r="AO57" s="50"/>
      <c r="AP57" s="50"/>
      <c r="AQ57" s="50"/>
      <c r="AR57" s="68"/>
      <c r="AS57" s="48"/>
      <c r="AT57" s="68"/>
      <c r="AU57" s="96"/>
      <c r="AV57" s="68"/>
      <c r="AW57" s="96"/>
      <c r="AX57" s="68"/>
    </row>
    <row r="58" spans="1:50" s="54" customFormat="1" ht="14.25" customHeight="1">
      <c r="A58" s="97"/>
      <c r="B58" s="70" t="s">
        <v>770</v>
      </c>
      <c r="C58" s="23"/>
      <c r="D58" s="312">
        <v>281.3</v>
      </c>
      <c r="E58" s="312">
        <v>279.8</v>
      </c>
      <c r="F58" s="312">
        <v>279.3</v>
      </c>
      <c r="G58" s="312">
        <v>279.7</v>
      </c>
      <c r="H58" s="322">
        <v>280</v>
      </c>
      <c r="I58" s="323"/>
      <c r="J58" s="312">
        <v>279</v>
      </c>
      <c r="K58" s="312">
        <v>277.39999999999998</v>
      </c>
      <c r="L58" s="312">
        <v>276.2</v>
      </c>
      <c r="M58" s="312">
        <v>273.3</v>
      </c>
      <c r="N58" s="322">
        <v>276.39999999999998</v>
      </c>
      <c r="O58" s="323"/>
      <c r="P58" s="312">
        <v>268.3</v>
      </c>
      <c r="Q58" s="312">
        <v>265.8</v>
      </c>
      <c r="R58" s="312">
        <v>264.10000000000002</v>
      </c>
      <c r="S58" s="312">
        <v>257.10000000000002</v>
      </c>
      <c r="T58" s="322">
        <v>263.7</v>
      </c>
      <c r="U58" s="323"/>
      <c r="V58" s="312">
        <v>254.7</v>
      </c>
      <c r="W58" s="312">
        <v>252.8</v>
      </c>
      <c r="X58" s="312">
        <v>249.3</v>
      </c>
      <c r="Y58" s="312">
        <v>245.2</v>
      </c>
      <c r="Z58" s="322">
        <v>250.3</v>
      </c>
      <c r="AA58" s="323"/>
      <c r="AB58" s="312">
        <v>240.7</v>
      </c>
      <c r="AC58" s="312">
        <v>238.9</v>
      </c>
      <c r="AD58" s="312">
        <v>237.5</v>
      </c>
      <c r="AE58" s="312">
        <v>236</v>
      </c>
      <c r="AF58" s="322">
        <v>238.3</v>
      </c>
      <c r="AG58" s="324"/>
      <c r="AH58" s="312">
        <v>234.4</v>
      </c>
      <c r="AI58" s="312">
        <v>233.5</v>
      </c>
      <c r="AJ58" s="325" t="e">
        <v>#DIV/0!</v>
      </c>
      <c r="AK58" s="325" t="e">
        <v>#DIV/0!</v>
      </c>
      <c r="AL58" s="352" t="e">
        <v>#DIV/0!</v>
      </c>
      <c r="AM58" s="323"/>
      <c r="AN58" s="325" t="e">
        <v>#DIV/0!</v>
      </c>
      <c r="AO58" s="325" t="e">
        <v>#DIV/0!</v>
      </c>
      <c r="AP58" s="325" t="e">
        <v>#DIV/0!</v>
      </c>
      <c r="AQ58" s="325" t="e">
        <v>#DIV/0!</v>
      </c>
      <c r="AR58" s="352" t="e">
        <v>#DIV/0!</v>
      </c>
      <c r="AS58" s="48"/>
      <c r="AT58" s="352" t="e">
        <v>#DIV/0!</v>
      </c>
      <c r="AU58" s="96"/>
      <c r="AV58" s="352" t="e">
        <v>#DIV/0!</v>
      </c>
      <c r="AW58" s="96"/>
      <c r="AX58" s="352" t="e">
        <v>#DIV/0!</v>
      </c>
    </row>
    <row r="59" spans="1:50" s="54" customFormat="1" ht="14.25" customHeight="1">
      <c r="A59" s="97"/>
      <c r="B59" s="70" t="s">
        <v>771</v>
      </c>
      <c r="C59" s="23"/>
      <c r="D59" s="312">
        <v>282.60000000000002</v>
      </c>
      <c r="E59" s="312">
        <v>280.8</v>
      </c>
      <c r="F59" s="312">
        <v>280.60000000000002</v>
      </c>
      <c r="G59" s="312">
        <v>281</v>
      </c>
      <c r="H59" s="322">
        <v>281.2</v>
      </c>
      <c r="I59" s="323"/>
      <c r="J59" s="312">
        <v>280</v>
      </c>
      <c r="K59" s="312">
        <v>278.39999999999998</v>
      </c>
      <c r="L59" s="312">
        <v>277.3</v>
      </c>
      <c r="M59" s="312">
        <v>274.3</v>
      </c>
      <c r="N59" s="322">
        <v>277.39999999999998</v>
      </c>
      <c r="O59" s="323"/>
      <c r="P59" s="312">
        <v>269.2</v>
      </c>
      <c r="Q59" s="312">
        <v>266.7</v>
      </c>
      <c r="R59" s="312">
        <v>265.10000000000002</v>
      </c>
      <c r="S59" s="312">
        <v>258.3</v>
      </c>
      <c r="T59" s="322">
        <v>264.60000000000002</v>
      </c>
      <c r="U59" s="323"/>
      <c r="V59" s="312">
        <v>255.7</v>
      </c>
      <c r="W59" s="312">
        <v>253.6</v>
      </c>
      <c r="X59" s="312">
        <v>250.2</v>
      </c>
      <c r="Y59" s="312">
        <v>246.1</v>
      </c>
      <c r="Z59" s="322">
        <v>251.2</v>
      </c>
      <c r="AA59" s="323"/>
      <c r="AB59" s="312">
        <v>241.6</v>
      </c>
      <c r="AC59" s="312">
        <v>239.6</v>
      </c>
      <c r="AD59" s="312">
        <v>238.6</v>
      </c>
      <c r="AE59" s="312">
        <v>237</v>
      </c>
      <c r="AF59" s="322">
        <v>239.2</v>
      </c>
      <c r="AG59" s="324"/>
      <c r="AH59" s="312">
        <v>235.3</v>
      </c>
      <c r="AI59" s="312">
        <v>234.3</v>
      </c>
      <c r="AJ59" s="325">
        <v>234.3</v>
      </c>
      <c r="AK59" s="325">
        <v>234.3</v>
      </c>
      <c r="AL59" s="352">
        <v>234.55</v>
      </c>
      <c r="AM59" s="323"/>
      <c r="AN59" s="325">
        <v>234.3</v>
      </c>
      <c r="AO59" s="325">
        <v>234.3</v>
      </c>
      <c r="AP59" s="325">
        <v>234.3</v>
      </c>
      <c r="AQ59" s="325">
        <v>234.3</v>
      </c>
      <c r="AR59" s="352">
        <v>234.3</v>
      </c>
      <c r="AS59" s="48"/>
      <c r="AT59" s="352">
        <v>234.3</v>
      </c>
      <c r="AU59" s="96"/>
      <c r="AV59" s="352">
        <v>234.3</v>
      </c>
      <c r="AW59" s="96"/>
      <c r="AX59" s="352">
        <v>234.3</v>
      </c>
    </row>
    <row r="60" spans="1:50" ht="14.25" customHeight="1">
      <c r="AG60" s="203"/>
    </row>
    <row r="61" spans="1:50" ht="14.25" customHeight="1">
      <c r="B61" s="64" t="s">
        <v>772</v>
      </c>
      <c r="C61" s="115"/>
      <c r="D61" s="113"/>
      <c r="E61" s="113"/>
      <c r="F61" s="113"/>
      <c r="G61" s="113"/>
      <c r="H61" s="113"/>
      <c r="I61" s="115"/>
      <c r="J61" s="113"/>
      <c r="K61" s="113"/>
      <c r="L61" s="113"/>
      <c r="M61" s="113"/>
      <c r="N61" s="113"/>
      <c r="O61" s="115"/>
      <c r="P61" s="113"/>
      <c r="Q61" s="113"/>
      <c r="R61" s="113"/>
      <c r="S61" s="113"/>
      <c r="T61" s="113"/>
      <c r="U61" s="115"/>
      <c r="V61" s="113"/>
      <c r="W61" s="113"/>
      <c r="X61" s="113"/>
      <c r="Y61" s="113"/>
      <c r="Z61" s="113"/>
      <c r="AA61" s="115"/>
      <c r="AB61" s="113"/>
      <c r="AC61" s="113"/>
      <c r="AD61" s="113"/>
      <c r="AE61" s="113"/>
      <c r="AF61" s="113"/>
      <c r="AG61" s="354"/>
      <c r="AH61" s="113"/>
      <c r="AI61" s="113"/>
      <c r="AJ61" s="113"/>
      <c r="AK61" s="113"/>
      <c r="AL61" s="113"/>
      <c r="AM61" s="115"/>
      <c r="AN61" s="113"/>
      <c r="AO61" s="113"/>
      <c r="AP61" s="113"/>
      <c r="AQ61" s="113"/>
    </row>
    <row r="62" spans="1:50" ht="14.25" customHeight="1">
      <c r="B62" s="64"/>
      <c r="C62" s="115"/>
      <c r="D62" s="113"/>
      <c r="E62" s="113"/>
      <c r="F62" s="113"/>
      <c r="G62" s="113"/>
      <c r="H62" s="113"/>
      <c r="I62" s="115"/>
      <c r="J62" s="113"/>
      <c r="K62" s="113"/>
      <c r="L62" s="113"/>
      <c r="M62" s="113"/>
      <c r="N62" s="113"/>
      <c r="O62" s="115"/>
      <c r="P62" s="113"/>
      <c r="Q62" s="113"/>
      <c r="R62" s="113"/>
      <c r="S62" s="113"/>
      <c r="T62" s="113"/>
      <c r="U62" s="115"/>
      <c r="V62" s="113"/>
      <c r="W62" s="113"/>
      <c r="X62" s="113"/>
      <c r="Y62" s="113"/>
      <c r="Z62" s="113"/>
      <c r="AA62" s="115"/>
      <c r="AB62" s="113"/>
      <c r="AC62" s="113"/>
      <c r="AD62" s="113"/>
      <c r="AE62" s="113"/>
      <c r="AF62" s="113"/>
      <c r="AG62" s="354"/>
      <c r="AH62" s="113"/>
      <c r="AI62" s="113"/>
      <c r="AJ62" s="113"/>
      <c r="AK62" s="113"/>
      <c r="AL62" s="113"/>
      <c r="AM62" s="115"/>
      <c r="AN62" s="113"/>
      <c r="AO62" s="113"/>
      <c r="AP62" s="113"/>
      <c r="AQ62" s="113"/>
    </row>
    <row r="63" spans="1:50" ht="14.25" customHeight="1">
      <c r="B63" s="114" t="s">
        <v>773</v>
      </c>
      <c r="C63" s="17"/>
      <c r="D63" s="60"/>
      <c r="E63" s="60"/>
      <c r="F63" s="60"/>
      <c r="G63" s="60"/>
      <c r="H63" s="66"/>
      <c r="I63" s="20"/>
      <c r="J63" s="60"/>
      <c r="K63" s="60"/>
      <c r="L63" s="60"/>
      <c r="M63" s="60"/>
      <c r="N63" s="66"/>
      <c r="O63" s="20"/>
      <c r="P63" s="60"/>
      <c r="Q63" s="60"/>
      <c r="R63" s="60"/>
      <c r="S63" s="60"/>
      <c r="T63" s="66"/>
      <c r="U63" s="20"/>
      <c r="V63" s="60"/>
      <c r="W63" s="60"/>
      <c r="X63" s="60"/>
      <c r="Y63" s="60"/>
      <c r="Z63" s="66"/>
      <c r="AA63" s="20"/>
      <c r="AB63" s="60"/>
      <c r="AC63" s="60"/>
      <c r="AD63" s="60"/>
      <c r="AE63" s="60"/>
      <c r="AF63" s="66"/>
      <c r="AG63" s="150"/>
      <c r="AH63" s="60"/>
      <c r="AI63" s="60"/>
      <c r="AJ63" s="46"/>
      <c r="AK63" s="46"/>
      <c r="AL63" s="66"/>
      <c r="AM63" s="20"/>
      <c r="AN63" s="46"/>
      <c r="AO63" s="46"/>
      <c r="AP63" s="46"/>
      <c r="AQ63" s="46"/>
    </row>
    <row r="64" spans="1:50" ht="14.25" customHeight="1">
      <c r="B64" s="114" t="s">
        <v>774</v>
      </c>
    </row>
  </sheetData>
  <mergeCells count="7">
    <mergeCell ref="AN8:AR8"/>
    <mergeCell ref="D8:H8"/>
    <mergeCell ref="J8:N8"/>
    <mergeCell ref="P8:T8"/>
    <mergeCell ref="V8:Z8"/>
    <mergeCell ref="AB8:AF8"/>
    <mergeCell ref="AH8:AL8"/>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tabColor theme="4" tint="-0.249977111117893"/>
  </sheetPr>
  <dimension ref="A1:AX58"/>
  <sheetViews>
    <sheetView showGridLines="0" topLeftCell="B23" zoomScaleNormal="100" workbookViewId="0">
      <selection activeCell="T44" sqref="T44"/>
    </sheetView>
  </sheetViews>
  <sheetFormatPr defaultColWidth="9" defaultRowHeight="15" customHeight="1" outlineLevelCol="1"/>
  <cols>
    <col min="1" max="1" width="2.125" style="41" customWidth="1"/>
    <col min="2" max="2" width="50.625" style="41" customWidth="1"/>
    <col min="3" max="3" width="3.375" style="17" customWidth="1"/>
    <col min="4" max="7" width="9.625" style="41" customWidth="1" outlineLevel="1"/>
    <col min="8" max="8" width="11.625" style="41" customWidth="1"/>
    <col min="9" max="9" width="1.625" style="17" customWidth="1"/>
    <col min="10" max="13" width="9.625" style="41" customWidth="1" outlineLevel="1"/>
    <col min="14" max="14" width="11.625" style="41" customWidth="1"/>
    <col min="15" max="15" width="1.625" style="17" customWidth="1"/>
    <col min="16" max="19" width="9.625" style="41" customWidth="1" outlineLevel="1"/>
    <col min="20" max="20" width="11.625" style="41" customWidth="1"/>
    <col min="21" max="21" width="1.625" style="17" customWidth="1"/>
    <col min="22" max="25" width="9.625" style="41" customWidth="1" outlineLevel="1"/>
    <col min="26" max="26" width="11.625" style="41" customWidth="1"/>
    <col min="27" max="27" width="1.625" style="17" customWidth="1"/>
    <col min="28" max="31" width="9.625" style="41" customWidth="1" outlineLevel="1"/>
    <col min="32" max="32" width="11.625" style="41" customWidth="1"/>
    <col min="33" max="33" width="1.625" style="17" customWidth="1"/>
    <col min="34" max="37" width="9.625" style="41" customWidth="1" outlineLevel="1"/>
    <col min="38" max="38" width="11.625" style="41" customWidth="1"/>
    <col min="39" max="39" width="1.625" style="17" customWidth="1"/>
    <col min="40" max="43" width="9.625" style="41" customWidth="1" outlineLevel="1"/>
    <col min="44" max="44" width="11.625" style="41" customWidth="1"/>
    <col min="45" max="45" width="1.625" style="17" customWidth="1"/>
    <col min="46" max="46" width="11.625" style="41" customWidth="1"/>
    <col min="47" max="47" width="1.625" style="17" customWidth="1"/>
    <col min="48" max="48" width="11.625" style="42" customWidth="1"/>
    <col min="49" max="49" width="1.625" style="41" customWidth="1"/>
    <col min="50" max="50" width="11.625" style="41" customWidth="1"/>
    <col min="51" max="16384" width="9" style="41"/>
  </cols>
  <sheetData>
    <row r="1" spans="1:50" s="573" customFormat="1" ht="15" customHeight="1">
      <c r="AH1" s="573">
        <v>0</v>
      </c>
    </row>
    <row r="2" spans="1:50" s="573" customFormat="1" ht="15" customHeight="1"/>
    <row r="3" spans="1:50" s="573" customFormat="1" ht="15" customHeight="1"/>
    <row r="4" spans="1:50" s="573" customFormat="1" ht="15" customHeight="1"/>
    <row r="5" spans="1:50" s="569" customFormat="1" ht="3.95" customHeight="1">
      <c r="C5" s="570"/>
      <c r="I5" s="570"/>
      <c r="O5" s="570"/>
      <c r="U5" s="570"/>
      <c r="AA5" s="570"/>
      <c r="AG5" s="570"/>
      <c r="AM5" s="570"/>
      <c r="AS5" s="570"/>
      <c r="AU5" s="570"/>
      <c r="AV5" s="571"/>
    </row>
    <row r="7" spans="1:50" ht="15" customHeight="1">
      <c r="B7" s="161" t="s">
        <v>562</v>
      </c>
      <c r="C7" s="18"/>
      <c r="D7" s="200">
        <v>2020</v>
      </c>
      <c r="E7" s="200">
        <v>2020</v>
      </c>
      <c r="F7" s="168">
        <v>2020</v>
      </c>
      <c r="G7" s="200">
        <v>2020</v>
      </c>
      <c r="H7" s="200">
        <v>2020</v>
      </c>
      <c r="I7" s="18"/>
      <c r="J7" s="200">
        <v>2021</v>
      </c>
      <c r="K7" s="200">
        <v>2021</v>
      </c>
      <c r="L7" s="200">
        <v>2021</v>
      </c>
      <c r="M7" s="200">
        <v>2021</v>
      </c>
      <c r="N7" s="200">
        <v>2021</v>
      </c>
      <c r="O7" s="169"/>
      <c r="P7" s="200">
        <v>2022</v>
      </c>
      <c r="Q7" s="200">
        <v>2022</v>
      </c>
      <c r="R7" s="200">
        <v>2022</v>
      </c>
      <c r="S7" s="200">
        <v>2022</v>
      </c>
      <c r="T7" s="200">
        <v>2022</v>
      </c>
      <c r="U7" s="169"/>
      <c r="V7" s="200">
        <v>2023</v>
      </c>
      <c r="W7" s="200">
        <v>2023</v>
      </c>
      <c r="X7" s="200">
        <v>2023</v>
      </c>
      <c r="Y7" s="200">
        <v>2023</v>
      </c>
      <c r="Z7" s="200">
        <v>2023</v>
      </c>
      <c r="AA7" s="170"/>
      <c r="AB7" s="200">
        <v>2024</v>
      </c>
      <c r="AC7" s="200">
        <v>2024</v>
      </c>
      <c r="AD7" s="200">
        <v>2024</v>
      </c>
      <c r="AE7" s="200">
        <v>2024</v>
      </c>
      <c r="AF7" s="200">
        <v>2024</v>
      </c>
      <c r="AG7" s="170"/>
      <c r="AH7" s="200">
        <v>2025</v>
      </c>
      <c r="AI7" s="200">
        <v>2025</v>
      </c>
      <c r="AJ7" s="201">
        <v>2025</v>
      </c>
      <c r="AK7" s="200">
        <v>2025</v>
      </c>
      <c r="AL7" s="200">
        <v>2025</v>
      </c>
      <c r="AM7" s="171"/>
      <c r="AN7" s="200">
        <v>2025</v>
      </c>
      <c r="AO7" s="200">
        <v>2025</v>
      </c>
      <c r="AP7" s="201">
        <v>2025</v>
      </c>
      <c r="AQ7" s="200">
        <v>2025</v>
      </c>
      <c r="AR7" s="200">
        <v>2025</v>
      </c>
      <c r="AS7" s="18"/>
      <c r="AT7" s="162"/>
      <c r="AU7" s="18"/>
      <c r="AV7" s="163"/>
      <c r="AW7" s="18"/>
      <c r="AX7" s="163"/>
    </row>
    <row r="8" spans="1:50" ht="15" customHeight="1">
      <c r="B8" s="164"/>
      <c r="C8" s="18"/>
      <c r="D8" s="893">
        <v>2020</v>
      </c>
      <c r="E8" s="893"/>
      <c r="F8" s="893"/>
      <c r="G8" s="893"/>
      <c r="H8" s="893"/>
      <c r="I8" s="169"/>
      <c r="J8" s="893">
        <v>2021</v>
      </c>
      <c r="K8" s="893"/>
      <c r="L8" s="893"/>
      <c r="M8" s="893"/>
      <c r="N8" s="893"/>
      <c r="O8" s="169"/>
      <c r="P8" s="893">
        <v>2022</v>
      </c>
      <c r="Q8" s="893"/>
      <c r="R8" s="893"/>
      <c r="S8" s="893"/>
      <c r="T8" s="893"/>
      <c r="U8" s="169"/>
      <c r="V8" s="893">
        <v>2023</v>
      </c>
      <c r="W8" s="893"/>
      <c r="X8" s="893"/>
      <c r="Y8" s="893"/>
      <c r="Z8" s="893"/>
      <c r="AA8" s="169"/>
      <c r="AB8" s="893">
        <v>2024</v>
      </c>
      <c r="AC8" s="893"/>
      <c r="AD8" s="893"/>
      <c r="AE8" s="893"/>
      <c r="AF8" s="893"/>
      <c r="AG8" s="169"/>
      <c r="AH8" s="892">
        <v>2025</v>
      </c>
      <c r="AI8" s="892"/>
      <c r="AJ8" s="892"/>
      <c r="AK8" s="892"/>
      <c r="AL8" s="892"/>
      <c r="AM8" s="169"/>
      <c r="AN8" s="892">
        <v>2026</v>
      </c>
      <c r="AO8" s="892"/>
      <c r="AP8" s="892"/>
      <c r="AQ8" s="892"/>
      <c r="AR8" s="892"/>
      <c r="AS8" s="171"/>
      <c r="AT8" s="166">
        <v>2027</v>
      </c>
      <c r="AU8" s="167"/>
      <c r="AV8" s="166">
        <v>2028</v>
      </c>
      <c r="AW8" s="167"/>
      <c r="AX8" s="166">
        <v>2029</v>
      </c>
    </row>
    <row r="9" spans="1:50" ht="15" customHeight="1">
      <c r="B9" s="164"/>
      <c r="C9" s="18"/>
      <c r="D9" s="168" t="s">
        <v>292</v>
      </c>
      <c r="E9" s="168" t="s">
        <v>293</v>
      </c>
      <c r="F9" s="168" t="s">
        <v>294</v>
      </c>
      <c r="G9" s="168" t="s">
        <v>295</v>
      </c>
      <c r="H9" s="168" t="s">
        <v>296</v>
      </c>
      <c r="I9" s="18"/>
      <c r="J9" s="168" t="s">
        <v>292</v>
      </c>
      <c r="K9" s="168" t="s">
        <v>293</v>
      </c>
      <c r="L9" s="168" t="s">
        <v>294</v>
      </c>
      <c r="M9" s="168" t="s">
        <v>295</v>
      </c>
      <c r="N9" s="168" t="s">
        <v>296</v>
      </c>
      <c r="O9" s="165"/>
      <c r="P9" s="168" t="s">
        <v>292</v>
      </c>
      <c r="Q9" s="168" t="s">
        <v>293</v>
      </c>
      <c r="R9" s="168" t="s">
        <v>294</v>
      </c>
      <c r="S9" s="168" t="s">
        <v>295</v>
      </c>
      <c r="T9" s="168" t="s">
        <v>296</v>
      </c>
      <c r="U9" s="165"/>
      <c r="V9" s="168" t="s">
        <v>292</v>
      </c>
      <c r="W9" s="168" t="s">
        <v>293</v>
      </c>
      <c r="X9" s="168" t="s">
        <v>294</v>
      </c>
      <c r="Y9" s="168" t="s">
        <v>295</v>
      </c>
      <c r="Z9" s="168" t="s">
        <v>296</v>
      </c>
      <c r="AA9" s="165"/>
      <c r="AB9" s="168" t="s">
        <v>292</v>
      </c>
      <c r="AC9" s="168" t="s">
        <v>293</v>
      </c>
      <c r="AD9" s="168" t="s">
        <v>294</v>
      </c>
      <c r="AE9" s="168" t="s">
        <v>295</v>
      </c>
      <c r="AF9" s="168" t="s">
        <v>296</v>
      </c>
      <c r="AG9" s="165"/>
      <c r="AH9" s="168" t="s">
        <v>292</v>
      </c>
      <c r="AI9" s="168" t="s">
        <v>293</v>
      </c>
      <c r="AJ9" s="168" t="s">
        <v>294</v>
      </c>
      <c r="AK9" s="168" t="s">
        <v>295</v>
      </c>
      <c r="AL9" s="168" t="s">
        <v>296</v>
      </c>
      <c r="AM9" s="165"/>
      <c r="AN9" s="168" t="s">
        <v>292</v>
      </c>
      <c r="AO9" s="168" t="s">
        <v>293</v>
      </c>
      <c r="AP9" s="168" t="s">
        <v>294</v>
      </c>
      <c r="AQ9" s="168" t="s">
        <v>295</v>
      </c>
      <c r="AR9" s="168" t="s">
        <v>296</v>
      </c>
      <c r="AS9" s="165"/>
      <c r="AT9" s="168" t="s">
        <v>296</v>
      </c>
      <c r="AU9" s="165"/>
      <c r="AV9" s="168" t="s">
        <v>296</v>
      </c>
      <c r="AW9" s="165"/>
      <c r="AX9" s="168" t="s">
        <v>296</v>
      </c>
    </row>
    <row r="10" spans="1:50" ht="3.95" customHeight="1">
      <c r="A10" s="43"/>
      <c r="B10" s="176"/>
      <c r="C10" s="35"/>
      <c r="D10" s="177"/>
      <c r="E10" s="177"/>
      <c r="F10" s="177"/>
      <c r="G10" s="177"/>
      <c r="H10" s="177"/>
      <c r="I10" s="35"/>
      <c r="J10" s="177"/>
      <c r="K10" s="177"/>
      <c r="L10" s="177"/>
      <c r="M10" s="177"/>
      <c r="N10" s="177"/>
      <c r="O10" s="178"/>
      <c r="P10" s="177"/>
      <c r="Q10" s="177"/>
      <c r="R10" s="177"/>
      <c r="S10" s="177"/>
      <c r="T10" s="177"/>
      <c r="U10" s="178"/>
      <c r="V10" s="177"/>
      <c r="W10" s="177"/>
      <c r="X10" s="177"/>
      <c r="Y10" s="177"/>
      <c r="Z10" s="177"/>
      <c r="AA10" s="178"/>
      <c r="AB10" s="177"/>
      <c r="AC10" s="177"/>
      <c r="AD10" s="177"/>
      <c r="AE10" s="177"/>
      <c r="AF10" s="177"/>
      <c r="AG10" s="178"/>
      <c r="AH10" s="177"/>
      <c r="AI10" s="177"/>
      <c r="AJ10" s="177"/>
      <c r="AK10" s="177"/>
      <c r="AL10" s="179"/>
      <c r="AM10" s="180"/>
      <c r="AN10" s="179"/>
      <c r="AO10" s="179"/>
      <c r="AP10" s="179"/>
      <c r="AQ10" s="179"/>
      <c r="AR10" s="179"/>
      <c r="AS10" s="180"/>
      <c r="AT10" s="179"/>
      <c r="AU10" s="180"/>
      <c r="AV10" s="179"/>
      <c r="AW10" s="180"/>
      <c r="AX10" s="179"/>
    </row>
    <row r="11" spans="1:50" ht="3.95" customHeight="1">
      <c r="A11" s="43"/>
      <c r="B11" s="172"/>
      <c r="C11" s="19"/>
      <c r="D11" s="173"/>
      <c r="E11" s="173"/>
      <c r="F11" s="173"/>
      <c r="G11" s="173"/>
      <c r="H11" s="173"/>
      <c r="I11" s="19"/>
      <c r="J11" s="173"/>
      <c r="K11" s="173"/>
      <c r="L11" s="173"/>
      <c r="M11" s="173"/>
      <c r="N11" s="173"/>
      <c r="O11" s="174"/>
      <c r="P11" s="173"/>
      <c r="Q11" s="173"/>
      <c r="R11" s="173"/>
      <c r="S11" s="173"/>
      <c r="T11" s="173"/>
      <c r="U11" s="174"/>
      <c r="V11" s="173"/>
      <c r="W11" s="173"/>
      <c r="X11" s="173"/>
      <c r="Y11" s="173"/>
      <c r="Z11" s="173"/>
      <c r="AA11" s="174"/>
      <c r="AB11" s="173"/>
      <c r="AC11" s="173"/>
      <c r="AD11" s="173"/>
      <c r="AE11" s="173"/>
      <c r="AF11" s="173"/>
      <c r="AG11" s="202"/>
      <c r="AH11" s="173"/>
      <c r="AI11" s="173"/>
      <c r="AJ11" s="173"/>
      <c r="AK11" s="173"/>
      <c r="AL11" s="175"/>
      <c r="AM11" s="34"/>
      <c r="AN11" s="175"/>
      <c r="AO11" s="175"/>
      <c r="AP11" s="175"/>
      <c r="AQ11" s="175"/>
      <c r="AR11" s="175"/>
      <c r="AS11" s="34"/>
      <c r="AT11" s="175"/>
      <c r="AU11" s="34"/>
      <c r="AV11" s="175"/>
      <c r="AW11" s="34"/>
      <c r="AX11" s="175"/>
    </row>
    <row r="12" spans="1:50" ht="15" customHeight="1">
      <c r="A12" s="44"/>
      <c r="B12" s="106" t="s">
        <v>775</v>
      </c>
      <c r="D12" s="46"/>
      <c r="E12" s="46"/>
      <c r="F12" s="46"/>
      <c r="G12" s="46"/>
      <c r="H12" s="57"/>
      <c r="I12" s="20"/>
      <c r="J12" s="107"/>
      <c r="K12" s="107"/>
      <c r="L12" s="107"/>
      <c r="M12" s="107"/>
      <c r="N12" s="108"/>
      <c r="O12" s="108"/>
      <c r="P12" s="107"/>
      <c r="Q12" s="107"/>
      <c r="R12" s="107"/>
      <c r="S12" s="107"/>
      <c r="T12" s="108"/>
      <c r="U12" s="108"/>
      <c r="V12" s="107"/>
      <c r="W12" s="107"/>
      <c r="X12" s="107"/>
      <c r="Y12" s="107"/>
      <c r="Z12" s="108"/>
      <c r="AA12" s="108"/>
      <c r="AB12" s="109"/>
      <c r="AC12" s="109"/>
      <c r="AD12" s="109"/>
      <c r="AE12" s="109"/>
      <c r="AF12" s="108"/>
      <c r="AG12" s="110"/>
      <c r="AH12" s="111"/>
      <c r="AI12" s="111"/>
      <c r="AJ12" s="111"/>
      <c r="AK12" s="111"/>
      <c r="AL12" s="108"/>
      <c r="AM12" s="112"/>
      <c r="AN12" s="111"/>
      <c r="AO12" s="111"/>
      <c r="AP12" s="111"/>
      <c r="AQ12" s="111"/>
      <c r="AR12" s="108"/>
      <c r="AS12" s="112"/>
      <c r="AT12" s="108"/>
      <c r="AU12" s="112"/>
      <c r="AV12" s="108"/>
    </row>
    <row r="13" spans="1:50" s="113" customFormat="1" ht="15" customHeight="1">
      <c r="B13" s="114"/>
      <c r="C13" s="115"/>
      <c r="D13" s="46"/>
      <c r="E13" s="46"/>
      <c r="F13" s="46"/>
      <c r="G13" s="46"/>
      <c r="H13" s="57"/>
      <c r="I13" s="116"/>
      <c r="J13" s="107"/>
      <c r="K13" s="107"/>
      <c r="L13" s="107"/>
      <c r="M13" s="107"/>
      <c r="N13" s="108"/>
      <c r="O13" s="116"/>
      <c r="P13" s="107"/>
      <c r="Q13" s="107"/>
      <c r="R13" s="107"/>
      <c r="S13" s="107"/>
      <c r="T13" s="108"/>
      <c r="U13" s="116"/>
      <c r="V13" s="107"/>
      <c r="W13" s="107"/>
      <c r="X13" s="107"/>
      <c r="Y13" s="107"/>
      <c r="Z13" s="108"/>
      <c r="AA13" s="117"/>
      <c r="AB13" s="109"/>
      <c r="AC13" s="109"/>
      <c r="AD13" s="109"/>
      <c r="AE13" s="109"/>
      <c r="AF13" s="108"/>
      <c r="AG13" s="118"/>
      <c r="AH13" s="119"/>
      <c r="AI13" s="119"/>
      <c r="AJ13" s="119"/>
      <c r="AK13" s="119"/>
      <c r="AL13" s="108"/>
      <c r="AM13" s="120"/>
      <c r="AN13" s="119"/>
      <c r="AO13" s="119"/>
      <c r="AP13" s="119"/>
      <c r="AQ13" s="119"/>
      <c r="AR13" s="108"/>
      <c r="AS13" s="120"/>
      <c r="AT13" s="108"/>
      <c r="AU13" s="120"/>
      <c r="AV13" s="108"/>
    </row>
    <row r="14" spans="1:50" ht="15" customHeight="1">
      <c r="A14" s="44" t="s">
        <v>41</v>
      </c>
      <c r="B14" s="114" t="s">
        <v>776</v>
      </c>
      <c r="D14" s="46"/>
      <c r="E14" s="46"/>
      <c r="F14" s="46"/>
      <c r="G14" s="46"/>
      <c r="H14" s="66"/>
      <c r="I14" s="20"/>
      <c r="J14" s="121"/>
      <c r="K14" s="121"/>
      <c r="L14" s="121"/>
      <c r="M14" s="121"/>
      <c r="N14" s="108"/>
      <c r="O14" s="20"/>
      <c r="P14" s="121"/>
      <c r="Q14" s="121"/>
      <c r="R14" s="121"/>
      <c r="S14" s="121"/>
      <c r="T14" s="108"/>
      <c r="U14" s="20"/>
      <c r="V14" s="121"/>
      <c r="W14" s="121"/>
      <c r="X14" s="121"/>
      <c r="Y14" s="121"/>
      <c r="Z14" s="108"/>
      <c r="AA14" s="122"/>
      <c r="AB14" s="123"/>
      <c r="AC14" s="123"/>
      <c r="AD14" s="123"/>
      <c r="AE14" s="123"/>
      <c r="AF14" s="108"/>
      <c r="AG14" s="124"/>
      <c r="AH14" s="125"/>
      <c r="AI14" s="125"/>
      <c r="AJ14" s="125"/>
      <c r="AK14" s="125"/>
      <c r="AL14" s="108"/>
      <c r="AM14" s="126"/>
      <c r="AN14" s="125"/>
      <c r="AO14" s="125"/>
      <c r="AP14" s="125"/>
      <c r="AQ14" s="125"/>
      <c r="AR14" s="108"/>
      <c r="AS14" s="126"/>
      <c r="AT14" s="108"/>
      <c r="AU14" s="126"/>
      <c r="AV14" s="108"/>
    </row>
    <row r="15" spans="1:50" ht="15" customHeight="1">
      <c r="A15" s="44"/>
      <c r="B15" s="127" t="s">
        <v>777</v>
      </c>
      <c r="D15" s="60">
        <v>1988</v>
      </c>
      <c r="E15" s="60">
        <v>2855</v>
      </c>
      <c r="F15" s="60">
        <v>3585</v>
      </c>
      <c r="G15" s="60">
        <v>3160</v>
      </c>
      <c r="H15" s="57">
        <v>3160</v>
      </c>
      <c r="I15" s="116"/>
      <c r="J15" s="60">
        <v>2933</v>
      </c>
      <c r="K15" s="60">
        <v>2745</v>
      </c>
      <c r="L15" s="60">
        <v>2727</v>
      </c>
      <c r="M15" s="60">
        <v>3604</v>
      </c>
      <c r="N15" s="57">
        <v>3604</v>
      </c>
      <c r="O15" s="116"/>
      <c r="P15" s="60">
        <v>1883</v>
      </c>
      <c r="Q15" s="60">
        <v>1775</v>
      </c>
      <c r="R15" s="60">
        <v>2430</v>
      </c>
      <c r="S15" s="60">
        <v>2547</v>
      </c>
      <c r="T15" s="57">
        <v>2547</v>
      </c>
      <c r="U15" s="116"/>
      <c r="V15" s="60">
        <v>2440</v>
      </c>
      <c r="W15" s="60">
        <v>3673</v>
      </c>
      <c r="X15" s="60">
        <v>3551</v>
      </c>
      <c r="Y15" s="60">
        <v>1442</v>
      </c>
      <c r="Z15" s="57">
        <v>1442</v>
      </c>
      <c r="AA15" s="117"/>
      <c r="AB15" s="60">
        <v>2790</v>
      </c>
      <c r="AC15" s="60">
        <v>2523</v>
      </c>
      <c r="AD15" s="60">
        <v>3151</v>
      </c>
      <c r="AE15" s="60">
        <v>2483</v>
      </c>
      <c r="AF15" s="57">
        <v>2483</v>
      </c>
      <c r="AG15" s="118"/>
      <c r="AH15" s="60">
        <v>1803</v>
      </c>
      <c r="AI15" s="60">
        <v>1293</v>
      </c>
      <c r="AJ15" s="125"/>
      <c r="AK15" s="125"/>
      <c r="AL15" s="108"/>
      <c r="AM15" s="126"/>
      <c r="AN15" s="125"/>
      <c r="AO15" s="125"/>
      <c r="AP15" s="125"/>
      <c r="AQ15" s="125"/>
      <c r="AR15" s="108"/>
      <c r="AS15" s="126"/>
      <c r="AT15" s="108"/>
      <c r="AU15" s="126"/>
      <c r="AV15" s="108"/>
    </row>
    <row r="16" spans="1:50" ht="15" customHeight="1">
      <c r="A16" s="44"/>
      <c r="B16" s="138" t="s">
        <v>778</v>
      </c>
      <c r="D16" s="60">
        <v>0</v>
      </c>
      <c r="E16" s="60">
        <v>0</v>
      </c>
      <c r="F16" s="60">
        <v>0</v>
      </c>
      <c r="G16" s="60">
        <v>0</v>
      </c>
      <c r="H16" s="57">
        <v>0</v>
      </c>
      <c r="I16" s="20"/>
      <c r="J16" s="60">
        <v>0</v>
      </c>
      <c r="K16" s="60">
        <v>0</v>
      </c>
      <c r="L16" s="60">
        <v>0</v>
      </c>
      <c r="M16" s="60">
        <v>0</v>
      </c>
      <c r="N16" s="57">
        <v>0</v>
      </c>
      <c r="O16" s="20"/>
      <c r="P16" s="60">
        <v>0</v>
      </c>
      <c r="Q16" s="60">
        <v>0</v>
      </c>
      <c r="R16" s="60">
        <v>0</v>
      </c>
      <c r="S16" s="60">
        <v>0</v>
      </c>
      <c r="T16" s="57">
        <v>0</v>
      </c>
      <c r="U16" s="20"/>
      <c r="V16" s="60">
        <v>0</v>
      </c>
      <c r="W16" s="60">
        <v>0</v>
      </c>
      <c r="X16" s="60">
        <v>0</v>
      </c>
      <c r="Y16" s="60">
        <v>0</v>
      </c>
      <c r="Z16" s="57">
        <v>0</v>
      </c>
      <c r="AA16" s="122"/>
      <c r="AB16" s="60">
        <v>0</v>
      </c>
      <c r="AC16" s="60">
        <v>0</v>
      </c>
      <c r="AD16" s="60">
        <v>0</v>
      </c>
      <c r="AE16" s="60">
        <v>0</v>
      </c>
      <c r="AF16" s="57">
        <v>0</v>
      </c>
      <c r="AG16" s="124"/>
      <c r="AH16" s="60">
        <v>0</v>
      </c>
      <c r="AI16" s="60">
        <v>0</v>
      </c>
      <c r="AJ16" s="125"/>
      <c r="AK16" s="125"/>
      <c r="AL16" s="108"/>
      <c r="AM16" s="126"/>
      <c r="AN16" s="125"/>
      <c r="AO16" s="125"/>
      <c r="AP16" s="125"/>
      <c r="AQ16" s="125"/>
      <c r="AR16" s="108"/>
      <c r="AS16" s="126"/>
      <c r="AT16" s="108"/>
      <c r="AU16" s="126"/>
      <c r="AV16" s="108"/>
    </row>
    <row r="17" spans="1:48" s="113" customFormat="1" ht="15" customHeight="1">
      <c r="B17" s="138" t="s">
        <v>779</v>
      </c>
      <c r="C17" s="115"/>
      <c r="D17" s="60">
        <v>1988</v>
      </c>
      <c r="E17" s="60">
        <v>2855</v>
      </c>
      <c r="F17" s="60">
        <v>3585</v>
      </c>
      <c r="G17" s="60">
        <v>3160</v>
      </c>
      <c r="H17" s="57">
        <v>3160</v>
      </c>
      <c r="I17" s="20"/>
      <c r="J17" s="60">
        <v>2933</v>
      </c>
      <c r="K17" s="60">
        <v>2745</v>
      </c>
      <c r="L17" s="60">
        <v>2727</v>
      </c>
      <c r="M17" s="60">
        <v>3604</v>
      </c>
      <c r="N17" s="57">
        <v>3604</v>
      </c>
      <c r="O17" s="20"/>
      <c r="P17" s="60">
        <v>1883</v>
      </c>
      <c r="Q17" s="60">
        <v>1775</v>
      </c>
      <c r="R17" s="60">
        <v>2430</v>
      </c>
      <c r="S17" s="60">
        <v>2547</v>
      </c>
      <c r="T17" s="57">
        <v>2547</v>
      </c>
      <c r="U17" s="20"/>
      <c r="V17" s="60">
        <v>2440</v>
      </c>
      <c r="W17" s="60">
        <v>3673</v>
      </c>
      <c r="X17" s="60">
        <v>3551</v>
      </c>
      <c r="Y17" s="60">
        <v>1442</v>
      </c>
      <c r="Z17" s="57">
        <v>1442</v>
      </c>
      <c r="AA17" s="122"/>
      <c r="AB17" s="60">
        <v>2790</v>
      </c>
      <c r="AC17" s="60">
        <v>2523</v>
      </c>
      <c r="AD17" s="60">
        <v>3151</v>
      </c>
      <c r="AE17" s="60">
        <v>2483</v>
      </c>
      <c r="AF17" s="57">
        <v>2483</v>
      </c>
      <c r="AG17" s="124"/>
      <c r="AH17" s="60">
        <v>1803</v>
      </c>
      <c r="AI17" s="60">
        <v>1293</v>
      </c>
      <c r="AJ17" s="125"/>
      <c r="AK17" s="125"/>
      <c r="AL17" s="57"/>
      <c r="AM17" s="128"/>
      <c r="AN17" s="46"/>
      <c r="AO17" s="46"/>
      <c r="AP17" s="46"/>
      <c r="AQ17" s="46"/>
      <c r="AR17" s="57"/>
      <c r="AS17" s="128"/>
      <c r="AT17" s="57"/>
      <c r="AU17" s="128"/>
      <c r="AV17" s="57"/>
    </row>
    <row r="18" spans="1:48" s="113" customFormat="1" ht="15" customHeight="1">
      <c r="B18" s="127" t="s">
        <v>780</v>
      </c>
      <c r="C18" s="115"/>
      <c r="D18" s="60">
        <v>2892</v>
      </c>
      <c r="E18" s="60">
        <v>2835</v>
      </c>
      <c r="F18" s="60">
        <v>2480</v>
      </c>
      <c r="G18" s="60">
        <v>1978</v>
      </c>
      <c r="H18" s="57">
        <v>1978</v>
      </c>
      <c r="I18" s="116"/>
      <c r="J18" s="60">
        <v>2214</v>
      </c>
      <c r="K18" s="60">
        <v>2611</v>
      </c>
      <c r="L18" s="60">
        <v>2267</v>
      </c>
      <c r="M18" s="60">
        <v>1963</v>
      </c>
      <c r="N18" s="57">
        <v>1963</v>
      </c>
      <c r="O18" s="116"/>
      <c r="P18" s="60">
        <v>2527</v>
      </c>
      <c r="Q18" s="60">
        <v>3401</v>
      </c>
      <c r="R18" s="60">
        <v>2484</v>
      </c>
      <c r="S18" s="60">
        <v>2505</v>
      </c>
      <c r="T18" s="57">
        <v>2505</v>
      </c>
      <c r="U18" s="116"/>
      <c r="V18" s="60">
        <v>2583</v>
      </c>
      <c r="W18" s="60">
        <v>3427</v>
      </c>
      <c r="X18" s="60">
        <v>2405</v>
      </c>
      <c r="Y18" s="60">
        <v>2132</v>
      </c>
      <c r="Z18" s="57">
        <v>2132</v>
      </c>
      <c r="AA18" s="117"/>
      <c r="AB18" s="60">
        <v>2257</v>
      </c>
      <c r="AC18" s="60">
        <v>2930</v>
      </c>
      <c r="AD18" s="60">
        <v>2141</v>
      </c>
      <c r="AE18" s="60">
        <v>2351</v>
      </c>
      <c r="AF18" s="57">
        <v>2351</v>
      </c>
      <c r="AG18" s="118"/>
      <c r="AH18" s="60">
        <v>2024</v>
      </c>
      <c r="AI18" s="60">
        <v>3306</v>
      </c>
      <c r="AJ18" s="50">
        <v>0</v>
      </c>
      <c r="AK18" s="50">
        <v>0</v>
      </c>
      <c r="AL18" s="58">
        <v>0</v>
      </c>
      <c r="AM18" s="128"/>
      <c r="AN18" s="50">
        <v>0</v>
      </c>
      <c r="AO18" s="50">
        <v>0</v>
      </c>
      <c r="AP18" s="50">
        <v>0</v>
      </c>
      <c r="AQ18" s="50">
        <v>0</v>
      </c>
      <c r="AR18" s="58">
        <v>0</v>
      </c>
      <c r="AS18" s="128"/>
      <c r="AT18" s="58">
        <v>0</v>
      </c>
      <c r="AU18" s="128"/>
      <c r="AV18" s="58">
        <v>0</v>
      </c>
    </row>
    <row r="19" spans="1:48" ht="15" customHeight="1">
      <c r="A19" s="43"/>
      <c r="B19" s="127" t="s">
        <v>593</v>
      </c>
      <c r="D19" s="60">
        <v>3539</v>
      </c>
      <c r="E19" s="60">
        <v>3521</v>
      </c>
      <c r="F19" s="60">
        <v>3293</v>
      </c>
      <c r="G19" s="60">
        <v>3545</v>
      </c>
      <c r="H19" s="57">
        <v>3545</v>
      </c>
      <c r="I19" s="20"/>
      <c r="J19" s="60">
        <v>3256</v>
      </c>
      <c r="K19" s="60">
        <v>3119</v>
      </c>
      <c r="L19" s="60">
        <v>2903</v>
      </c>
      <c r="M19" s="60">
        <v>2981</v>
      </c>
      <c r="N19" s="57">
        <v>2981</v>
      </c>
      <c r="O19" s="20"/>
      <c r="P19" s="60">
        <v>3144</v>
      </c>
      <c r="Q19" s="60">
        <v>3431</v>
      </c>
      <c r="R19" s="60">
        <v>3113</v>
      </c>
      <c r="S19" s="60">
        <v>3088</v>
      </c>
      <c r="T19" s="57">
        <v>3088</v>
      </c>
      <c r="U19" s="20"/>
      <c r="V19" s="60">
        <v>3471</v>
      </c>
      <c r="W19" s="60">
        <v>3498</v>
      </c>
      <c r="X19" s="60">
        <v>3312</v>
      </c>
      <c r="Y19" s="60">
        <v>3132</v>
      </c>
      <c r="Z19" s="57">
        <v>3132</v>
      </c>
      <c r="AA19" s="122"/>
      <c r="AB19" s="60">
        <v>3278</v>
      </c>
      <c r="AC19" s="60">
        <v>3097</v>
      </c>
      <c r="AD19" s="60">
        <v>3234</v>
      </c>
      <c r="AE19" s="60">
        <v>3474</v>
      </c>
      <c r="AF19" s="57">
        <v>3474</v>
      </c>
      <c r="AG19" s="124"/>
      <c r="AH19" s="60">
        <v>3599</v>
      </c>
      <c r="AI19" s="60">
        <v>3699</v>
      </c>
      <c r="AJ19" s="50">
        <v>0</v>
      </c>
      <c r="AK19" s="50">
        <v>0</v>
      </c>
      <c r="AL19" s="58">
        <v>0</v>
      </c>
      <c r="AM19" s="126"/>
      <c r="AN19" s="50">
        <v>0</v>
      </c>
      <c r="AO19" s="50">
        <v>0</v>
      </c>
      <c r="AP19" s="50">
        <v>0</v>
      </c>
      <c r="AQ19" s="50">
        <v>0</v>
      </c>
      <c r="AR19" s="58">
        <v>0</v>
      </c>
      <c r="AS19" s="126"/>
      <c r="AT19" s="58">
        <v>0</v>
      </c>
      <c r="AU19" s="126"/>
      <c r="AV19" s="58">
        <v>0</v>
      </c>
    </row>
    <row r="20" spans="1:48" s="113" customFormat="1" ht="15" customHeight="1">
      <c r="B20" s="127" t="s">
        <v>781</v>
      </c>
      <c r="C20" s="115"/>
      <c r="D20" s="46">
        <v>10803</v>
      </c>
      <c r="E20" s="46">
        <v>10359</v>
      </c>
      <c r="F20" s="46">
        <v>10932</v>
      </c>
      <c r="G20" s="46">
        <v>10695</v>
      </c>
      <c r="H20" s="74">
        <v>10695</v>
      </c>
      <c r="I20" s="116"/>
      <c r="J20" s="46">
        <v>11849</v>
      </c>
      <c r="K20" s="46">
        <v>12199</v>
      </c>
      <c r="L20" s="46">
        <v>13460</v>
      </c>
      <c r="M20" s="46">
        <v>11267</v>
      </c>
      <c r="N20" s="74">
        <v>11267</v>
      </c>
      <c r="O20" s="116"/>
      <c r="P20" s="46">
        <v>12836</v>
      </c>
      <c r="Q20" s="46">
        <v>12366</v>
      </c>
      <c r="R20" s="46">
        <v>12933</v>
      </c>
      <c r="S20" s="46">
        <v>12851</v>
      </c>
      <c r="T20" s="74">
        <v>12851</v>
      </c>
      <c r="U20" s="116"/>
      <c r="V20" s="46">
        <v>13650</v>
      </c>
      <c r="W20" s="46">
        <v>13489</v>
      </c>
      <c r="X20" s="46">
        <v>14054</v>
      </c>
      <c r="Y20" s="46">
        <v>13815</v>
      </c>
      <c r="Z20" s="74">
        <v>13815</v>
      </c>
      <c r="AA20" s="129"/>
      <c r="AB20" s="46">
        <v>14633</v>
      </c>
      <c r="AC20" s="46">
        <v>14417</v>
      </c>
      <c r="AD20" s="46">
        <v>14685</v>
      </c>
      <c r="AE20" s="46">
        <v>13541</v>
      </c>
      <c r="AF20" s="74">
        <v>13541</v>
      </c>
      <c r="AG20" s="130"/>
      <c r="AH20" s="46">
        <v>15375</v>
      </c>
      <c r="AI20" s="46">
        <v>15690</v>
      </c>
      <c r="AJ20" s="50">
        <v>0</v>
      </c>
      <c r="AK20" s="50">
        <v>0</v>
      </c>
      <c r="AL20" s="75">
        <v>0</v>
      </c>
      <c r="AM20" s="129"/>
      <c r="AN20" s="50">
        <v>0</v>
      </c>
      <c r="AO20" s="50">
        <v>0</v>
      </c>
      <c r="AP20" s="50">
        <v>0</v>
      </c>
      <c r="AQ20" s="50">
        <v>0</v>
      </c>
      <c r="AR20" s="75">
        <v>0</v>
      </c>
      <c r="AS20" s="129"/>
      <c r="AT20" s="75">
        <v>0</v>
      </c>
      <c r="AU20" s="129"/>
      <c r="AV20" s="75">
        <v>0</v>
      </c>
    </row>
    <row r="21" spans="1:48" s="135" customFormat="1" ht="15" customHeight="1">
      <c r="A21" s="84"/>
      <c r="B21" s="59" t="s">
        <v>782</v>
      </c>
      <c r="C21" s="26"/>
      <c r="D21" s="60">
        <v>19222</v>
      </c>
      <c r="E21" s="60">
        <v>19570</v>
      </c>
      <c r="F21" s="60">
        <v>20290</v>
      </c>
      <c r="G21" s="60">
        <v>19378</v>
      </c>
      <c r="H21" s="77">
        <v>19378</v>
      </c>
      <c r="I21" s="131"/>
      <c r="J21" s="60">
        <v>20252</v>
      </c>
      <c r="K21" s="60">
        <v>20674</v>
      </c>
      <c r="L21" s="60">
        <v>21357</v>
      </c>
      <c r="M21" s="60">
        <v>19815</v>
      </c>
      <c r="N21" s="77">
        <v>19815</v>
      </c>
      <c r="O21" s="131"/>
      <c r="P21" s="60">
        <v>20390</v>
      </c>
      <c r="Q21" s="60">
        <v>20973</v>
      </c>
      <c r="R21" s="60">
        <v>20960</v>
      </c>
      <c r="S21" s="60">
        <v>20991</v>
      </c>
      <c r="T21" s="77">
        <v>20991</v>
      </c>
      <c r="U21" s="131"/>
      <c r="V21" s="60">
        <v>22144</v>
      </c>
      <c r="W21" s="60">
        <v>24087</v>
      </c>
      <c r="X21" s="60">
        <v>23322</v>
      </c>
      <c r="Y21" s="60">
        <v>20521</v>
      </c>
      <c r="Z21" s="77">
        <v>20521</v>
      </c>
      <c r="AA21" s="132"/>
      <c r="AB21" s="60">
        <v>22958</v>
      </c>
      <c r="AC21" s="60">
        <v>22967</v>
      </c>
      <c r="AD21" s="60">
        <v>23211</v>
      </c>
      <c r="AE21" s="60">
        <v>21849</v>
      </c>
      <c r="AF21" s="77">
        <v>21849</v>
      </c>
      <c r="AG21" s="133"/>
      <c r="AH21" s="60">
        <v>22801</v>
      </c>
      <c r="AI21" s="60">
        <v>23988</v>
      </c>
      <c r="AJ21" s="50"/>
      <c r="AK21" s="50"/>
      <c r="AL21" s="78"/>
      <c r="AM21" s="134"/>
      <c r="AN21" s="50"/>
      <c r="AO21" s="50"/>
      <c r="AP21" s="50"/>
      <c r="AQ21" s="50"/>
      <c r="AR21" s="78"/>
      <c r="AS21" s="134"/>
      <c r="AT21" s="78"/>
      <c r="AU21" s="134"/>
      <c r="AV21" s="78"/>
    </row>
    <row r="22" spans="1:48" ht="15" customHeight="1">
      <c r="A22" s="43"/>
      <c r="B22" s="136"/>
      <c r="D22" s="46"/>
      <c r="E22" s="46"/>
      <c r="F22" s="46"/>
      <c r="G22" s="46"/>
      <c r="H22" s="66"/>
      <c r="I22" s="20"/>
      <c r="J22" s="46"/>
      <c r="K22" s="46"/>
      <c r="L22" s="46"/>
      <c r="M22" s="46"/>
      <c r="N22" s="66"/>
      <c r="O22" s="20"/>
      <c r="P22" s="46"/>
      <c r="Q22" s="46"/>
      <c r="R22" s="46"/>
      <c r="S22" s="46"/>
      <c r="T22" s="66"/>
      <c r="U22" s="20"/>
      <c r="V22" s="46"/>
      <c r="W22" s="46"/>
      <c r="X22" s="46"/>
      <c r="Y22" s="46"/>
      <c r="Z22" s="66"/>
      <c r="AA22" s="122"/>
      <c r="AB22" s="46"/>
      <c r="AC22" s="46"/>
      <c r="AD22" s="46"/>
      <c r="AE22" s="46"/>
      <c r="AF22" s="66"/>
      <c r="AG22" s="124"/>
      <c r="AH22" s="46"/>
      <c r="AI22" s="46"/>
      <c r="AJ22" s="50"/>
      <c r="AK22" s="50"/>
      <c r="AL22" s="68"/>
      <c r="AM22" s="126"/>
      <c r="AN22" s="50"/>
      <c r="AO22" s="50"/>
      <c r="AP22" s="50"/>
      <c r="AQ22" s="50"/>
      <c r="AR22" s="68"/>
      <c r="AS22" s="126"/>
      <c r="AT22" s="68"/>
      <c r="AU22" s="126"/>
      <c r="AV22" s="68"/>
    </row>
    <row r="23" spans="1:48" s="113" customFormat="1" ht="15" customHeight="1">
      <c r="A23" s="44" t="s">
        <v>41</v>
      </c>
      <c r="B23" s="45" t="s">
        <v>783</v>
      </c>
      <c r="C23" s="115"/>
      <c r="D23" s="46"/>
      <c r="E23" s="46"/>
      <c r="F23" s="46"/>
      <c r="G23" s="46"/>
      <c r="H23" s="66"/>
      <c r="I23" s="116"/>
      <c r="J23" s="46"/>
      <c r="K23" s="46"/>
      <c r="L23" s="46"/>
      <c r="M23" s="46"/>
      <c r="N23" s="66"/>
      <c r="O23" s="116"/>
      <c r="P23" s="46"/>
      <c r="Q23" s="46"/>
      <c r="R23" s="46"/>
      <c r="S23" s="46"/>
      <c r="T23" s="66"/>
      <c r="U23" s="116"/>
      <c r="V23" s="46"/>
      <c r="W23" s="46"/>
      <c r="X23" s="46"/>
      <c r="Y23" s="46"/>
      <c r="Z23" s="66"/>
      <c r="AA23" s="129"/>
      <c r="AB23" s="46"/>
      <c r="AC23" s="46"/>
      <c r="AD23" s="46"/>
      <c r="AE23" s="46"/>
      <c r="AF23" s="66"/>
      <c r="AG23" s="130"/>
      <c r="AH23" s="46"/>
      <c r="AI23" s="46"/>
      <c r="AJ23" s="50"/>
      <c r="AK23" s="50"/>
      <c r="AL23" s="68"/>
      <c r="AM23" s="129"/>
      <c r="AN23" s="50"/>
      <c r="AO23" s="50"/>
      <c r="AP23" s="50"/>
      <c r="AQ23" s="50"/>
      <c r="AR23" s="68"/>
      <c r="AS23" s="129"/>
      <c r="AT23" s="68"/>
      <c r="AU23" s="129"/>
      <c r="AV23" s="68"/>
    </row>
    <row r="24" spans="1:48" ht="15" customHeight="1">
      <c r="A24" s="43"/>
      <c r="B24" s="127" t="s">
        <v>601</v>
      </c>
      <c r="D24" s="60">
        <v>6605</v>
      </c>
      <c r="E24" s="60">
        <v>6663</v>
      </c>
      <c r="F24" s="60">
        <v>6803</v>
      </c>
      <c r="G24" s="60">
        <v>8213</v>
      </c>
      <c r="H24" s="57">
        <v>8213</v>
      </c>
      <c r="I24" s="20"/>
      <c r="J24" s="60">
        <v>7213</v>
      </c>
      <c r="K24" s="60">
        <v>7290</v>
      </c>
      <c r="L24" s="60">
        <v>7332</v>
      </c>
      <c r="M24" s="60">
        <v>8897</v>
      </c>
      <c r="N24" s="57">
        <v>8897</v>
      </c>
      <c r="O24" s="20"/>
      <c r="P24" s="60">
        <v>7561</v>
      </c>
      <c r="Q24" s="60">
        <v>7569</v>
      </c>
      <c r="R24" s="60">
        <v>7629</v>
      </c>
      <c r="S24" s="60">
        <v>9075</v>
      </c>
      <c r="T24" s="57">
        <v>9075</v>
      </c>
      <c r="U24" s="20"/>
      <c r="V24" s="60">
        <v>7938</v>
      </c>
      <c r="W24" s="60">
        <v>7966</v>
      </c>
      <c r="X24" s="60">
        <v>8046</v>
      </c>
      <c r="Y24" s="60">
        <v>9470</v>
      </c>
      <c r="Z24" s="57">
        <v>9470</v>
      </c>
      <c r="AA24" s="122"/>
      <c r="AB24" s="60">
        <v>8354</v>
      </c>
      <c r="AC24" s="60">
        <v>8394</v>
      </c>
      <c r="AD24" s="60">
        <v>8454</v>
      </c>
      <c r="AE24" s="60">
        <v>9726</v>
      </c>
      <c r="AF24" s="57">
        <v>9726</v>
      </c>
      <c r="AG24" s="124"/>
      <c r="AH24" s="60">
        <v>8713</v>
      </c>
      <c r="AI24" s="60">
        <v>8670</v>
      </c>
      <c r="AJ24" s="50">
        <v>8670</v>
      </c>
      <c r="AK24" s="50">
        <v>8670</v>
      </c>
      <c r="AL24" s="58">
        <v>8670</v>
      </c>
      <c r="AM24" s="126"/>
      <c r="AN24" s="50">
        <v>8670</v>
      </c>
      <c r="AO24" s="50">
        <v>8670</v>
      </c>
      <c r="AP24" s="50">
        <v>8670</v>
      </c>
      <c r="AQ24" s="50">
        <v>8670</v>
      </c>
      <c r="AR24" s="58">
        <v>8670</v>
      </c>
      <c r="AS24" s="126"/>
      <c r="AT24" s="58">
        <v>8670</v>
      </c>
      <c r="AU24" s="126"/>
      <c r="AV24" s="58">
        <v>8670</v>
      </c>
    </row>
    <row r="25" spans="1:48" s="113" customFormat="1" ht="15" customHeight="1">
      <c r="B25" s="138" t="s">
        <v>784</v>
      </c>
      <c r="C25" s="115"/>
      <c r="D25" s="60">
        <v>0</v>
      </c>
      <c r="E25" s="60">
        <v>0</v>
      </c>
      <c r="F25" s="60">
        <v>0</v>
      </c>
      <c r="G25" s="60">
        <v>19149</v>
      </c>
      <c r="H25" s="57">
        <v>19149</v>
      </c>
      <c r="I25" s="116"/>
      <c r="J25" s="60">
        <v>0</v>
      </c>
      <c r="K25" s="60">
        <v>0</v>
      </c>
      <c r="L25" s="60">
        <v>0</v>
      </c>
      <c r="M25" s="60">
        <v>20400</v>
      </c>
      <c r="N25" s="57">
        <v>20400</v>
      </c>
      <c r="O25" s="116"/>
      <c r="P25" s="60">
        <v>0</v>
      </c>
      <c r="Q25" s="60">
        <v>0</v>
      </c>
      <c r="R25" s="60">
        <v>0</v>
      </c>
      <c r="S25" s="60">
        <v>21238</v>
      </c>
      <c r="T25" s="57">
        <v>21238</v>
      </c>
      <c r="U25" s="116"/>
      <c r="V25" s="60">
        <v>0</v>
      </c>
      <c r="W25" s="60">
        <v>0</v>
      </c>
      <c r="X25" s="60">
        <v>0</v>
      </c>
      <c r="Y25" s="60">
        <v>22282</v>
      </c>
      <c r="Z25" s="57">
        <v>22282</v>
      </c>
      <c r="AA25" s="129"/>
      <c r="AB25" s="60">
        <v>0</v>
      </c>
      <c r="AC25" s="60">
        <v>0</v>
      </c>
      <c r="AD25" s="60">
        <v>0</v>
      </c>
      <c r="AE25" s="60">
        <v>23219</v>
      </c>
      <c r="AF25" s="57">
        <v>23219</v>
      </c>
      <c r="AG25" s="130"/>
      <c r="AH25" s="60">
        <v>0</v>
      </c>
      <c r="AI25" s="60">
        <v>0</v>
      </c>
      <c r="AJ25" s="50"/>
      <c r="AK25" s="50"/>
      <c r="AL25" s="58"/>
      <c r="AM25" s="129"/>
      <c r="AN25" s="50"/>
      <c r="AO25" s="50"/>
      <c r="AP25" s="50"/>
      <c r="AQ25" s="50"/>
      <c r="AR25" s="58"/>
      <c r="AS25" s="129"/>
      <c r="AT25" s="58"/>
      <c r="AU25" s="129"/>
      <c r="AV25" s="58"/>
    </row>
    <row r="26" spans="1:48" ht="15" customHeight="1">
      <c r="A26" s="43"/>
      <c r="B26" s="138" t="s">
        <v>785</v>
      </c>
      <c r="D26" s="60">
        <v>0</v>
      </c>
      <c r="E26" s="60">
        <v>0</v>
      </c>
      <c r="F26" s="60">
        <v>0</v>
      </c>
      <c r="G26" s="60">
        <v>10936</v>
      </c>
      <c r="H26" s="57">
        <v>10936</v>
      </c>
      <c r="I26" s="20"/>
      <c r="J26" s="60">
        <v>0</v>
      </c>
      <c r="K26" s="60">
        <v>0</v>
      </c>
      <c r="L26" s="60">
        <v>0</v>
      </c>
      <c r="M26" s="60">
        <v>11503</v>
      </c>
      <c r="N26" s="57">
        <v>11503</v>
      </c>
      <c r="O26" s="20"/>
      <c r="P26" s="60">
        <v>0</v>
      </c>
      <c r="Q26" s="60">
        <v>0</v>
      </c>
      <c r="R26" s="60">
        <v>0</v>
      </c>
      <c r="S26" s="60">
        <v>12163</v>
      </c>
      <c r="T26" s="57">
        <v>12163</v>
      </c>
      <c r="U26" s="20"/>
      <c r="V26" s="60">
        <v>0</v>
      </c>
      <c r="W26" s="60">
        <v>0</v>
      </c>
      <c r="X26" s="60">
        <v>0</v>
      </c>
      <c r="Y26" s="60">
        <v>12812</v>
      </c>
      <c r="Z26" s="57">
        <v>12812</v>
      </c>
      <c r="AA26" s="122"/>
      <c r="AB26" s="60">
        <v>0</v>
      </c>
      <c r="AC26" s="60">
        <v>0</v>
      </c>
      <c r="AD26" s="60">
        <v>0</v>
      </c>
      <c r="AE26" s="60">
        <v>13493</v>
      </c>
      <c r="AF26" s="57">
        <v>13493</v>
      </c>
      <c r="AG26" s="124"/>
      <c r="AH26" s="60">
        <v>0</v>
      </c>
      <c r="AI26" s="60">
        <v>0</v>
      </c>
      <c r="AJ26" s="50"/>
      <c r="AK26" s="50"/>
      <c r="AL26" s="58"/>
      <c r="AM26" s="126"/>
      <c r="AN26" s="50"/>
      <c r="AO26" s="50"/>
      <c r="AP26" s="50"/>
      <c r="AQ26" s="50"/>
      <c r="AR26" s="58"/>
      <c r="AS26" s="126"/>
      <c r="AT26" s="58"/>
      <c r="AU26" s="126"/>
      <c r="AV26" s="58"/>
    </row>
    <row r="27" spans="1:48" ht="15" customHeight="1">
      <c r="A27" s="43"/>
      <c r="B27" s="127" t="s">
        <v>605</v>
      </c>
      <c r="D27" s="60">
        <v>13707</v>
      </c>
      <c r="E27" s="60">
        <v>13656</v>
      </c>
      <c r="F27" s="60">
        <v>13602</v>
      </c>
      <c r="G27" s="60">
        <v>13818</v>
      </c>
      <c r="H27" s="57">
        <v>13818</v>
      </c>
      <c r="I27" s="20"/>
      <c r="J27" s="60">
        <v>13729</v>
      </c>
      <c r="K27" s="60">
        <v>13659</v>
      </c>
      <c r="L27" s="60">
        <v>13583</v>
      </c>
      <c r="M27" s="60">
        <v>13519</v>
      </c>
      <c r="N27" s="57">
        <v>13519</v>
      </c>
      <c r="O27" s="20"/>
      <c r="P27" s="60">
        <v>13455</v>
      </c>
      <c r="Q27" s="60">
        <v>13378</v>
      </c>
      <c r="R27" s="60">
        <v>13285</v>
      </c>
      <c r="S27" s="60">
        <v>13239</v>
      </c>
      <c r="T27" s="57">
        <v>13239</v>
      </c>
      <c r="U27" s="20"/>
      <c r="V27" s="60">
        <v>13173</v>
      </c>
      <c r="W27" s="60">
        <v>13131</v>
      </c>
      <c r="X27" s="60">
        <v>13056</v>
      </c>
      <c r="Y27" s="60">
        <v>13011</v>
      </c>
      <c r="Z27" s="57">
        <v>13011</v>
      </c>
      <c r="AA27" s="122"/>
      <c r="AB27" s="60">
        <v>12940</v>
      </c>
      <c r="AC27" s="60">
        <v>12827</v>
      </c>
      <c r="AD27" s="60">
        <v>12779</v>
      </c>
      <c r="AE27" s="60">
        <v>13082</v>
      </c>
      <c r="AF27" s="57">
        <v>13082</v>
      </c>
      <c r="AG27" s="124"/>
      <c r="AH27" s="60">
        <v>13028</v>
      </c>
      <c r="AI27" s="60">
        <v>13322</v>
      </c>
      <c r="AJ27" s="50"/>
      <c r="AK27" s="50"/>
      <c r="AL27" s="58"/>
      <c r="AM27" s="126"/>
      <c r="AN27" s="50"/>
      <c r="AO27" s="50"/>
      <c r="AP27" s="50"/>
      <c r="AQ27" s="50"/>
      <c r="AR27" s="58"/>
      <c r="AS27" s="126"/>
      <c r="AT27" s="58"/>
      <c r="AU27" s="126"/>
      <c r="AV27" s="58"/>
    </row>
    <row r="28" spans="1:48" ht="15" customHeight="1">
      <c r="A28" s="43"/>
      <c r="B28" s="127" t="s">
        <v>786</v>
      </c>
      <c r="D28" s="60">
        <v>10565</v>
      </c>
      <c r="E28" s="60">
        <v>10579</v>
      </c>
      <c r="F28" s="60">
        <v>10589</v>
      </c>
      <c r="G28" s="60">
        <v>10806</v>
      </c>
      <c r="H28" s="57">
        <v>10806</v>
      </c>
      <c r="I28" s="20"/>
      <c r="J28" s="60">
        <v>10799</v>
      </c>
      <c r="K28" s="60">
        <v>10810</v>
      </c>
      <c r="L28" s="60">
        <v>10815</v>
      </c>
      <c r="M28" s="60">
        <v>10813</v>
      </c>
      <c r="N28" s="57">
        <v>10813</v>
      </c>
      <c r="O28" s="20"/>
      <c r="P28" s="60">
        <v>10811</v>
      </c>
      <c r="Q28" s="60">
        <v>10794</v>
      </c>
      <c r="R28" s="60">
        <v>10764</v>
      </c>
      <c r="S28" s="60">
        <v>10780</v>
      </c>
      <c r="T28" s="57">
        <v>10780</v>
      </c>
      <c r="U28" s="20"/>
      <c r="V28" s="60">
        <v>10776</v>
      </c>
      <c r="W28" s="60">
        <v>10795</v>
      </c>
      <c r="X28" s="60">
        <v>10782</v>
      </c>
      <c r="Y28" s="60">
        <v>10799</v>
      </c>
      <c r="Z28" s="57">
        <v>10799</v>
      </c>
      <c r="AA28" s="122"/>
      <c r="AB28" s="60">
        <v>10789</v>
      </c>
      <c r="AC28" s="60">
        <v>10787</v>
      </c>
      <c r="AD28" s="60">
        <v>10800</v>
      </c>
      <c r="AE28" s="60">
        <v>11067</v>
      </c>
      <c r="AF28" s="57">
        <v>11067</v>
      </c>
      <c r="AG28" s="124"/>
      <c r="AH28" s="60">
        <v>11076</v>
      </c>
      <c r="AI28" s="60">
        <v>11309</v>
      </c>
      <c r="AJ28" s="50"/>
      <c r="AK28" s="50"/>
      <c r="AL28" s="58"/>
      <c r="AM28" s="137"/>
      <c r="AN28" s="50"/>
      <c r="AO28" s="50"/>
      <c r="AP28" s="50"/>
      <c r="AQ28" s="50"/>
      <c r="AR28" s="58"/>
      <c r="AS28" s="137"/>
      <c r="AT28" s="58"/>
      <c r="AU28" s="137"/>
      <c r="AV28" s="58"/>
    </row>
    <row r="29" spans="1:48" ht="15" customHeight="1">
      <c r="A29" s="43"/>
      <c r="B29" s="127" t="s">
        <v>694</v>
      </c>
      <c r="D29" s="60">
        <v>0</v>
      </c>
      <c r="E29" s="60">
        <v>0</v>
      </c>
      <c r="F29" s="60">
        <v>0</v>
      </c>
      <c r="G29" s="60">
        <v>0</v>
      </c>
      <c r="H29" s="57">
        <v>0</v>
      </c>
      <c r="I29" s="20"/>
      <c r="J29" s="60">
        <v>0</v>
      </c>
      <c r="K29" s="60">
        <v>0</v>
      </c>
      <c r="L29" s="60">
        <v>0</v>
      </c>
      <c r="M29" s="60">
        <v>0</v>
      </c>
      <c r="N29" s="57">
        <v>0</v>
      </c>
      <c r="O29" s="20"/>
      <c r="P29" s="60">
        <v>0</v>
      </c>
      <c r="Q29" s="60">
        <v>0</v>
      </c>
      <c r="R29" s="60">
        <v>0</v>
      </c>
      <c r="S29" s="60">
        <v>0</v>
      </c>
      <c r="T29" s="57">
        <v>0</v>
      </c>
      <c r="U29" s="20"/>
      <c r="V29" s="60">
        <v>0</v>
      </c>
      <c r="W29" s="60">
        <v>0</v>
      </c>
      <c r="X29" s="60">
        <v>0</v>
      </c>
      <c r="Y29" s="60">
        <v>0</v>
      </c>
      <c r="Z29" s="57">
        <v>0</v>
      </c>
      <c r="AA29" s="122"/>
      <c r="AB29" s="60">
        <v>0</v>
      </c>
      <c r="AC29" s="60">
        <v>0</v>
      </c>
      <c r="AD29" s="60">
        <v>0</v>
      </c>
      <c r="AE29" s="60">
        <v>0</v>
      </c>
      <c r="AF29" s="57">
        <v>0</v>
      </c>
      <c r="AG29" s="124"/>
      <c r="AH29" s="60">
        <v>0</v>
      </c>
      <c r="AI29" s="60">
        <v>0</v>
      </c>
      <c r="AJ29" s="50">
        <v>13322</v>
      </c>
      <c r="AK29" s="50">
        <v>13322</v>
      </c>
      <c r="AL29" s="58">
        <v>13322</v>
      </c>
      <c r="AM29" s="126"/>
      <c r="AN29" s="50">
        <v>13322</v>
      </c>
      <c r="AO29" s="50">
        <v>13322</v>
      </c>
      <c r="AP29" s="50">
        <v>13322</v>
      </c>
      <c r="AQ29" s="50">
        <v>13322</v>
      </c>
      <c r="AR29" s="58">
        <v>13322</v>
      </c>
      <c r="AS29" s="126"/>
      <c r="AT29" s="58">
        <v>13322</v>
      </c>
      <c r="AU29" s="126"/>
      <c r="AV29" s="58">
        <v>13322</v>
      </c>
    </row>
    <row r="30" spans="1:48" s="113" customFormat="1" ht="15" customHeight="1">
      <c r="B30" s="127" t="s">
        <v>787</v>
      </c>
      <c r="C30" s="115"/>
      <c r="D30" s="60">
        <v>9714</v>
      </c>
      <c r="E30" s="60">
        <v>9714</v>
      </c>
      <c r="F30" s="60">
        <v>10078</v>
      </c>
      <c r="G30" s="60">
        <v>9301</v>
      </c>
      <c r="H30" s="74">
        <v>9301</v>
      </c>
      <c r="I30" s="116"/>
      <c r="J30" s="60">
        <v>10243</v>
      </c>
      <c r="K30" s="60">
        <v>10476</v>
      </c>
      <c r="L30" s="60">
        <v>9571</v>
      </c>
      <c r="M30" s="60">
        <v>8642</v>
      </c>
      <c r="N30" s="74">
        <v>8642</v>
      </c>
      <c r="O30" s="116"/>
      <c r="P30" s="60">
        <v>10104</v>
      </c>
      <c r="Q30" s="60">
        <v>9838</v>
      </c>
      <c r="R30" s="60">
        <v>10156</v>
      </c>
      <c r="S30" s="60">
        <v>9575</v>
      </c>
      <c r="T30" s="74">
        <v>9575</v>
      </c>
      <c r="U30" s="116"/>
      <c r="V30" s="60">
        <v>11367</v>
      </c>
      <c r="W30" s="60">
        <v>11794</v>
      </c>
      <c r="X30" s="60">
        <v>12242</v>
      </c>
      <c r="Y30" s="60">
        <v>9454</v>
      </c>
      <c r="Z30" s="74">
        <v>9454</v>
      </c>
      <c r="AA30" s="129"/>
      <c r="AB30" s="60">
        <v>10711</v>
      </c>
      <c r="AC30" s="60">
        <v>10888</v>
      </c>
      <c r="AD30" s="60">
        <v>11076</v>
      </c>
      <c r="AE30" s="60">
        <v>10960</v>
      </c>
      <c r="AF30" s="74">
        <v>10960</v>
      </c>
      <c r="AG30" s="130"/>
      <c r="AH30" s="60">
        <v>12127</v>
      </c>
      <c r="AI30" s="60">
        <v>12890</v>
      </c>
      <c r="AJ30" s="50"/>
      <c r="AK30" s="50"/>
      <c r="AL30" s="75"/>
      <c r="AM30" s="129"/>
      <c r="AN30" s="50"/>
      <c r="AO30" s="50"/>
      <c r="AP30" s="50"/>
      <c r="AQ30" s="50"/>
      <c r="AR30" s="75"/>
      <c r="AS30" s="129"/>
      <c r="AT30" s="75"/>
      <c r="AU30" s="129"/>
      <c r="AV30" s="75"/>
    </row>
    <row r="31" spans="1:48" ht="15" customHeight="1">
      <c r="A31" s="43"/>
      <c r="B31" s="138" t="s">
        <v>788</v>
      </c>
      <c r="D31" s="60">
        <v>30026</v>
      </c>
      <c r="E31" s="60">
        <v>30033</v>
      </c>
      <c r="F31" s="60">
        <v>30483</v>
      </c>
      <c r="G31" s="60">
        <v>31332</v>
      </c>
      <c r="H31" s="74">
        <v>31332</v>
      </c>
      <c r="I31" s="20"/>
      <c r="J31" s="60">
        <v>31185</v>
      </c>
      <c r="K31" s="60">
        <v>31425</v>
      </c>
      <c r="L31" s="60">
        <v>30486</v>
      </c>
      <c r="M31" s="60">
        <v>31058</v>
      </c>
      <c r="N31" s="74">
        <v>31058</v>
      </c>
      <c r="O31" s="20"/>
      <c r="P31" s="60">
        <v>31120</v>
      </c>
      <c r="Q31" s="60">
        <v>30785</v>
      </c>
      <c r="R31" s="60">
        <v>31070</v>
      </c>
      <c r="S31" s="60">
        <v>31889</v>
      </c>
      <c r="T31" s="74">
        <v>31889</v>
      </c>
      <c r="U31" s="20"/>
      <c r="V31" s="60">
        <v>32478</v>
      </c>
      <c r="W31" s="60">
        <v>32891</v>
      </c>
      <c r="X31" s="60">
        <v>33344</v>
      </c>
      <c r="Y31" s="60">
        <v>31935</v>
      </c>
      <c r="Z31" s="74">
        <v>31935</v>
      </c>
      <c r="AA31" s="122"/>
      <c r="AB31" s="60">
        <v>32005</v>
      </c>
      <c r="AC31" s="60">
        <v>32109</v>
      </c>
      <c r="AD31" s="60">
        <v>32309</v>
      </c>
      <c r="AE31" s="60">
        <v>33768</v>
      </c>
      <c r="AF31" s="74">
        <v>33768</v>
      </c>
      <c r="AG31" s="124"/>
      <c r="AH31" s="60">
        <v>33868</v>
      </c>
      <c r="AI31" s="60">
        <v>34882</v>
      </c>
      <c r="AJ31" s="50"/>
      <c r="AK31" s="50"/>
      <c r="AL31" s="75"/>
      <c r="AM31" s="139"/>
      <c r="AN31" s="50"/>
      <c r="AO31" s="50"/>
      <c r="AP31" s="50"/>
      <c r="AQ31" s="50"/>
      <c r="AR31" s="75"/>
      <c r="AS31" s="139"/>
      <c r="AT31" s="75"/>
      <c r="AU31" s="139"/>
      <c r="AV31" s="75"/>
    </row>
    <row r="32" spans="1:48" s="113" customFormat="1" ht="15" customHeight="1" thickBot="1">
      <c r="B32" s="140" t="s">
        <v>789</v>
      </c>
      <c r="C32" s="115"/>
      <c r="D32" s="60">
        <v>49248</v>
      </c>
      <c r="E32" s="60">
        <v>49603</v>
      </c>
      <c r="F32" s="60">
        <v>50773</v>
      </c>
      <c r="G32" s="60">
        <v>50710</v>
      </c>
      <c r="H32" s="93">
        <v>50710</v>
      </c>
      <c r="I32" s="116"/>
      <c r="J32" s="60">
        <v>51437</v>
      </c>
      <c r="K32" s="60">
        <v>52099</v>
      </c>
      <c r="L32" s="60">
        <v>51843</v>
      </c>
      <c r="M32" s="60">
        <v>50873</v>
      </c>
      <c r="N32" s="93">
        <v>50873</v>
      </c>
      <c r="O32" s="116"/>
      <c r="P32" s="60">
        <v>51510</v>
      </c>
      <c r="Q32" s="60">
        <v>51758</v>
      </c>
      <c r="R32" s="60">
        <v>52030</v>
      </c>
      <c r="S32" s="60">
        <v>52880</v>
      </c>
      <c r="T32" s="93">
        <v>52880</v>
      </c>
      <c r="U32" s="116"/>
      <c r="V32" s="60">
        <v>54622</v>
      </c>
      <c r="W32" s="60">
        <v>56978</v>
      </c>
      <c r="X32" s="60">
        <v>56666</v>
      </c>
      <c r="Y32" s="60">
        <v>52456</v>
      </c>
      <c r="Z32" s="93">
        <v>52456</v>
      </c>
      <c r="AA32" s="141"/>
      <c r="AB32" s="60">
        <v>54963</v>
      </c>
      <c r="AC32" s="60">
        <v>55076</v>
      </c>
      <c r="AD32" s="60">
        <v>55520</v>
      </c>
      <c r="AE32" s="60">
        <v>55617</v>
      </c>
      <c r="AF32" s="93">
        <v>55617</v>
      </c>
      <c r="AG32" s="130"/>
      <c r="AH32" s="60">
        <v>56669</v>
      </c>
      <c r="AI32" s="60">
        <v>58870</v>
      </c>
      <c r="AJ32" s="50"/>
      <c r="AK32" s="50"/>
      <c r="AL32" s="94"/>
      <c r="AM32" s="129"/>
      <c r="AN32" s="50"/>
      <c r="AO32" s="50"/>
      <c r="AP32" s="50"/>
      <c r="AQ32" s="50"/>
      <c r="AR32" s="94"/>
      <c r="AS32" s="129"/>
      <c r="AT32" s="94"/>
      <c r="AU32" s="129"/>
      <c r="AV32" s="94"/>
    </row>
    <row r="34" spans="1:48" s="113" customFormat="1" ht="15" customHeight="1">
      <c r="A34" s="44"/>
      <c r="B34" s="64" t="s">
        <v>790</v>
      </c>
      <c r="C34" s="115"/>
      <c r="D34" s="46"/>
      <c r="E34" s="46"/>
      <c r="F34" s="46"/>
      <c r="G34" s="46"/>
      <c r="H34" s="66"/>
      <c r="I34" s="116"/>
      <c r="J34" s="46"/>
      <c r="K34" s="46"/>
      <c r="L34" s="46"/>
      <c r="M34" s="46"/>
      <c r="N34" s="66"/>
      <c r="O34" s="116"/>
      <c r="P34" s="46"/>
      <c r="Q34" s="46"/>
      <c r="R34" s="46"/>
      <c r="S34" s="46"/>
      <c r="T34" s="66"/>
      <c r="U34" s="116"/>
      <c r="V34" s="46"/>
      <c r="W34" s="46"/>
      <c r="X34" s="46"/>
      <c r="Y34" s="46"/>
      <c r="Z34" s="66"/>
      <c r="AA34" s="117"/>
      <c r="AB34" s="46"/>
      <c r="AC34" s="46"/>
      <c r="AD34" s="46"/>
      <c r="AE34" s="46"/>
      <c r="AF34" s="66"/>
      <c r="AG34" s="118"/>
      <c r="AH34" s="46"/>
      <c r="AI34" s="46"/>
      <c r="AJ34" s="50"/>
      <c r="AK34" s="50"/>
      <c r="AL34" s="68"/>
      <c r="AM34" s="117"/>
      <c r="AN34" s="50"/>
      <c r="AO34" s="50"/>
      <c r="AP34" s="50"/>
      <c r="AQ34" s="50"/>
      <c r="AR34" s="68"/>
      <c r="AS34" s="117"/>
      <c r="AT34" s="68"/>
      <c r="AU34" s="117"/>
      <c r="AV34" s="68"/>
    </row>
    <row r="35" spans="1:48" s="147" customFormat="1" ht="15" customHeight="1">
      <c r="A35" s="142"/>
      <c r="B35" s="143"/>
      <c r="C35" s="27"/>
      <c r="D35" s="46"/>
      <c r="E35" s="46"/>
      <c r="F35" s="46"/>
      <c r="G35" s="46"/>
      <c r="H35" s="66"/>
      <c r="I35" s="144"/>
      <c r="J35" s="46"/>
      <c r="K35" s="46"/>
      <c r="L35" s="46"/>
      <c r="M35" s="46"/>
      <c r="N35" s="66"/>
      <c r="O35" s="144"/>
      <c r="P35" s="46"/>
      <c r="Q35" s="46"/>
      <c r="R35" s="46"/>
      <c r="S35" s="46"/>
      <c r="T35" s="66"/>
      <c r="U35" s="144"/>
      <c r="V35" s="46"/>
      <c r="W35" s="46"/>
      <c r="X35" s="46"/>
      <c r="Y35" s="46"/>
      <c r="Z35" s="66"/>
      <c r="AA35" s="145"/>
      <c r="AB35" s="46"/>
      <c r="AC35" s="46"/>
      <c r="AD35" s="46"/>
      <c r="AE35" s="46"/>
      <c r="AF35" s="66"/>
      <c r="AG35" s="146"/>
      <c r="AH35" s="46"/>
      <c r="AI35" s="46"/>
      <c r="AJ35" s="50"/>
      <c r="AK35" s="50"/>
      <c r="AL35" s="68"/>
      <c r="AM35" s="148"/>
      <c r="AN35" s="50"/>
      <c r="AO35" s="50"/>
      <c r="AP35" s="50"/>
      <c r="AQ35" s="50"/>
      <c r="AR35" s="68"/>
      <c r="AS35" s="139"/>
      <c r="AT35" s="68"/>
      <c r="AU35" s="139"/>
      <c r="AV35" s="68"/>
    </row>
    <row r="36" spans="1:48" s="113" customFormat="1" ht="15" customHeight="1">
      <c r="A36" s="44" t="s">
        <v>41</v>
      </c>
      <c r="B36" s="114" t="s">
        <v>791</v>
      </c>
      <c r="C36" s="115"/>
      <c r="D36" s="46"/>
      <c r="E36" s="46"/>
      <c r="F36" s="46"/>
      <c r="G36" s="46"/>
      <c r="H36" s="66"/>
      <c r="I36" s="116"/>
      <c r="J36" s="46"/>
      <c r="K36" s="46"/>
      <c r="L36" s="46"/>
      <c r="M36" s="46"/>
      <c r="N36" s="66"/>
      <c r="O36" s="116"/>
      <c r="P36" s="46"/>
      <c r="Q36" s="46"/>
      <c r="R36" s="46"/>
      <c r="S36" s="46"/>
      <c r="T36" s="66"/>
      <c r="U36" s="116"/>
      <c r="V36" s="46"/>
      <c r="W36" s="46"/>
      <c r="X36" s="46"/>
      <c r="Y36" s="46"/>
      <c r="Z36" s="66"/>
      <c r="AA36" s="117"/>
      <c r="AB36" s="46"/>
      <c r="AC36" s="46"/>
      <c r="AD36" s="46"/>
      <c r="AE36" s="46"/>
      <c r="AF36" s="66"/>
      <c r="AG36" s="118"/>
      <c r="AH36" s="46"/>
      <c r="AI36" s="46"/>
      <c r="AJ36" s="50"/>
      <c r="AK36" s="50"/>
      <c r="AL36" s="68"/>
      <c r="AM36" s="149"/>
      <c r="AN36" s="50"/>
      <c r="AO36" s="50"/>
      <c r="AP36" s="50"/>
      <c r="AQ36" s="50"/>
      <c r="AR36" s="68"/>
      <c r="AS36" s="117"/>
      <c r="AT36" s="68"/>
      <c r="AU36" s="117"/>
      <c r="AV36" s="68"/>
    </row>
    <row r="37" spans="1:48" ht="15" customHeight="1">
      <c r="A37" s="43"/>
      <c r="B37" s="127" t="s">
        <v>792</v>
      </c>
      <c r="D37" s="60">
        <v>5295</v>
      </c>
      <c r="E37" s="60">
        <v>4048</v>
      </c>
      <c r="F37" s="60">
        <v>4414</v>
      </c>
      <c r="G37" s="60">
        <v>4147</v>
      </c>
      <c r="H37" s="57">
        <v>4147</v>
      </c>
      <c r="I37" s="20"/>
      <c r="J37" s="60">
        <v>4786</v>
      </c>
      <c r="K37" s="60">
        <v>4740</v>
      </c>
      <c r="L37" s="60">
        <v>4744</v>
      </c>
      <c r="M37" s="60">
        <v>3985</v>
      </c>
      <c r="N37" s="57">
        <v>3985</v>
      </c>
      <c r="O37" s="20"/>
      <c r="P37" s="60">
        <v>5392</v>
      </c>
      <c r="Q37" s="60">
        <v>5385</v>
      </c>
      <c r="R37" s="60">
        <v>5868</v>
      </c>
      <c r="S37" s="60">
        <v>5270</v>
      </c>
      <c r="T37" s="57">
        <v>5270</v>
      </c>
      <c r="U37" s="20"/>
      <c r="V37" s="60">
        <v>5983</v>
      </c>
      <c r="W37" s="60">
        <v>6439</v>
      </c>
      <c r="X37" s="60">
        <v>7033</v>
      </c>
      <c r="Y37" s="60">
        <v>5512</v>
      </c>
      <c r="Z37" s="57">
        <v>5512</v>
      </c>
      <c r="AA37" s="20"/>
      <c r="AB37" s="60">
        <v>6268</v>
      </c>
      <c r="AC37" s="60">
        <v>6220</v>
      </c>
      <c r="AD37" s="60">
        <v>6307</v>
      </c>
      <c r="AE37" s="60">
        <v>5405</v>
      </c>
      <c r="AF37" s="57">
        <v>5405</v>
      </c>
      <c r="AG37" s="150"/>
      <c r="AH37" s="60">
        <v>6270</v>
      </c>
      <c r="AI37" s="60">
        <v>6472</v>
      </c>
      <c r="AJ37" s="50">
        <v>0</v>
      </c>
      <c r="AK37" s="50">
        <v>0</v>
      </c>
      <c r="AL37" s="58">
        <v>0</v>
      </c>
      <c r="AM37" s="20"/>
      <c r="AN37" s="50">
        <v>0</v>
      </c>
      <c r="AO37" s="50">
        <v>0</v>
      </c>
      <c r="AP37" s="50">
        <v>0</v>
      </c>
      <c r="AQ37" s="50">
        <v>0</v>
      </c>
      <c r="AR37" s="58">
        <v>0</v>
      </c>
      <c r="AS37" s="20"/>
      <c r="AT37" s="58">
        <v>0</v>
      </c>
      <c r="AU37" s="20"/>
      <c r="AV37" s="58">
        <v>0</v>
      </c>
    </row>
    <row r="38" spans="1:48" ht="15" customHeight="1">
      <c r="A38" s="43"/>
      <c r="B38" s="127" t="s">
        <v>793</v>
      </c>
      <c r="D38" s="60">
        <v>1250</v>
      </c>
      <c r="E38" s="60">
        <v>500</v>
      </c>
      <c r="F38" s="60">
        <v>1000</v>
      </c>
      <c r="G38" s="60">
        <v>500</v>
      </c>
      <c r="H38" s="57">
        <v>500</v>
      </c>
      <c r="I38" s="20"/>
      <c r="J38" s="60">
        <v>506</v>
      </c>
      <c r="K38" s="60">
        <v>506</v>
      </c>
      <c r="L38" s="60">
        <v>6</v>
      </c>
      <c r="M38" s="60">
        <v>6</v>
      </c>
      <c r="N38" s="57">
        <v>6</v>
      </c>
      <c r="O38" s="20"/>
      <c r="P38" s="60">
        <v>500</v>
      </c>
      <c r="Q38" s="60">
        <v>0</v>
      </c>
      <c r="R38" s="60">
        <v>0</v>
      </c>
      <c r="S38" s="60">
        <v>118</v>
      </c>
      <c r="T38" s="57">
        <v>118</v>
      </c>
      <c r="U38" s="20"/>
      <c r="V38" s="60">
        <v>115</v>
      </c>
      <c r="W38" s="60">
        <v>283</v>
      </c>
      <c r="X38" s="60">
        <v>168</v>
      </c>
      <c r="Y38" s="60">
        <v>168</v>
      </c>
      <c r="Z38" s="57">
        <v>168</v>
      </c>
      <c r="AA38" s="122"/>
      <c r="AB38" s="60">
        <v>168</v>
      </c>
      <c r="AC38" s="60">
        <v>142</v>
      </c>
      <c r="AD38" s="60">
        <v>142</v>
      </c>
      <c r="AE38" s="60">
        <v>643</v>
      </c>
      <c r="AF38" s="57">
        <v>643</v>
      </c>
      <c r="AG38" s="124"/>
      <c r="AH38" s="60">
        <v>1643</v>
      </c>
      <c r="AI38" s="60">
        <v>3118</v>
      </c>
      <c r="AJ38" s="50"/>
      <c r="AK38" s="50"/>
      <c r="AL38" s="58"/>
      <c r="AM38" s="151"/>
      <c r="AN38" s="50"/>
      <c r="AO38" s="50"/>
      <c r="AP38" s="50"/>
      <c r="AQ38" s="50"/>
      <c r="AR38" s="58"/>
      <c r="AS38" s="151"/>
      <c r="AT38" s="58"/>
      <c r="AU38" s="151"/>
      <c r="AV38" s="58"/>
    </row>
    <row r="39" spans="1:48" s="113" customFormat="1" ht="15" customHeight="1">
      <c r="B39" s="127" t="s">
        <v>794</v>
      </c>
      <c r="C39" s="115"/>
      <c r="D39" s="60">
        <v>0</v>
      </c>
      <c r="E39" s="60">
        <v>0</v>
      </c>
      <c r="F39" s="60">
        <v>0</v>
      </c>
      <c r="G39" s="60">
        <v>245</v>
      </c>
      <c r="H39" s="57">
        <v>245</v>
      </c>
      <c r="I39" s="116"/>
      <c r="J39" s="60">
        <v>0</v>
      </c>
      <c r="K39" s="60">
        <v>0</v>
      </c>
      <c r="L39" s="60">
        <v>0</v>
      </c>
      <c r="M39" s="60">
        <v>545</v>
      </c>
      <c r="N39" s="57">
        <v>545</v>
      </c>
      <c r="O39" s="116"/>
      <c r="P39" s="60">
        <v>0</v>
      </c>
      <c r="Q39" s="60">
        <v>0</v>
      </c>
      <c r="R39" s="60">
        <v>0</v>
      </c>
      <c r="S39" s="60">
        <v>284</v>
      </c>
      <c r="T39" s="57">
        <v>284</v>
      </c>
      <c r="U39" s="116"/>
      <c r="V39" s="60">
        <v>0</v>
      </c>
      <c r="W39" s="60">
        <v>0</v>
      </c>
      <c r="X39" s="60">
        <v>0</v>
      </c>
      <c r="Y39" s="60">
        <v>338</v>
      </c>
      <c r="Z39" s="57">
        <v>338</v>
      </c>
      <c r="AA39" s="129"/>
      <c r="AB39" s="60">
        <v>0</v>
      </c>
      <c r="AC39" s="60">
        <v>0</v>
      </c>
      <c r="AD39" s="60">
        <v>0</v>
      </c>
      <c r="AE39" s="60">
        <v>267</v>
      </c>
      <c r="AF39" s="57">
        <v>267</v>
      </c>
      <c r="AG39" s="130"/>
      <c r="AH39" s="60">
        <v>0</v>
      </c>
      <c r="AI39" s="60">
        <v>0</v>
      </c>
      <c r="AJ39" s="50"/>
      <c r="AK39" s="50"/>
      <c r="AL39" s="58"/>
      <c r="AM39" s="129"/>
      <c r="AN39" s="50"/>
      <c r="AO39" s="50"/>
      <c r="AP39" s="50"/>
      <c r="AQ39" s="50"/>
      <c r="AR39" s="58"/>
      <c r="AS39" s="129"/>
      <c r="AT39" s="58"/>
      <c r="AU39" s="129"/>
      <c r="AV39" s="58"/>
    </row>
    <row r="40" spans="1:48" ht="15" customHeight="1">
      <c r="A40" s="43"/>
      <c r="B40" s="127" t="s">
        <v>795</v>
      </c>
      <c r="D40" s="60">
        <v>9107</v>
      </c>
      <c r="E40" s="60">
        <v>10340</v>
      </c>
      <c r="F40" s="60">
        <v>9787</v>
      </c>
      <c r="G40" s="60">
        <v>9041</v>
      </c>
      <c r="H40" s="57">
        <v>9041</v>
      </c>
      <c r="I40" s="20"/>
      <c r="J40" s="60">
        <v>9425</v>
      </c>
      <c r="K40" s="60">
        <v>9996</v>
      </c>
      <c r="L40" s="60">
        <v>10276</v>
      </c>
      <c r="M40" s="60">
        <v>9461</v>
      </c>
      <c r="N40" s="57">
        <v>9461</v>
      </c>
      <c r="O40" s="20"/>
      <c r="P40" s="60">
        <v>10155</v>
      </c>
      <c r="Q40" s="60">
        <v>11094</v>
      </c>
      <c r="R40" s="60">
        <v>10479</v>
      </c>
      <c r="S40" s="60">
        <v>10215</v>
      </c>
      <c r="T40" s="57">
        <v>10215</v>
      </c>
      <c r="U40" s="20"/>
      <c r="V40" s="60">
        <v>10884</v>
      </c>
      <c r="W40" s="60">
        <v>10982</v>
      </c>
      <c r="X40" s="60">
        <v>9992</v>
      </c>
      <c r="Y40" s="60">
        <v>10919</v>
      </c>
      <c r="Z40" s="57">
        <v>10919</v>
      </c>
      <c r="AA40" s="20"/>
      <c r="AB40" s="60">
        <v>11263</v>
      </c>
      <c r="AC40" s="60">
        <v>12131</v>
      </c>
      <c r="AD40" s="60">
        <v>11361</v>
      </c>
      <c r="AE40" s="60">
        <v>13105</v>
      </c>
      <c r="AF40" s="57">
        <v>13105</v>
      </c>
      <c r="AG40" s="150"/>
      <c r="AH40" s="60">
        <v>13274</v>
      </c>
      <c r="AI40" s="60">
        <v>14764</v>
      </c>
      <c r="AJ40" s="50">
        <v>0</v>
      </c>
      <c r="AK40" s="50">
        <v>0</v>
      </c>
      <c r="AL40" s="58">
        <v>0</v>
      </c>
      <c r="AM40" s="20"/>
      <c r="AN40" s="50">
        <v>0</v>
      </c>
      <c r="AO40" s="50">
        <v>0</v>
      </c>
      <c r="AP40" s="50">
        <v>0</v>
      </c>
      <c r="AQ40" s="50">
        <v>0</v>
      </c>
      <c r="AR40" s="58">
        <v>0</v>
      </c>
      <c r="AS40" s="20"/>
      <c r="AT40" s="58">
        <v>0</v>
      </c>
      <c r="AU40" s="20"/>
      <c r="AV40" s="58">
        <v>0</v>
      </c>
    </row>
    <row r="41" spans="1:48" s="113" customFormat="1" ht="15" customHeight="1">
      <c r="B41" s="138" t="s">
        <v>796</v>
      </c>
      <c r="C41" s="115"/>
      <c r="D41" s="60">
        <v>15652</v>
      </c>
      <c r="E41" s="60">
        <v>14888</v>
      </c>
      <c r="F41" s="60">
        <v>15201</v>
      </c>
      <c r="G41" s="60">
        <v>13933</v>
      </c>
      <c r="H41" s="77">
        <v>13933</v>
      </c>
      <c r="I41" s="116"/>
      <c r="J41" s="60">
        <v>14717</v>
      </c>
      <c r="K41" s="60">
        <v>15242</v>
      </c>
      <c r="L41" s="60">
        <v>15026</v>
      </c>
      <c r="M41" s="60">
        <v>13997</v>
      </c>
      <c r="N41" s="77">
        <v>13997</v>
      </c>
      <c r="O41" s="116"/>
      <c r="P41" s="60">
        <v>16047</v>
      </c>
      <c r="Q41" s="60">
        <v>16479</v>
      </c>
      <c r="R41" s="60">
        <v>16347</v>
      </c>
      <c r="S41" s="60">
        <v>15887</v>
      </c>
      <c r="T41" s="77">
        <v>15887</v>
      </c>
      <c r="U41" s="116"/>
      <c r="V41" s="60">
        <v>16982</v>
      </c>
      <c r="W41" s="60">
        <v>17704</v>
      </c>
      <c r="X41" s="60">
        <v>17193</v>
      </c>
      <c r="Y41" s="60">
        <v>16937</v>
      </c>
      <c r="Z41" s="77">
        <v>16937</v>
      </c>
      <c r="AA41" s="129"/>
      <c r="AB41" s="60">
        <v>17699</v>
      </c>
      <c r="AC41" s="60">
        <v>18493</v>
      </c>
      <c r="AD41" s="60">
        <v>17810</v>
      </c>
      <c r="AE41" s="60">
        <v>19420</v>
      </c>
      <c r="AF41" s="77">
        <v>19420</v>
      </c>
      <c r="AG41" s="130"/>
      <c r="AH41" s="60">
        <v>21187</v>
      </c>
      <c r="AI41" s="60">
        <v>24354</v>
      </c>
      <c r="AJ41" s="46"/>
      <c r="AK41" s="46"/>
      <c r="AL41" s="77"/>
      <c r="AM41" s="129"/>
      <c r="AN41" s="46"/>
      <c r="AO41" s="46"/>
      <c r="AP41" s="46"/>
      <c r="AQ41" s="46"/>
      <c r="AR41" s="77"/>
      <c r="AS41" s="129"/>
      <c r="AT41" s="77"/>
      <c r="AU41" s="129"/>
      <c r="AV41" s="77"/>
    </row>
    <row r="42" spans="1:48" ht="15" customHeight="1">
      <c r="A42" s="43"/>
      <c r="B42" s="152"/>
      <c r="D42" s="46"/>
      <c r="E42" s="46"/>
      <c r="F42" s="46"/>
      <c r="G42" s="46"/>
      <c r="H42" s="66"/>
      <c r="I42" s="20"/>
      <c r="J42" s="46"/>
      <c r="K42" s="46"/>
      <c r="L42" s="46"/>
      <c r="M42" s="46"/>
      <c r="N42" s="66"/>
      <c r="O42" s="20"/>
      <c r="P42" s="46"/>
      <c r="Q42" s="46"/>
      <c r="R42" s="46"/>
      <c r="S42" s="46"/>
      <c r="T42" s="66"/>
      <c r="U42" s="20"/>
      <c r="V42" s="46"/>
      <c r="W42" s="46"/>
      <c r="X42" s="46"/>
      <c r="Y42" s="46"/>
      <c r="Z42" s="66"/>
      <c r="AA42" s="20"/>
      <c r="AB42" s="46"/>
      <c r="AC42" s="46"/>
      <c r="AD42" s="46"/>
      <c r="AE42" s="46"/>
      <c r="AF42" s="66"/>
      <c r="AG42" s="150"/>
      <c r="AH42" s="46"/>
      <c r="AI42" s="46"/>
      <c r="AJ42" s="46"/>
      <c r="AK42" s="46"/>
      <c r="AL42" s="66"/>
      <c r="AM42" s="20"/>
      <c r="AN42" s="46"/>
      <c r="AO42" s="46"/>
      <c r="AP42" s="46"/>
      <c r="AQ42" s="46"/>
      <c r="AR42" s="66"/>
      <c r="AS42" s="20"/>
      <c r="AT42" s="66"/>
      <c r="AU42" s="20"/>
      <c r="AV42" s="66"/>
    </row>
    <row r="43" spans="1:48" s="113" customFormat="1" ht="15" customHeight="1">
      <c r="A43" s="44" t="s">
        <v>41</v>
      </c>
      <c r="B43" s="114" t="s">
        <v>797</v>
      </c>
      <c r="C43" s="115"/>
      <c r="D43" s="46"/>
      <c r="E43" s="46"/>
      <c r="F43" s="46"/>
      <c r="G43" s="46"/>
      <c r="H43" s="66"/>
      <c r="I43" s="116"/>
      <c r="J43" s="46"/>
      <c r="K43" s="46"/>
      <c r="L43" s="46"/>
      <c r="M43" s="46"/>
      <c r="N43" s="66"/>
      <c r="O43" s="116"/>
      <c r="P43" s="46"/>
      <c r="Q43" s="46"/>
      <c r="R43" s="46"/>
      <c r="S43" s="46"/>
      <c r="T43" s="66"/>
      <c r="U43" s="116"/>
      <c r="V43" s="46"/>
      <c r="W43" s="46"/>
      <c r="X43" s="46"/>
      <c r="Y43" s="46"/>
      <c r="Z43" s="66"/>
      <c r="AA43" s="116"/>
      <c r="AB43" s="46"/>
      <c r="AC43" s="46"/>
      <c r="AD43" s="46"/>
      <c r="AE43" s="46"/>
      <c r="AF43" s="66"/>
      <c r="AG43" s="153"/>
      <c r="AH43" s="46"/>
      <c r="AI43" s="46"/>
      <c r="AJ43" s="46"/>
      <c r="AK43" s="46"/>
      <c r="AL43" s="66"/>
      <c r="AM43" s="116"/>
      <c r="AN43" s="46"/>
      <c r="AO43" s="46"/>
      <c r="AP43" s="46"/>
      <c r="AQ43" s="46"/>
      <c r="AR43" s="66"/>
      <c r="AS43" s="116"/>
      <c r="AT43" s="66"/>
      <c r="AU43" s="116"/>
      <c r="AV43" s="66"/>
    </row>
    <row r="44" spans="1:48" ht="15" customHeight="1">
      <c r="A44" s="43"/>
      <c r="B44" s="127" t="s">
        <v>798</v>
      </c>
      <c r="D44" s="60">
        <v>11439</v>
      </c>
      <c r="E44" s="60">
        <v>12174</v>
      </c>
      <c r="F44" s="60">
        <v>11675</v>
      </c>
      <c r="G44" s="60">
        <v>11669</v>
      </c>
      <c r="H44" s="66">
        <v>11669</v>
      </c>
      <c r="I44" s="20"/>
      <c r="J44" s="60">
        <v>11657</v>
      </c>
      <c r="K44" s="60">
        <v>11665</v>
      </c>
      <c r="L44" s="60">
        <v>11668</v>
      </c>
      <c r="M44" s="60">
        <v>11670</v>
      </c>
      <c r="N44" s="66">
        <v>11670</v>
      </c>
      <c r="O44" s="20"/>
      <c r="P44" s="60">
        <v>11145</v>
      </c>
      <c r="Q44" s="60">
        <v>11644</v>
      </c>
      <c r="R44" s="60">
        <v>11480</v>
      </c>
      <c r="S44" s="60">
        <v>15429</v>
      </c>
      <c r="T44" s="66">
        <v>15429</v>
      </c>
      <c r="U44" s="20"/>
      <c r="V44" s="60">
        <v>15485</v>
      </c>
      <c r="W44" s="60">
        <v>17262</v>
      </c>
      <c r="X44" s="60">
        <v>17221</v>
      </c>
      <c r="Y44" s="60">
        <v>17291</v>
      </c>
      <c r="Z44" s="66">
        <v>17291</v>
      </c>
      <c r="AA44" s="20"/>
      <c r="AB44" s="60">
        <v>19250</v>
      </c>
      <c r="AC44" s="60">
        <v>19115</v>
      </c>
      <c r="AD44" s="60">
        <v>19179</v>
      </c>
      <c r="AE44" s="60">
        <v>19627</v>
      </c>
      <c r="AF44" s="66">
        <v>19627</v>
      </c>
      <c r="AG44" s="150"/>
      <c r="AH44" s="60">
        <v>18661</v>
      </c>
      <c r="AI44" s="60">
        <v>18520</v>
      </c>
      <c r="AJ44" s="46"/>
      <c r="AK44" s="46"/>
      <c r="AL44" s="66"/>
      <c r="AM44" s="20"/>
      <c r="AN44" s="46"/>
      <c r="AO44" s="46"/>
      <c r="AP44" s="46"/>
      <c r="AQ44" s="46"/>
      <c r="AR44" s="66"/>
      <c r="AS44" s="20"/>
      <c r="AT44" s="66"/>
      <c r="AU44" s="20"/>
      <c r="AV44" s="66"/>
    </row>
    <row r="45" spans="1:48" s="113" customFormat="1" ht="15" customHeight="1">
      <c r="B45" s="127" t="s">
        <v>799</v>
      </c>
      <c r="C45" s="115"/>
      <c r="D45" s="60">
        <v>0</v>
      </c>
      <c r="E45" s="60">
        <v>0</v>
      </c>
      <c r="F45" s="60">
        <v>0</v>
      </c>
      <c r="G45" s="60">
        <v>855</v>
      </c>
      <c r="H45" s="66">
        <v>855</v>
      </c>
      <c r="I45" s="116"/>
      <c r="J45" s="60">
        <v>0</v>
      </c>
      <c r="K45" s="60">
        <v>0</v>
      </c>
      <c r="L45" s="60">
        <v>0</v>
      </c>
      <c r="M45" s="60">
        <v>855</v>
      </c>
      <c r="N45" s="66">
        <v>855</v>
      </c>
      <c r="O45" s="116"/>
      <c r="P45" s="60">
        <v>0</v>
      </c>
      <c r="Q45" s="60">
        <v>0</v>
      </c>
      <c r="R45" s="60">
        <v>0</v>
      </c>
      <c r="S45" s="60">
        <v>916</v>
      </c>
      <c r="T45" s="66">
        <v>916</v>
      </c>
      <c r="U45" s="116"/>
      <c r="V45" s="60">
        <v>0</v>
      </c>
      <c r="W45" s="60">
        <v>0</v>
      </c>
      <c r="X45" s="60">
        <v>0</v>
      </c>
      <c r="Y45" s="60">
        <v>862</v>
      </c>
      <c r="Z45" s="66">
        <v>862</v>
      </c>
      <c r="AA45" s="116"/>
      <c r="AB45" s="60">
        <v>0</v>
      </c>
      <c r="AC45" s="60">
        <v>0</v>
      </c>
      <c r="AD45" s="60">
        <v>0</v>
      </c>
      <c r="AE45" s="60">
        <v>833</v>
      </c>
      <c r="AF45" s="66">
        <v>833</v>
      </c>
      <c r="AG45" s="153"/>
      <c r="AH45" s="60">
        <v>0</v>
      </c>
      <c r="AI45" s="60">
        <v>0</v>
      </c>
      <c r="AJ45" s="46"/>
      <c r="AK45" s="46"/>
      <c r="AL45" s="66"/>
      <c r="AM45" s="116"/>
      <c r="AN45" s="46"/>
      <c r="AO45" s="46"/>
      <c r="AP45" s="46"/>
      <c r="AQ45" s="46"/>
      <c r="AR45" s="66"/>
      <c r="AS45" s="116"/>
      <c r="AT45" s="66"/>
      <c r="AU45" s="116"/>
      <c r="AV45" s="66"/>
    </row>
    <row r="46" spans="1:48" ht="15" customHeight="1">
      <c r="A46" s="43"/>
      <c r="B46" s="127" t="s">
        <v>800</v>
      </c>
      <c r="D46" s="60">
        <v>18670</v>
      </c>
      <c r="E46" s="60">
        <v>18755</v>
      </c>
      <c r="F46" s="60">
        <v>18911</v>
      </c>
      <c r="G46" s="60">
        <v>18215</v>
      </c>
      <c r="H46" s="66">
        <v>18215</v>
      </c>
      <c r="I46" s="20"/>
      <c r="J46" s="60">
        <v>18730</v>
      </c>
      <c r="K46" s="60">
        <v>18662</v>
      </c>
      <c r="L46" s="60">
        <v>15518</v>
      </c>
      <c r="M46" s="60">
        <v>13392</v>
      </c>
      <c r="N46" s="66">
        <v>13392</v>
      </c>
      <c r="O46" s="20"/>
      <c r="P46" s="60">
        <v>14316</v>
      </c>
      <c r="Q46" s="60">
        <v>12203</v>
      </c>
      <c r="R46" s="60">
        <v>12237</v>
      </c>
      <c r="S46" s="60">
        <v>11382</v>
      </c>
      <c r="T46" s="66">
        <v>11382</v>
      </c>
      <c r="U46" s="20"/>
      <c r="V46" s="60">
        <v>12509</v>
      </c>
      <c r="W46" s="60">
        <v>12772</v>
      </c>
      <c r="X46" s="60">
        <v>12978</v>
      </c>
      <c r="Y46" s="60">
        <v>10531</v>
      </c>
      <c r="Z46" s="66">
        <v>10531</v>
      </c>
      <c r="AA46" s="20"/>
      <c r="AB46" s="60">
        <v>11364</v>
      </c>
      <c r="AC46" s="60">
        <v>11293</v>
      </c>
      <c r="AD46" s="60">
        <v>11331</v>
      </c>
      <c r="AE46" s="60">
        <v>9404</v>
      </c>
      <c r="AF46" s="66">
        <v>9404</v>
      </c>
      <c r="AG46" s="150"/>
      <c r="AH46" s="60">
        <v>10138</v>
      </c>
      <c r="AI46" s="60">
        <v>10662</v>
      </c>
      <c r="AJ46" s="46"/>
      <c r="AK46" s="46"/>
      <c r="AL46" s="66"/>
      <c r="AM46" s="20"/>
      <c r="AN46" s="46"/>
      <c r="AO46" s="46"/>
      <c r="AP46" s="46"/>
      <c r="AQ46" s="46"/>
      <c r="AR46" s="66"/>
      <c r="AS46" s="20"/>
      <c r="AT46" s="66"/>
      <c r="AU46" s="20"/>
      <c r="AV46" s="66"/>
    </row>
    <row r="47" spans="1:48" s="113" customFormat="1" ht="15" customHeight="1">
      <c r="B47" s="138" t="s">
        <v>801</v>
      </c>
      <c r="C47" s="115"/>
      <c r="D47" s="60">
        <v>30109</v>
      </c>
      <c r="E47" s="60">
        <v>30929</v>
      </c>
      <c r="F47" s="60">
        <v>30586</v>
      </c>
      <c r="G47" s="60">
        <v>30739</v>
      </c>
      <c r="H47" s="66">
        <v>30739</v>
      </c>
      <c r="I47" s="116"/>
      <c r="J47" s="60">
        <v>30387</v>
      </c>
      <c r="K47" s="60">
        <v>30327</v>
      </c>
      <c r="L47" s="60">
        <v>27186</v>
      </c>
      <c r="M47" s="60">
        <v>25917</v>
      </c>
      <c r="N47" s="66">
        <v>25917</v>
      </c>
      <c r="O47" s="116"/>
      <c r="P47" s="60">
        <v>25461</v>
      </c>
      <c r="Q47" s="60">
        <v>23847</v>
      </c>
      <c r="R47" s="60">
        <v>23717</v>
      </c>
      <c r="S47" s="60">
        <v>27727</v>
      </c>
      <c r="T47" s="66">
        <v>27727</v>
      </c>
      <c r="U47" s="116"/>
      <c r="V47" s="60">
        <v>27994</v>
      </c>
      <c r="W47" s="60">
        <v>30034</v>
      </c>
      <c r="X47" s="60">
        <v>30199</v>
      </c>
      <c r="Y47" s="60">
        <v>28684</v>
      </c>
      <c r="Z47" s="66">
        <v>28684</v>
      </c>
      <c r="AA47" s="116"/>
      <c r="AB47" s="60">
        <v>30614</v>
      </c>
      <c r="AC47" s="60">
        <v>30408</v>
      </c>
      <c r="AD47" s="60">
        <v>30510</v>
      </c>
      <c r="AE47" s="60">
        <v>29864</v>
      </c>
      <c r="AF47" s="66">
        <v>29864</v>
      </c>
      <c r="AG47" s="153"/>
      <c r="AH47" s="60">
        <v>28799</v>
      </c>
      <c r="AI47" s="60">
        <v>29182</v>
      </c>
      <c r="AJ47" s="46"/>
      <c r="AK47" s="46"/>
      <c r="AL47" s="66"/>
      <c r="AM47" s="116"/>
      <c r="AN47" s="46"/>
      <c r="AO47" s="46"/>
      <c r="AP47" s="46"/>
      <c r="AQ47" s="46"/>
      <c r="AR47" s="66"/>
      <c r="AS47" s="116"/>
      <c r="AT47" s="66"/>
      <c r="AU47" s="116"/>
      <c r="AV47" s="66"/>
    </row>
    <row r="48" spans="1:48" ht="15" customHeight="1">
      <c r="A48" s="43"/>
      <c r="B48" s="140" t="s">
        <v>802</v>
      </c>
      <c r="D48" s="60">
        <v>45761</v>
      </c>
      <c r="E48" s="60">
        <v>45817</v>
      </c>
      <c r="F48" s="60">
        <v>45787</v>
      </c>
      <c r="G48" s="60">
        <v>44672</v>
      </c>
      <c r="H48" s="77">
        <v>44672</v>
      </c>
      <c r="I48" s="20"/>
      <c r="J48" s="60">
        <v>45104</v>
      </c>
      <c r="K48" s="60">
        <v>45569</v>
      </c>
      <c r="L48" s="60">
        <v>42212</v>
      </c>
      <c r="M48" s="60">
        <v>39914</v>
      </c>
      <c r="N48" s="77">
        <v>39914</v>
      </c>
      <c r="O48" s="20"/>
      <c r="P48" s="60">
        <v>41508</v>
      </c>
      <c r="Q48" s="60">
        <v>40326</v>
      </c>
      <c r="R48" s="60">
        <v>40064</v>
      </c>
      <c r="S48" s="60">
        <v>43614</v>
      </c>
      <c r="T48" s="77">
        <v>43614</v>
      </c>
      <c r="U48" s="20"/>
      <c r="V48" s="60">
        <v>44976</v>
      </c>
      <c r="W48" s="60">
        <v>47738</v>
      </c>
      <c r="X48" s="60">
        <v>47392</v>
      </c>
      <c r="Y48" s="60">
        <v>45621</v>
      </c>
      <c r="Z48" s="77">
        <v>45621</v>
      </c>
      <c r="AA48" s="20"/>
      <c r="AB48" s="60">
        <v>48313</v>
      </c>
      <c r="AC48" s="60">
        <v>48901</v>
      </c>
      <c r="AD48" s="60">
        <v>48320</v>
      </c>
      <c r="AE48" s="60">
        <v>49284</v>
      </c>
      <c r="AF48" s="77">
        <v>49284</v>
      </c>
      <c r="AG48" s="150"/>
      <c r="AH48" s="60">
        <v>49986</v>
      </c>
      <c r="AI48" s="60">
        <v>53536</v>
      </c>
      <c r="AJ48" s="46"/>
      <c r="AK48" s="46"/>
      <c r="AL48" s="77"/>
      <c r="AM48" s="20"/>
      <c r="AN48" s="46"/>
      <c r="AO48" s="46"/>
      <c r="AP48" s="46"/>
      <c r="AQ48" s="46"/>
      <c r="AR48" s="77"/>
      <c r="AS48" s="20"/>
      <c r="AT48" s="77"/>
      <c r="AU48" s="20"/>
      <c r="AV48" s="77"/>
    </row>
    <row r="50" spans="1:35" ht="15" customHeight="1">
      <c r="A50" s="44" t="s">
        <v>41</v>
      </c>
      <c r="B50" s="114" t="s">
        <v>803</v>
      </c>
      <c r="D50" s="46"/>
      <c r="E50" s="46"/>
      <c r="F50" s="46"/>
      <c r="G50" s="46"/>
      <c r="H50" s="66"/>
      <c r="I50" s="20"/>
      <c r="J50" s="46"/>
      <c r="K50" s="46"/>
      <c r="L50" s="46"/>
      <c r="M50" s="46"/>
      <c r="N50" s="66"/>
      <c r="O50" s="20"/>
      <c r="P50" s="46"/>
      <c r="Q50" s="46"/>
      <c r="R50" s="46"/>
      <c r="S50" s="46"/>
      <c r="T50" s="66"/>
      <c r="U50" s="20"/>
      <c r="V50" s="46"/>
      <c r="W50" s="46"/>
      <c r="X50" s="46"/>
      <c r="Y50" s="46"/>
      <c r="Z50" s="66"/>
      <c r="AA50" s="20"/>
      <c r="AB50" s="46"/>
      <c r="AC50" s="46"/>
      <c r="AD50" s="46"/>
      <c r="AE50" s="46"/>
      <c r="AF50" s="66"/>
      <c r="AG50" s="150"/>
      <c r="AH50" s="46"/>
      <c r="AI50" s="46"/>
    </row>
    <row r="51" spans="1:35" ht="15" customHeight="1">
      <c r="A51" s="43"/>
      <c r="B51" s="127" t="s">
        <v>804</v>
      </c>
      <c r="D51" s="60">
        <v>3446</v>
      </c>
      <c r="E51" s="60">
        <v>3751</v>
      </c>
      <c r="F51" s="60">
        <v>4953</v>
      </c>
      <c r="G51" s="60">
        <v>6015</v>
      </c>
      <c r="H51" s="66">
        <v>6015</v>
      </c>
      <c r="I51" s="20"/>
      <c r="J51" s="60">
        <v>6312</v>
      </c>
      <c r="K51" s="60">
        <v>6522</v>
      </c>
      <c r="L51" s="60">
        <v>9631</v>
      </c>
      <c r="M51" s="60">
        <v>10959</v>
      </c>
      <c r="N51" s="66">
        <v>10959</v>
      </c>
      <c r="O51" s="20"/>
      <c r="P51" s="60">
        <v>10002</v>
      </c>
      <c r="Q51" s="60">
        <v>11432</v>
      </c>
      <c r="R51" s="60">
        <v>11966</v>
      </c>
      <c r="S51" s="60">
        <v>9266</v>
      </c>
      <c r="T51" s="66">
        <v>9266</v>
      </c>
      <c r="U51" s="20"/>
      <c r="V51" s="60">
        <v>9646</v>
      </c>
      <c r="W51" s="60">
        <v>9240</v>
      </c>
      <c r="X51" s="60">
        <v>9274</v>
      </c>
      <c r="Y51" s="60">
        <v>6835</v>
      </c>
      <c r="Z51" s="66">
        <v>6835</v>
      </c>
      <c r="AA51" s="20"/>
      <c r="AB51" s="60">
        <v>6650</v>
      </c>
      <c r="AC51" s="60">
        <v>6175</v>
      </c>
      <c r="AD51" s="60">
        <v>7200</v>
      </c>
      <c r="AE51" s="60">
        <v>6333</v>
      </c>
      <c r="AF51" s="66">
        <v>6333</v>
      </c>
      <c r="AG51" s="150"/>
      <c r="AH51" s="60">
        <v>6683</v>
      </c>
      <c r="AI51" s="60">
        <v>5334</v>
      </c>
    </row>
    <row r="52" spans="1:35" s="113" customFormat="1" ht="15" customHeight="1">
      <c r="B52" s="127" t="s">
        <v>805</v>
      </c>
      <c r="C52" s="115"/>
      <c r="D52" s="60">
        <v>0</v>
      </c>
      <c r="E52" s="60">
        <v>0</v>
      </c>
      <c r="F52" s="60">
        <v>0</v>
      </c>
      <c r="G52" s="60">
        <v>0</v>
      </c>
      <c r="H52" s="66">
        <v>0</v>
      </c>
      <c r="I52" s="116"/>
      <c r="J52" s="60">
        <v>0</v>
      </c>
      <c r="K52" s="60">
        <v>0</v>
      </c>
      <c r="L52" s="60">
        <v>0</v>
      </c>
      <c r="M52" s="60">
        <v>0</v>
      </c>
      <c r="N52" s="66">
        <v>0</v>
      </c>
      <c r="O52" s="116"/>
      <c r="P52" s="60">
        <v>0</v>
      </c>
      <c r="Q52" s="60">
        <v>0</v>
      </c>
      <c r="R52" s="60">
        <v>0</v>
      </c>
      <c r="S52" s="60">
        <v>0</v>
      </c>
      <c r="T52" s="66">
        <v>0</v>
      </c>
      <c r="U52" s="116"/>
      <c r="V52" s="60">
        <v>0</v>
      </c>
      <c r="W52" s="60">
        <v>0</v>
      </c>
      <c r="X52" s="60">
        <v>0</v>
      </c>
      <c r="Y52" s="60">
        <v>0</v>
      </c>
      <c r="Z52" s="66">
        <v>0</v>
      </c>
      <c r="AA52" s="116"/>
      <c r="AB52" s="60">
        <v>0</v>
      </c>
      <c r="AC52" s="60">
        <v>0</v>
      </c>
      <c r="AD52" s="60">
        <v>0</v>
      </c>
      <c r="AE52" s="60">
        <v>0</v>
      </c>
      <c r="AF52" s="66">
        <v>0</v>
      </c>
      <c r="AG52" s="153"/>
      <c r="AH52" s="60">
        <v>0</v>
      </c>
      <c r="AI52" s="60">
        <v>0</v>
      </c>
    </row>
    <row r="53" spans="1:35" ht="15" customHeight="1">
      <c r="A53" s="43"/>
      <c r="B53" s="127" t="s">
        <v>806</v>
      </c>
      <c r="D53" s="60">
        <v>41</v>
      </c>
      <c r="E53" s="60">
        <v>35</v>
      </c>
      <c r="F53" s="60">
        <v>33</v>
      </c>
      <c r="G53" s="60">
        <v>23</v>
      </c>
      <c r="H53" s="66">
        <v>23</v>
      </c>
      <c r="I53" s="20"/>
      <c r="J53" s="60">
        <v>21</v>
      </c>
      <c r="K53" s="60">
        <v>8</v>
      </c>
      <c r="L53" s="60">
        <v>0</v>
      </c>
      <c r="M53" s="60">
        <v>0</v>
      </c>
      <c r="N53" s="66">
        <v>0</v>
      </c>
      <c r="O53" s="20"/>
      <c r="P53" s="60">
        <v>0</v>
      </c>
      <c r="Q53" s="60">
        <v>0</v>
      </c>
      <c r="R53" s="60">
        <v>0</v>
      </c>
      <c r="S53" s="60">
        <v>0</v>
      </c>
      <c r="T53" s="66">
        <v>0</v>
      </c>
      <c r="U53" s="20"/>
      <c r="V53" s="60">
        <v>0</v>
      </c>
      <c r="W53" s="60">
        <v>0</v>
      </c>
      <c r="X53" s="60">
        <v>0</v>
      </c>
      <c r="Y53" s="60">
        <v>0</v>
      </c>
      <c r="Z53" s="66">
        <v>0</v>
      </c>
      <c r="AA53" s="20"/>
      <c r="AB53" s="60">
        <v>0</v>
      </c>
      <c r="AC53" s="60">
        <v>0</v>
      </c>
      <c r="AD53" s="60">
        <v>0</v>
      </c>
      <c r="AE53" s="60">
        <v>0</v>
      </c>
      <c r="AF53" s="66">
        <v>0</v>
      </c>
      <c r="AG53" s="150"/>
      <c r="AH53" s="60">
        <v>0</v>
      </c>
      <c r="AI53" s="60">
        <v>0</v>
      </c>
    </row>
    <row r="54" spans="1:35" s="113" customFormat="1" ht="15" customHeight="1">
      <c r="B54" s="138" t="s">
        <v>807</v>
      </c>
      <c r="C54" s="115"/>
      <c r="D54" s="60">
        <v>3487</v>
      </c>
      <c r="E54" s="60">
        <v>3786</v>
      </c>
      <c r="F54" s="60">
        <v>4986</v>
      </c>
      <c r="G54" s="60">
        <v>6038</v>
      </c>
      <c r="H54" s="77">
        <v>6038</v>
      </c>
      <c r="I54" s="116"/>
      <c r="J54" s="60">
        <v>6333</v>
      </c>
      <c r="K54" s="60">
        <v>6530</v>
      </c>
      <c r="L54" s="60">
        <v>9631</v>
      </c>
      <c r="M54" s="60">
        <v>10959</v>
      </c>
      <c r="N54" s="77">
        <v>10959</v>
      </c>
      <c r="O54" s="116"/>
      <c r="P54" s="60">
        <v>10002</v>
      </c>
      <c r="Q54" s="60">
        <v>11432</v>
      </c>
      <c r="R54" s="60">
        <v>11966</v>
      </c>
      <c r="S54" s="60">
        <v>9266</v>
      </c>
      <c r="T54" s="77">
        <v>9266</v>
      </c>
      <c r="U54" s="116"/>
      <c r="V54" s="60">
        <v>9646</v>
      </c>
      <c r="W54" s="60">
        <v>9240</v>
      </c>
      <c r="X54" s="60">
        <v>9274</v>
      </c>
      <c r="Y54" s="60">
        <v>6835</v>
      </c>
      <c r="Z54" s="77">
        <v>6835</v>
      </c>
      <c r="AA54" s="116"/>
      <c r="AB54" s="60">
        <v>6650</v>
      </c>
      <c r="AC54" s="60">
        <v>6175</v>
      </c>
      <c r="AD54" s="60">
        <v>7200</v>
      </c>
      <c r="AE54" s="60">
        <v>6333</v>
      </c>
      <c r="AF54" s="77">
        <v>6333</v>
      </c>
      <c r="AG54" s="153"/>
      <c r="AH54" s="60">
        <v>6683</v>
      </c>
      <c r="AI54" s="60">
        <v>5334</v>
      </c>
    </row>
    <row r="55" spans="1:35" ht="15" customHeight="1" thickBot="1">
      <c r="A55" s="43"/>
      <c r="B55" s="140" t="s">
        <v>808</v>
      </c>
      <c r="D55" s="60">
        <v>49248</v>
      </c>
      <c r="E55" s="60">
        <v>49603</v>
      </c>
      <c r="F55" s="60">
        <v>50773</v>
      </c>
      <c r="G55" s="60">
        <v>50710</v>
      </c>
      <c r="H55" s="93">
        <v>50710</v>
      </c>
      <c r="I55" s="20"/>
      <c r="J55" s="60">
        <v>51437</v>
      </c>
      <c r="K55" s="60">
        <v>52099</v>
      </c>
      <c r="L55" s="60">
        <v>51843</v>
      </c>
      <c r="M55" s="60">
        <v>50873</v>
      </c>
      <c r="N55" s="93">
        <v>50873</v>
      </c>
      <c r="O55" s="20"/>
      <c r="P55" s="60">
        <v>51510</v>
      </c>
      <c r="Q55" s="60">
        <v>51758</v>
      </c>
      <c r="R55" s="60">
        <v>52030</v>
      </c>
      <c r="S55" s="60">
        <v>52880</v>
      </c>
      <c r="T55" s="93">
        <v>52880</v>
      </c>
      <c r="U55" s="20"/>
      <c r="V55" s="60">
        <v>54622</v>
      </c>
      <c r="W55" s="60">
        <v>56978</v>
      </c>
      <c r="X55" s="60">
        <v>56666</v>
      </c>
      <c r="Y55" s="60">
        <v>52456</v>
      </c>
      <c r="Z55" s="93">
        <v>52456</v>
      </c>
      <c r="AA55" s="20"/>
      <c r="AB55" s="60">
        <v>54963</v>
      </c>
      <c r="AC55" s="60">
        <v>55076</v>
      </c>
      <c r="AD55" s="60">
        <v>55520</v>
      </c>
      <c r="AE55" s="60">
        <v>55617</v>
      </c>
      <c r="AF55" s="93">
        <v>55617</v>
      </c>
      <c r="AG55" s="150"/>
      <c r="AH55" s="60">
        <v>56669</v>
      </c>
      <c r="AI55" s="60">
        <v>58870</v>
      </c>
    </row>
    <row r="56" spans="1:35" ht="15" customHeight="1" thickTop="1"/>
    <row r="57" spans="1:35" ht="15" customHeight="1" thickBot="1">
      <c r="B57" s="114" t="s">
        <v>809</v>
      </c>
      <c r="D57" s="60">
        <v>0</v>
      </c>
      <c r="E57" s="60">
        <v>0</v>
      </c>
      <c r="F57" s="60">
        <v>0</v>
      </c>
      <c r="G57" s="60">
        <v>0</v>
      </c>
      <c r="H57" s="93">
        <v>0</v>
      </c>
      <c r="I57" s="20"/>
      <c r="J57" s="60">
        <v>0</v>
      </c>
      <c r="K57" s="60">
        <v>0</v>
      </c>
      <c r="L57" s="60">
        <v>0</v>
      </c>
      <c r="M57" s="60">
        <v>0</v>
      </c>
      <c r="N57" s="93">
        <v>0</v>
      </c>
      <c r="O57" s="20"/>
      <c r="P57" s="60">
        <v>0</v>
      </c>
      <c r="Q57" s="60">
        <v>0</v>
      </c>
      <c r="R57" s="60">
        <v>0</v>
      </c>
      <c r="S57" s="60">
        <v>0</v>
      </c>
      <c r="T57" s="93">
        <v>0</v>
      </c>
      <c r="U57" s="20"/>
      <c r="V57" s="60">
        <v>0</v>
      </c>
      <c r="W57" s="60">
        <v>0</v>
      </c>
      <c r="X57" s="60">
        <v>0</v>
      </c>
      <c r="Y57" s="60">
        <v>0</v>
      </c>
      <c r="Z57" s="93">
        <v>0</v>
      </c>
      <c r="AA57" s="20"/>
      <c r="AB57" s="60">
        <v>0</v>
      </c>
      <c r="AC57" s="60">
        <v>0</v>
      </c>
      <c r="AD57" s="60">
        <v>0</v>
      </c>
      <c r="AE57" s="60">
        <v>0</v>
      </c>
      <c r="AF57" s="93">
        <v>0</v>
      </c>
      <c r="AG57" s="150"/>
      <c r="AH57" s="60">
        <v>0</v>
      </c>
      <c r="AI57" s="60">
        <v>0</v>
      </c>
    </row>
    <row r="58" spans="1:35" ht="15" customHeight="1" thickTop="1"/>
  </sheetData>
  <mergeCells count="7">
    <mergeCell ref="AN8:AR8"/>
    <mergeCell ref="AH8:AL8"/>
    <mergeCell ref="D8:H8"/>
    <mergeCell ref="J8:N8"/>
    <mergeCell ref="P8:T8"/>
    <mergeCell ref="V8:Z8"/>
    <mergeCell ref="AB8:AF8"/>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4" tint="-0.249977111117893"/>
    <pageSetUpPr autoPageBreaks="0"/>
  </sheetPr>
  <dimension ref="A1:AX50"/>
  <sheetViews>
    <sheetView showGridLines="0" zoomScaleNormal="100" workbookViewId="0"/>
  </sheetViews>
  <sheetFormatPr defaultColWidth="9" defaultRowHeight="15" customHeight="1" outlineLevelCol="1"/>
  <cols>
    <col min="1" max="1" width="2.125" style="41" customWidth="1"/>
    <col min="2" max="2" width="50.625" style="41" customWidth="1"/>
    <col min="3" max="3" width="3.375" style="17" customWidth="1"/>
    <col min="4" max="7" width="9.625" style="41" customWidth="1" outlineLevel="1"/>
    <col min="8" max="8" width="11.625" style="41" customWidth="1"/>
    <col min="9" max="9" width="1.625" style="17" customWidth="1"/>
    <col min="10" max="13" width="9.625" style="41" customWidth="1" outlineLevel="1"/>
    <col min="14" max="14" width="11.625" style="41" customWidth="1"/>
    <col min="15" max="15" width="1.625" style="17" customWidth="1"/>
    <col min="16" max="19" width="9.625" style="41" customWidth="1" outlineLevel="1"/>
    <col min="20" max="20" width="11.625" style="41" customWidth="1"/>
    <col min="21" max="21" width="1.625" style="17" customWidth="1"/>
    <col min="22" max="25" width="9.625" style="41" customWidth="1" outlineLevel="1"/>
    <col min="26" max="26" width="11.625" style="41" customWidth="1"/>
    <col min="27" max="27" width="1.625" style="17" customWidth="1"/>
    <col min="28" max="31" width="9.625" style="41" customWidth="1" outlineLevel="1"/>
    <col min="32" max="32" width="11.625" style="41" customWidth="1"/>
    <col min="33" max="33" width="1.625" style="17" customWidth="1"/>
    <col min="34" max="37" width="9.625" style="41" customWidth="1" outlineLevel="1"/>
    <col min="38" max="38" width="11.625" style="41" customWidth="1"/>
    <col min="39" max="39" width="1.625" style="17" customWidth="1"/>
    <col min="40" max="43" width="9.625" style="41" customWidth="1" outlineLevel="1"/>
    <col min="44" max="44" width="11.625" style="41" customWidth="1"/>
    <col min="45" max="45" width="1.625" style="17" customWidth="1"/>
    <col min="46" max="46" width="11.625" style="41" customWidth="1"/>
    <col min="47" max="47" width="1.625" style="17" customWidth="1"/>
    <col min="48" max="48" width="11.625" style="42" customWidth="1"/>
    <col min="49" max="49" width="1.625" style="41" customWidth="1"/>
    <col min="50" max="50" width="11.625" style="41" customWidth="1"/>
    <col min="51" max="51" width="1.625" style="41" customWidth="1"/>
    <col min="52" max="16384" width="9" style="41"/>
  </cols>
  <sheetData>
    <row r="1" spans="1:50" s="573" customFormat="1" ht="15" customHeight="1"/>
    <row r="2" spans="1:50" s="573" customFormat="1" ht="15" customHeight="1"/>
    <row r="3" spans="1:50" s="573" customFormat="1" ht="15" customHeight="1"/>
    <row r="4" spans="1:50" s="573" customFormat="1" ht="15" customHeight="1"/>
    <row r="5" spans="1:50" s="569" customFormat="1" ht="3.95" customHeight="1">
      <c r="C5" s="570"/>
      <c r="I5" s="570"/>
      <c r="O5" s="570"/>
      <c r="U5" s="570"/>
      <c r="AA5" s="570"/>
      <c r="AG5" s="570"/>
      <c r="AM5" s="570"/>
      <c r="AS5" s="570"/>
      <c r="AU5" s="570"/>
      <c r="AV5" s="571"/>
    </row>
    <row r="7" spans="1:50" ht="15" customHeight="1">
      <c r="A7" s="44" t="s">
        <v>41</v>
      </c>
      <c r="B7" s="161" t="s">
        <v>611</v>
      </c>
      <c r="C7" s="18"/>
      <c r="D7" s="200">
        <v>2020</v>
      </c>
      <c r="E7" s="200">
        <v>2020</v>
      </c>
      <c r="F7" s="200">
        <v>2020</v>
      </c>
      <c r="G7" s="200">
        <v>2020</v>
      </c>
      <c r="H7" s="200">
        <v>2020</v>
      </c>
      <c r="I7" s="18"/>
      <c r="J7" s="200">
        <v>2021</v>
      </c>
      <c r="K7" s="200">
        <v>2021</v>
      </c>
      <c r="L7" s="200">
        <v>2021</v>
      </c>
      <c r="M7" s="200">
        <v>2021</v>
      </c>
      <c r="N7" s="200">
        <v>2021</v>
      </c>
      <c r="O7" s="169"/>
      <c r="P7" s="200">
        <v>2022</v>
      </c>
      <c r="Q7" s="200">
        <v>2022</v>
      </c>
      <c r="R7" s="200">
        <v>2022</v>
      </c>
      <c r="S7" s="200">
        <v>2022</v>
      </c>
      <c r="T7" s="200">
        <v>2022</v>
      </c>
      <c r="U7" s="169"/>
      <c r="V7" s="200">
        <v>2023</v>
      </c>
      <c r="W7" s="200">
        <v>2023</v>
      </c>
      <c r="X7" s="200">
        <v>2023</v>
      </c>
      <c r="Y7" s="200">
        <v>2023</v>
      </c>
      <c r="Z7" s="200">
        <v>2023</v>
      </c>
      <c r="AA7" s="170"/>
      <c r="AB7" s="200">
        <v>2024</v>
      </c>
      <c r="AC7" s="200">
        <v>2024</v>
      </c>
      <c r="AD7" s="200">
        <v>2024</v>
      </c>
      <c r="AE7" s="200">
        <v>2024</v>
      </c>
      <c r="AF7" s="200">
        <v>2024</v>
      </c>
      <c r="AG7" s="170"/>
      <c r="AH7" s="200">
        <v>2025</v>
      </c>
      <c r="AI7" s="200">
        <v>2025</v>
      </c>
      <c r="AJ7" s="201">
        <v>2025</v>
      </c>
      <c r="AK7" s="200">
        <v>2025</v>
      </c>
      <c r="AL7" s="200">
        <v>2025</v>
      </c>
      <c r="AM7" s="171"/>
      <c r="AN7" s="200">
        <v>2025</v>
      </c>
      <c r="AO7" s="200">
        <v>2025</v>
      </c>
      <c r="AP7" s="201">
        <v>2025</v>
      </c>
      <c r="AQ7" s="200">
        <v>2025</v>
      </c>
      <c r="AR7" s="200">
        <v>2025</v>
      </c>
      <c r="AS7" s="18"/>
      <c r="AT7" s="162"/>
      <c r="AU7" s="18"/>
      <c r="AV7" s="163"/>
      <c r="AW7" s="18"/>
      <c r="AX7" s="163"/>
    </row>
    <row r="8" spans="1:50" ht="15" customHeight="1">
      <c r="B8" s="164"/>
      <c r="C8" s="18"/>
      <c r="D8" s="893">
        <v>2020</v>
      </c>
      <c r="E8" s="893"/>
      <c r="F8" s="893"/>
      <c r="G8" s="893"/>
      <c r="H8" s="893"/>
      <c r="I8" s="169"/>
      <c r="J8" s="893">
        <v>2021</v>
      </c>
      <c r="K8" s="893"/>
      <c r="L8" s="893"/>
      <c r="M8" s="893"/>
      <c r="N8" s="893"/>
      <c r="O8" s="169"/>
      <c r="P8" s="893">
        <v>2022</v>
      </c>
      <c r="Q8" s="893"/>
      <c r="R8" s="893"/>
      <c r="S8" s="893"/>
      <c r="T8" s="893"/>
      <c r="U8" s="169"/>
      <c r="V8" s="893">
        <v>2023</v>
      </c>
      <c r="W8" s="893"/>
      <c r="X8" s="893"/>
      <c r="Y8" s="893"/>
      <c r="Z8" s="893"/>
      <c r="AA8" s="169"/>
      <c r="AB8" s="893">
        <v>2024</v>
      </c>
      <c r="AC8" s="893"/>
      <c r="AD8" s="893"/>
      <c r="AE8" s="893"/>
      <c r="AF8" s="893"/>
      <c r="AG8" s="169"/>
      <c r="AH8" s="892">
        <v>2025</v>
      </c>
      <c r="AI8" s="892"/>
      <c r="AJ8" s="892"/>
      <c r="AK8" s="892"/>
      <c r="AL8" s="892"/>
      <c r="AM8" s="169"/>
      <c r="AN8" s="892">
        <v>2026</v>
      </c>
      <c r="AO8" s="892"/>
      <c r="AP8" s="892"/>
      <c r="AQ8" s="892"/>
      <c r="AR8" s="892"/>
      <c r="AS8" s="171"/>
      <c r="AT8" s="166">
        <v>2027</v>
      </c>
      <c r="AU8" s="167"/>
      <c r="AV8" s="166">
        <v>2028</v>
      </c>
      <c r="AW8" s="167"/>
      <c r="AX8" s="166">
        <v>2029</v>
      </c>
    </row>
    <row r="9" spans="1:50" ht="15" customHeight="1">
      <c r="B9" s="164"/>
      <c r="C9" s="18"/>
      <c r="D9" s="168" t="s">
        <v>292</v>
      </c>
      <c r="E9" s="168" t="s">
        <v>293</v>
      </c>
      <c r="F9" s="168" t="s">
        <v>294</v>
      </c>
      <c r="G9" s="168" t="s">
        <v>295</v>
      </c>
      <c r="H9" s="168" t="s">
        <v>296</v>
      </c>
      <c r="I9" s="18"/>
      <c r="J9" s="168" t="s">
        <v>292</v>
      </c>
      <c r="K9" s="168" t="s">
        <v>293</v>
      </c>
      <c r="L9" s="168" t="s">
        <v>294</v>
      </c>
      <c r="M9" s="168" t="s">
        <v>295</v>
      </c>
      <c r="N9" s="168" t="s">
        <v>296</v>
      </c>
      <c r="O9" s="165"/>
      <c r="P9" s="168" t="s">
        <v>292</v>
      </c>
      <c r="Q9" s="168" t="s">
        <v>293</v>
      </c>
      <c r="R9" s="168" t="s">
        <v>294</v>
      </c>
      <c r="S9" s="168" t="s">
        <v>295</v>
      </c>
      <c r="T9" s="168" t="s">
        <v>296</v>
      </c>
      <c r="U9" s="165"/>
      <c r="V9" s="168" t="s">
        <v>292</v>
      </c>
      <c r="W9" s="168" t="s">
        <v>293</v>
      </c>
      <c r="X9" s="168" t="s">
        <v>294</v>
      </c>
      <c r="Y9" s="168" t="s">
        <v>295</v>
      </c>
      <c r="Z9" s="168" t="s">
        <v>296</v>
      </c>
      <c r="AA9" s="165"/>
      <c r="AB9" s="168" t="s">
        <v>292</v>
      </c>
      <c r="AC9" s="168" t="s">
        <v>293</v>
      </c>
      <c r="AD9" s="168" t="s">
        <v>294</v>
      </c>
      <c r="AE9" s="168" t="s">
        <v>295</v>
      </c>
      <c r="AF9" s="168" t="s">
        <v>296</v>
      </c>
      <c r="AG9" s="165"/>
      <c r="AH9" s="168" t="s">
        <v>292</v>
      </c>
      <c r="AI9" s="168" t="s">
        <v>293</v>
      </c>
      <c r="AJ9" s="168" t="s">
        <v>294</v>
      </c>
      <c r="AK9" s="168" t="s">
        <v>295</v>
      </c>
      <c r="AL9" s="168" t="s">
        <v>296</v>
      </c>
      <c r="AM9" s="165"/>
      <c r="AN9" s="168" t="s">
        <v>292</v>
      </c>
      <c r="AO9" s="168" t="s">
        <v>293</v>
      </c>
      <c r="AP9" s="168" t="s">
        <v>294</v>
      </c>
      <c r="AQ9" s="168" t="s">
        <v>295</v>
      </c>
      <c r="AR9" s="168" t="s">
        <v>296</v>
      </c>
      <c r="AS9" s="165"/>
      <c r="AT9" s="168" t="s">
        <v>296</v>
      </c>
      <c r="AU9" s="165"/>
      <c r="AV9" s="168" t="s">
        <v>296</v>
      </c>
      <c r="AW9" s="165"/>
      <c r="AX9" s="168" t="s">
        <v>296</v>
      </c>
    </row>
    <row r="10" spans="1:50" ht="3.95" customHeight="1">
      <c r="A10" s="43"/>
      <c r="B10" s="176"/>
      <c r="C10" s="35"/>
      <c r="D10" s="177"/>
      <c r="E10" s="177"/>
      <c r="F10" s="177"/>
      <c r="G10" s="177"/>
      <c r="H10" s="177"/>
      <c r="I10" s="35"/>
      <c r="J10" s="177"/>
      <c r="K10" s="177"/>
      <c r="L10" s="177"/>
      <c r="M10" s="177"/>
      <c r="N10" s="177"/>
      <c r="O10" s="178"/>
      <c r="P10" s="177"/>
      <c r="Q10" s="177"/>
      <c r="R10" s="177"/>
      <c r="S10" s="177"/>
      <c r="T10" s="177"/>
      <c r="U10" s="178"/>
      <c r="V10" s="177"/>
      <c r="W10" s="177"/>
      <c r="X10" s="177"/>
      <c r="Y10" s="177"/>
      <c r="Z10" s="177"/>
      <c r="AA10" s="178"/>
      <c r="AB10" s="177"/>
      <c r="AC10" s="177"/>
      <c r="AD10" s="177"/>
      <c r="AE10" s="177"/>
      <c r="AF10" s="177"/>
      <c r="AG10" s="178"/>
      <c r="AH10" s="177"/>
      <c r="AI10" s="177"/>
      <c r="AJ10" s="177"/>
      <c r="AK10" s="177"/>
      <c r="AL10" s="179"/>
      <c r="AM10" s="180"/>
      <c r="AN10" s="179"/>
      <c r="AO10" s="179"/>
      <c r="AP10" s="179"/>
      <c r="AQ10" s="179"/>
      <c r="AR10" s="179"/>
      <c r="AS10" s="180"/>
      <c r="AT10" s="179"/>
      <c r="AU10" s="180"/>
      <c r="AV10" s="179"/>
      <c r="AW10" s="180"/>
      <c r="AX10" s="179"/>
    </row>
    <row r="11" spans="1:50" ht="3.95" customHeight="1">
      <c r="A11" s="43"/>
      <c r="B11" s="172"/>
      <c r="C11" s="19"/>
      <c r="D11" s="173"/>
      <c r="E11" s="173"/>
      <c r="F11" s="173"/>
      <c r="G11" s="173"/>
      <c r="H11" s="173"/>
      <c r="I11" s="19"/>
      <c r="J11" s="173"/>
      <c r="K11" s="173"/>
      <c r="L11" s="173"/>
      <c r="M11" s="173"/>
      <c r="N11" s="173"/>
      <c r="O11" s="174"/>
      <c r="P11" s="173"/>
      <c r="Q11" s="173"/>
      <c r="R11" s="173"/>
      <c r="S11" s="173"/>
      <c r="T11" s="173"/>
      <c r="U11" s="174"/>
      <c r="V11" s="173"/>
      <c r="W11" s="173"/>
      <c r="X11" s="173"/>
      <c r="Y11" s="173"/>
      <c r="Z11" s="173"/>
      <c r="AA11" s="174"/>
      <c r="AB11" s="173"/>
      <c r="AC11" s="173"/>
      <c r="AD11" s="173"/>
      <c r="AE11" s="173"/>
      <c r="AF11" s="173"/>
      <c r="AG11" s="202"/>
      <c r="AH11" s="173"/>
      <c r="AI11" s="173"/>
      <c r="AJ11" s="173"/>
      <c r="AK11" s="173"/>
      <c r="AL11" s="175"/>
      <c r="AM11" s="34"/>
      <c r="AN11" s="175"/>
      <c r="AO11" s="175"/>
      <c r="AP11" s="175"/>
      <c r="AQ11" s="175"/>
      <c r="AR11" s="175"/>
      <c r="AS11" s="34"/>
      <c r="AT11" s="175"/>
      <c r="AU11" s="34"/>
      <c r="AV11" s="175"/>
      <c r="AW11" s="34"/>
      <c r="AX11" s="175"/>
    </row>
    <row r="12" spans="1:50" s="54" customFormat="1" ht="15" customHeight="1">
      <c r="B12" s="154" t="s">
        <v>810</v>
      </c>
      <c r="C12" s="17"/>
      <c r="D12" s="60">
        <v>1514</v>
      </c>
      <c r="E12" s="46">
        <v>1988</v>
      </c>
      <c r="F12" s="46">
        <v>2855</v>
      </c>
      <c r="G12" s="46">
        <v>3585</v>
      </c>
      <c r="H12" s="57">
        <v>3160</v>
      </c>
      <c r="I12" s="48"/>
      <c r="J12" s="46">
        <v>3160</v>
      </c>
      <c r="K12" s="46">
        <v>2933</v>
      </c>
      <c r="L12" s="46">
        <v>2745</v>
      </c>
      <c r="M12" s="46">
        <v>2727</v>
      </c>
      <c r="N12" s="57">
        <v>3604</v>
      </c>
      <c r="O12" s="47"/>
      <c r="P12" s="46">
        <v>3604</v>
      </c>
      <c r="Q12" s="46">
        <v>1883</v>
      </c>
      <c r="R12" s="46">
        <v>1775</v>
      </c>
      <c r="S12" s="46">
        <v>2430</v>
      </c>
      <c r="T12" s="57">
        <v>2547</v>
      </c>
      <c r="U12" s="47"/>
      <c r="V12" s="46">
        <v>2547</v>
      </c>
      <c r="W12" s="46">
        <v>2440</v>
      </c>
      <c r="X12" s="46">
        <v>3673</v>
      </c>
      <c r="Y12" s="46">
        <v>3551</v>
      </c>
      <c r="Z12" s="57">
        <v>1442</v>
      </c>
      <c r="AA12" s="47"/>
      <c r="AB12" s="46">
        <v>1442</v>
      </c>
      <c r="AC12" s="46">
        <v>2790</v>
      </c>
      <c r="AD12" s="46">
        <v>2523</v>
      </c>
      <c r="AE12" s="46">
        <v>3151</v>
      </c>
      <c r="AF12" s="57">
        <v>2483</v>
      </c>
      <c r="AG12" s="49"/>
      <c r="AH12" s="46">
        <v>2483</v>
      </c>
      <c r="AI12" s="46">
        <v>1803</v>
      </c>
      <c r="AJ12" s="46"/>
      <c r="AK12" s="46"/>
      <c r="AL12" s="58"/>
      <c r="AM12" s="53"/>
      <c r="AN12" s="50"/>
      <c r="AO12" s="50"/>
      <c r="AP12" s="50"/>
      <c r="AQ12" s="50"/>
      <c r="AR12" s="58"/>
      <c r="AS12" s="53"/>
      <c r="AT12" s="58"/>
      <c r="AU12" s="53"/>
      <c r="AV12" s="58"/>
      <c r="AX12" s="58"/>
    </row>
    <row r="13" spans="1:50" s="54" customFormat="1" ht="15" customHeight="1">
      <c r="A13" s="43"/>
      <c r="B13" s="154"/>
      <c r="C13" s="17"/>
      <c r="D13" s="46"/>
      <c r="E13" s="46"/>
      <c r="F13" s="46"/>
      <c r="G13" s="46"/>
      <c r="H13" s="57"/>
      <c r="I13" s="48"/>
      <c r="J13" s="46"/>
      <c r="K13" s="46"/>
      <c r="L13" s="46"/>
      <c r="M13" s="46"/>
      <c r="N13" s="57"/>
      <c r="O13" s="47"/>
      <c r="P13" s="46"/>
      <c r="Q13" s="46"/>
      <c r="R13" s="46"/>
      <c r="S13" s="46"/>
      <c r="T13" s="57"/>
      <c r="U13" s="47"/>
      <c r="V13" s="46"/>
      <c r="W13" s="46"/>
      <c r="X13" s="46"/>
      <c r="Y13" s="46"/>
      <c r="Z13" s="57"/>
      <c r="AA13" s="47"/>
      <c r="AB13" s="46"/>
      <c r="AC13" s="46"/>
      <c r="AD13" s="46"/>
      <c r="AE13" s="46"/>
      <c r="AF13" s="57"/>
      <c r="AG13" s="49"/>
      <c r="AH13" s="46"/>
      <c r="AI13" s="46"/>
      <c r="AJ13" s="50"/>
      <c r="AK13" s="50"/>
      <c r="AL13" s="58"/>
      <c r="AM13" s="53"/>
      <c r="AN13" s="50"/>
      <c r="AO13" s="50"/>
      <c r="AP13" s="50"/>
      <c r="AQ13" s="50"/>
      <c r="AR13" s="58"/>
      <c r="AS13" s="53"/>
      <c r="AT13" s="58"/>
      <c r="AU13" s="53"/>
      <c r="AV13" s="58"/>
      <c r="AX13" s="58"/>
    </row>
    <row r="14" spans="1:50" s="54" customFormat="1" ht="15" customHeight="1">
      <c r="A14" s="44" t="s">
        <v>41</v>
      </c>
      <c r="B14" s="154" t="s">
        <v>811</v>
      </c>
      <c r="C14" s="17"/>
      <c r="D14" s="46"/>
      <c r="E14" s="46"/>
      <c r="F14" s="46"/>
      <c r="G14" s="46"/>
      <c r="H14" s="66"/>
      <c r="I14" s="48"/>
      <c r="J14" s="46"/>
      <c r="K14" s="46"/>
      <c r="L14" s="46"/>
      <c r="M14" s="46"/>
      <c r="N14" s="66"/>
      <c r="O14" s="47"/>
      <c r="P14" s="46"/>
      <c r="Q14" s="46"/>
      <c r="R14" s="46"/>
      <c r="S14" s="46"/>
      <c r="T14" s="66"/>
      <c r="U14" s="47"/>
      <c r="V14" s="46"/>
      <c r="W14" s="46"/>
      <c r="X14" s="46"/>
      <c r="Y14" s="46"/>
      <c r="Z14" s="66"/>
      <c r="AA14" s="47"/>
      <c r="AB14" s="46"/>
      <c r="AC14" s="46"/>
      <c r="AD14" s="46"/>
      <c r="AE14" s="46"/>
      <c r="AF14" s="66"/>
      <c r="AG14" s="49"/>
      <c r="AH14" s="46"/>
      <c r="AI14" s="46"/>
      <c r="AJ14" s="50"/>
      <c r="AK14" s="50"/>
      <c r="AL14" s="68"/>
      <c r="AM14" s="53"/>
      <c r="AN14" s="50"/>
      <c r="AO14" s="50"/>
      <c r="AP14" s="50"/>
      <c r="AQ14" s="50"/>
      <c r="AR14" s="68"/>
      <c r="AS14" s="53"/>
      <c r="AT14" s="68"/>
      <c r="AU14" s="53"/>
      <c r="AV14" s="68"/>
      <c r="AX14" s="68"/>
    </row>
    <row r="15" spans="1:50" s="54" customFormat="1" ht="15" customHeight="1">
      <c r="A15" s="43"/>
      <c r="B15" s="155" t="s">
        <v>693</v>
      </c>
      <c r="C15" s="17"/>
      <c r="D15" s="60">
        <v>1717</v>
      </c>
      <c r="E15" s="60">
        <v>1626</v>
      </c>
      <c r="F15" s="60">
        <v>1698</v>
      </c>
      <c r="G15" s="60">
        <v>1792</v>
      </c>
      <c r="H15" s="57">
        <v>6833</v>
      </c>
      <c r="I15" s="48"/>
      <c r="J15" s="60">
        <v>1837</v>
      </c>
      <c r="K15" s="60">
        <v>1815</v>
      </c>
      <c r="L15" s="60">
        <v>614</v>
      </c>
      <c r="M15" s="60">
        <v>2049</v>
      </c>
      <c r="N15" s="57">
        <v>6315</v>
      </c>
      <c r="O15" s="47"/>
      <c r="P15" s="60">
        <v>1733</v>
      </c>
      <c r="Q15" s="60">
        <v>309</v>
      </c>
      <c r="R15" s="60">
        <v>1778</v>
      </c>
      <c r="S15" s="60">
        <v>1912</v>
      </c>
      <c r="T15" s="57">
        <v>5732</v>
      </c>
      <c r="U15" s="47"/>
      <c r="V15" s="60">
        <v>1689</v>
      </c>
      <c r="W15" s="60">
        <v>1681</v>
      </c>
      <c r="X15" s="60">
        <v>1684</v>
      </c>
      <c r="Y15" s="60">
        <v>1866</v>
      </c>
      <c r="Z15" s="57">
        <v>6920</v>
      </c>
      <c r="AA15" s="47"/>
      <c r="AB15" s="60">
        <v>1545</v>
      </c>
      <c r="AC15" s="60">
        <v>1641</v>
      </c>
      <c r="AD15" s="60">
        <v>1623</v>
      </c>
      <c r="AE15" s="60">
        <v>527</v>
      </c>
      <c r="AF15" s="57">
        <v>5336</v>
      </c>
      <c r="AG15" s="49"/>
      <c r="AH15" s="60">
        <v>1712</v>
      </c>
      <c r="AI15" s="60">
        <v>342</v>
      </c>
      <c r="AJ15" s="50"/>
      <c r="AK15" s="50"/>
      <c r="AL15" s="58"/>
      <c r="AM15" s="53"/>
      <c r="AN15" s="50"/>
      <c r="AO15" s="50"/>
      <c r="AP15" s="50"/>
      <c r="AQ15" s="50"/>
      <c r="AR15" s="58"/>
      <c r="AS15" s="53"/>
      <c r="AT15" s="58"/>
      <c r="AU15" s="53"/>
      <c r="AV15" s="58"/>
      <c r="AX15" s="58"/>
    </row>
    <row r="16" spans="1:50" s="54" customFormat="1" ht="15" customHeight="1">
      <c r="A16" s="43"/>
      <c r="B16" s="155" t="s">
        <v>812</v>
      </c>
      <c r="C16" s="17"/>
      <c r="D16" s="46"/>
      <c r="E16" s="46"/>
      <c r="F16" s="46"/>
      <c r="G16" s="46"/>
      <c r="H16" s="57"/>
      <c r="I16" s="48"/>
      <c r="J16" s="46"/>
      <c r="K16" s="46"/>
      <c r="L16" s="46"/>
      <c r="M16" s="46"/>
      <c r="N16" s="57"/>
      <c r="O16" s="57"/>
      <c r="P16" s="46"/>
      <c r="Q16" s="46"/>
      <c r="R16" s="46"/>
      <c r="S16" s="46"/>
      <c r="T16" s="57"/>
      <c r="U16" s="57"/>
      <c r="V16" s="46"/>
      <c r="W16" s="46"/>
      <c r="X16" s="46"/>
      <c r="Y16" s="46"/>
      <c r="Z16" s="57"/>
      <c r="AA16" s="57"/>
      <c r="AB16" s="46"/>
      <c r="AC16" s="46"/>
      <c r="AD16" s="46"/>
      <c r="AE16" s="46"/>
      <c r="AF16" s="57"/>
      <c r="AG16" s="49"/>
      <c r="AH16" s="46"/>
      <c r="AI16" s="46"/>
      <c r="AJ16" s="50"/>
      <c r="AK16" s="50"/>
      <c r="AL16" s="58"/>
      <c r="AM16" s="53"/>
      <c r="AN16" s="50"/>
      <c r="AO16" s="50"/>
      <c r="AP16" s="50"/>
      <c r="AQ16" s="50"/>
      <c r="AR16" s="58"/>
      <c r="AS16" s="53"/>
      <c r="AT16" s="58"/>
      <c r="AU16" s="53"/>
      <c r="AV16" s="58"/>
      <c r="AX16" s="58"/>
    </row>
    <row r="17" spans="1:50" s="54" customFormat="1" ht="15" customHeight="1">
      <c r="A17" s="43"/>
      <c r="B17" s="156" t="s">
        <v>746</v>
      </c>
      <c r="C17" s="17"/>
      <c r="D17" s="60">
        <v>301</v>
      </c>
      <c r="E17" s="60">
        <v>307</v>
      </c>
      <c r="F17" s="60">
        <v>319</v>
      </c>
      <c r="G17" s="60">
        <v>363</v>
      </c>
      <c r="H17" s="57">
        <v>1290</v>
      </c>
      <c r="I17" s="48"/>
      <c r="J17" s="60">
        <v>336</v>
      </c>
      <c r="K17" s="60">
        <v>334</v>
      </c>
      <c r="L17" s="60">
        <v>329</v>
      </c>
      <c r="M17" s="60">
        <v>365</v>
      </c>
      <c r="N17" s="57">
        <v>1364</v>
      </c>
      <c r="O17" s="47"/>
      <c r="P17" s="60">
        <v>329</v>
      </c>
      <c r="Q17" s="60">
        <v>672</v>
      </c>
      <c r="R17" s="60">
        <v>293</v>
      </c>
      <c r="S17" s="60">
        <v>439</v>
      </c>
      <c r="T17" s="57">
        <v>1404</v>
      </c>
      <c r="U17" s="47"/>
      <c r="V17" s="60">
        <v>325</v>
      </c>
      <c r="W17" s="60">
        <v>334</v>
      </c>
      <c r="X17" s="60">
        <v>350</v>
      </c>
      <c r="Y17" s="60">
        <v>421</v>
      </c>
      <c r="Z17" s="57">
        <v>1430</v>
      </c>
      <c r="AA17" s="47"/>
      <c r="AB17" s="60">
        <v>351</v>
      </c>
      <c r="AC17" s="60">
        <v>359</v>
      </c>
      <c r="AD17" s="60">
        <v>390</v>
      </c>
      <c r="AE17" s="60">
        <v>459</v>
      </c>
      <c r="AF17" s="57">
        <v>1559</v>
      </c>
      <c r="AG17" s="49"/>
      <c r="AH17" s="60">
        <v>397</v>
      </c>
      <c r="AI17" s="60">
        <v>399</v>
      </c>
      <c r="AJ17" s="50">
        <v>0</v>
      </c>
      <c r="AK17" s="50">
        <v>0</v>
      </c>
      <c r="AL17" s="57">
        <v>796</v>
      </c>
      <c r="AM17" s="53"/>
      <c r="AN17" s="50">
        <v>0</v>
      </c>
      <c r="AO17" s="50">
        <v>0</v>
      </c>
      <c r="AP17" s="50">
        <v>0</v>
      </c>
      <c r="AQ17" s="50">
        <v>0</v>
      </c>
      <c r="AR17" s="57">
        <v>0</v>
      </c>
      <c r="AS17" s="53"/>
      <c r="AT17" s="58"/>
      <c r="AU17" s="53"/>
      <c r="AV17" s="58"/>
      <c r="AX17" s="58"/>
    </row>
    <row r="18" spans="1:50" s="54" customFormat="1" ht="15" customHeight="1">
      <c r="A18" s="43"/>
      <c r="B18" s="156" t="s">
        <v>813</v>
      </c>
      <c r="C18" s="17"/>
      <c r="D18" s="60">
        <v>42</v>
      </c>
      <c r="E18" s="60">
        <v>73</v>
      </c>
      <c r="F18" s="60">
        <v>67</v>
      </c>
      <c r="G18" s="60">
        <v>39</v>
      </c>
      <c r="H18" s="57">
        <v>221</v>
      </c>
      <c r="I18" s="48"/>
      <c r="J18" s="60">
        <v>47</v>
      </c>
      <c r="K18" s="60">
        <v>80</v>
      </c>
      <c r="L18" s="60">
        <v>62</v>
      </c>
      <c r="M18" s="60">
        <v>38</v>
      </c>
      <c r="N18" s="57">
        <v>227</v>
      </c>
      <c r="O18" s="47"/>
      <c r="P18" s="60">
        <v>54</v>
      </c>
      <c r="Q18" s="60">
        <v>134</v>
      </c>
      <c r="R18" s="60">
        <v>61</v>
      </c>
      <c r="S18" s="60">
        <v>43</v>
      </c>
      <c r="T18" s="57">
        <v>238</v>
      </c>
      <c r="U18" s="47"/>
      <c r="V18" s="60">
        <v>57</v>
      </c>
      <c r="W18" s="60">
        <v>89</v>
      </c>
      <c r="X18" s="60">
        <v>75</v>
      </c>
      <c r="Y18" s="60">
        <v>44</v>
      </c>
      <c r="Z18" s="57">
        <v>265</v>
      </c>
      <c r="AA18" s="47"/>
      <c r="AB18" s="60">
        <v>61</v>
      </c>
      <c r="AC18" s="60">
        <v>93</v>
      </c>
      <c r="AD18" s="60">
        <v>75</v>
      </c>
      <c r="AE18" s="60">
        <v>48</v>
      </c>
      <c r="AF18" s="57">
        <v>277</v>
      </c>
      <c r="AG18" s="49"/>
      <c r="AH18" s="60">
        <v>60</v>
      </c>
      <c r="AI18" s="60">
        <v>81</v>
      </c>
      <c r="AJ18" s="50">
        <v>0</v>
      </c>
      <c r="AK18" s="50">
        <v>0</v>
      </c>
      <c r="AL18" s="57">
        <v>141</v>
      </c>
      <c r="AM18" s="53"/>
      <c r="AN18" s="50">
        <v>0</v>
      </c>
      <c r="AO18" s="50">
        <v>0</v>
      </c>
      <c r="AP18" s="50">
        <v>0</v>
      </c>
      <c r="AQ18" s="50">
        <v>0</v>
      </c>
      <c r="AR18" s="57">
        <v>0</v>
      </c>
      <c r="AS18" s="53"/>
      <c r="AT18" s="58"/>
      <c r="AU18" s="53"/>
      <c r="AV18" s="58"/>
      <c r="AX18" s="58"/>
    </row>
    <row r="19" spans="1:50" s="54" customFormat="1" ht="15" customHeight="1">
      <c r="A19" s="113"/>
      <c r="B19" s="156" t="s">
        <v>125</v>
      </c>
      <c r="C19" s="115"/>
      <c r="D19" s="60">
        <v>-346</v>
      </c>
      <c r="E19" s="60">
        <v>927</v>
      </c>
      <c r="F19" s="60">
        <v>278</v>
      </c>
      <c r="G19" s="60">
        <v>-936</v>
      </c>
      <c r="H19" s="57">
        <v>-77</v>
      </c>
      <c r="I19" s="48"/>
      <c r="J19" s="60">
        <v>-149</v>
      </c>
      <c r="K19" s="60">
        <v>320</v>
      </c>
      <c r="L19" s="60">
        <v>1638</v>
      </c>
      <c r="M19" s="60">
        <v>-321</v>
      </c>
      <c r="N19" s="57">
        <v>1488</v>
      </c>
      <c r="O19" s="48"/>
      <c r="P19" s="60">
        <v>-695</v>
      </c>
      <c r="Q19" s="60">
        <v>2265</v>
      </c>
      <c r="R19" s="60">
        <v>1065</v>
      </c>
      <c r="S19" s="60">
        <v>-346</v>
      </c>
      <c r="T19" s="57">
        <v>1251</v>
      </c>
      <c r="U19" s="48"/>
      <c r="V19" s="60">
        <v>-597</v>
      </c>
      <c r="W19" s="60">
        <v>207</v>
      </c>
      <c r="X19" s="60">
        <v>195</v>
      </c>
      <c r="Y19" s="60">
        <v>-419</v>
      </c>
      <c r="Z19" s="57">
        <v>-614</v>
      </c>
      <c r="AA19" s="51"/>
      <c r="AB19" s="60">
        <v>-320</v>
      </c>
      <c r="AC19" s="60">
        <v>358</v>
      </c>
      <c r="AD19" s="60">
        <v>257</v>
      </c>
      <c r="AE19" s="60">
        <v>-55</v>
      </c>
      <c r="AF19" s="57">
        <v>240</v>
      </c>
      <c r="AG19" s="49"/>
      <c r="AH19" s="60">
        <v>-781</v>
      </c>
      <c r="AI19" s="60">
        <v>1744</v>
      </c>
      <c r="AJ19" s="50"/>
      <c r="AK19" s="50"/>
      <c r="AL19" s="58"/>
      <c r="AM19" s="69"/>
      <c r="AN19" s="50"/>
      <c r="AO19" s="50"/>
      <c r="AP19" s="50"/>
      <c r="AQ19" s="50"/>
      <c r="AR19" s="58"/>
      <c r="AS19" s="69"/>
      <c r="AT19" s="58"/>
      <c r="AU19" s="69"/>
      <c r="AV19" s="58"/>
      <c r="AX19" s="58"/>
    </row>
    <row r="20" spans="1:50" s="54" customFormat="1" ht="15" customHeight="1">
      <c r="A20" s="43"/>
      <c r="B20" s="155" t="s">
        <v>814</v>
      </c>
      <c r="C20" s="17"/>
      <c r="D20" s="46"/>
      <c r="E20" s="46"/>
      <c r="F20" s="46"/>
      <c r="G20" s="46"/>
      <c r="H20" s="66"/>
      <c r="I20" s="48"/>
      <c r="J20" s="46"/>
      <c r="K20" s="46"/>
      <c r="L20" s="46"/>
      <c r="M20" s="46"/>
      <c r="N20" s="66"/>
      <c r="O20" s="48"/>
      <c r="P20" s="46"/>
      <c r="Q20" s="46"/>
      <c r="R20" s="46"/>
      <c r="S20" s="46"/>
      <c r="T20" s="66"/>
      <c r="U20" s="48"/>
      <c r="V20" s="46"/>
      <c r="W20" s="46"/>
      <c r="X20" s="46"/>
      <c r="Y20" s="46"/>
      <c r="Z20" s="66"/>
      <c r="AA20" s="51"/>
      <c r="AB20" s="46"/>
      <c r="AC20" s="46"/>
      <c r="AD20" s="46"/>
      <c r="AE20" s="46"/>
      <c r="AF20" s="66"/>
      <c r="AG20" s="49"/>
      <c r="AH20" s="46"/>
      <c r="AI20" s="46"/>
      <c r="AJ20" s="50"/>
      <c r="AK20" s="50"/>
      <c r="AL20" s="68"/>
      <c r="AM20" s="72"/>
      <c r="AN20" s="50"/>
      <c r="AO20" s="50"/>
      <c r="AP20" s="50"/>
      <c r="AQ20" s="50"/>
      <c r="AR20" s="68"/>
      <c r="AS20" s="72"/>
      <c r="AT20" s="68"/>
      <c r="AU20" s="72"/>
      <c r="AV20" s="68"/>
      <c r="AX20" s="68"/>
    </row>
    <row r="21" spans="1:50" s="54" customFormat="1" ht="15" customHeight="1">
      <c r="A21" s="113"/>
      <c r="B21" s="156" t="s">
        <v>780</v>
      </c>
      <c r="C21" s="115"/>
      <c r="D21" s="60">
        <v>-555</v>
      </c>
      <c r="E21" s="60">
        <v>57</v>
      </c>
      <c r="F21" s="60">
        <v>355</v>
      </c>
      <c r="G21" s="60">
        <v>502</v>
      </c>
      <c r="H21" s="66">
        <v>359</v>
      </c>
      <c r="I21" s="48"/>
      <c r="J21" s="60">
        <v>-236</v>
      </c>
      <c r="K21" s="60">
        <v>-397</v>
      </c>
      <c r="L21" s="60">
        <v>344</v>
      </c>
      <c r="M21" s="60">
        <v>304</v>
      </c>
      <c r="N21" s="66">
        <v>15</v>
      </c>
      <c r="O21" s="48"/>
      <c r="P21" s="60">
        <v>-564</v>
      </c>
      <c r="Q21" s="60">
        <v>-1438</v>
      </c>
      <c r="R21" s="60">
        <v>917</v>
      </c>
      <c r="S21" s="60">
        <v>-21</v>
      </c>
      <c r="T21" s="66">
        <v>-542</v>
      </c>
      <c r="U21" s="48"/>
      <c r="V21" s="60">
        <v>-78</v>
      </c>
      <c r="W21" s="60">
        <v>-844</v>
      </c>
      <c r="X21" s="60">
        <v>1022</v>
      </c>
      <c r="Y21" s="60">
        <v>273</v>
      </c>
      <c r="Z21" s="66">
        <v>373</v>
      </c>
      <c r="AA21" s="51"/>
      <c r="AB21" s="60">
        <v>-125</v>
      </c>
      <c r="AC21" s="60">
        <v>-673</v>
      </c>
      <c r="AD21" s="60">
        <v>789</v>
      </c>
      <c r="AE21" s="60">
        <v>-210</v>
      </c>
      <c r="AF21" s="66">
        <v>-219</v>
      </c>
      <c r="AG21" s="49"/>
      <c r="AH21" s="60">
        <v>327</v>
      </c>
      <c r="AI21" s="60">
        <v>-1282</v>
      </c>
      <c r="AJ21" s="50">
        <v>3306</v>
      </c>
      <c r="AK21" s="50">
        <v>0</v>
      </c>
      <c r="AL21" s="66">
        <v>2351</v>
      </c>
      <c r="AM21" s="72"/>
      <c r="AN21" s="50">
        <v>0</v>
      </c>
      <c r="AO21" s="50">
        <v>0</v>
      </c>
      <c r="AP21" s="50">
        <v>0</v>
      </c>
      <c r="AQ21" s="50">
        <v>0</v>
      </c>
      <c r="AR21" s="66">
        <v>0</v>
      </c>
      <c r="AS21" s="72"/>
      <c r="AT21" s="68"/>
      <c r="AU21" s="72"/>
      <c r="AV21" s="68"/>
      <c r="AX21" s="68"/>
    </row>
    <row r="22" spans="1:50" s="54" customFormat="1" ht="15" customHeight="1">
      <c r="A22" s="43"/>
      <c r="B22" s="156" t="s">
        <v>815</v>
      </c>
      <c r="C22" s="17"/>
      <c r="D22" s="60">
        <v>80</v>
      </c>
      <c r="E22" s="60">
        <v>18</v>
      </c>
      <c r="F22" s="60">
        <v>228</v>
      </c>
      <c r="G22" s="60">
        <v>-252</v>
      </c>
      <c r="H22" s="66">
        <v>74</v>
      </c>
      <c r="I22" s="48"/>
      <c r="J22" s="60">
        <v>289</v>
      </c>
      <c r="K22" s="60">
        <v>137</v>
      </c>
      <c r="L22" s="60">
        <v>216</v>
      </c>
      <c r="M22" s="60">
        <v>-78</v>
      </c>
      <c r="N22" s="66">
        <v>564</v>
      </c>
      <c r="O22" s="48"/>
      <c r="P22" s="60">
        <v>-163</v>
      </c>
      <c r="Q22" s="60">
        <v>-450</v>
      </c>
      <c r="R22" s="60">
        <v>318</v>
      </c>
      <c r="S22" s="60">
        <v>25</v>
      </c>
      <c r="T22" s="66">
        <v>-107</v>
      </c>
      <c r="U22" s="48"/>
      <c r="V22" s="60">
        <v>-383</v>
      </c>
      <c r="W22" s="60">
        <v>-27</v>
      </c>
      <c r="X22" s="60">
        <v>186</v>
      </c>
      <c r="Y22" s="60">
        <v>180</v>
      </c>
      <c r="Z22" s="66">
        <v>-44</v>
      </c>
      <c r="AA22" s="51"/>
      <c r="AB22" s="60">
        <v>-146</v>
      </c>
      <c r="AC22" s="60">
        <v>181</v>
      </c>
      <c r="AD22" s="60">
        <v>-137</v>
      </c>
      <c r="AE22" s="60">
        <v>-376</v>
      </c>
      <c r="AF22" s="66">
        <v>-478</v>
      </c>
      <c r="AG22" s="49"/>
      <c r="AH22" s="60">
        <v>-125</v>
      </c>
      <c r="AI22" s="60">
        <v>-336</v>
      </c>
      <c r="AJ22" s="50">
        <v>3699</v>
      </c>
      <c r="AK22" s="50">
        <v>0</v>
      </c>
      <c r="AL22" s="66">
        <v>3238</v>
      </c>
      <c r="AM22" s="72"/>
      <c r="AN22" s="50">
        <v>0</v>
      </c>
      <c r="AO22" s="50">
        <v>0</v>
      </c>
      <c r="AP22" s="50">
        <v>0</v>
      </c>
      <c r="AQ22" s="50">
        <v>0</v>
      </c>
      <c r="AR22" s="66">
        <v>0</v>
      </c>
      <c r="AS22" s="72"/>
      <c r="AT22" s="68"/>
      <c r="AU22" s="72"/>
      <c r="AV22" s="68"/>
      <c r="AX22" s="68"/>
    </row>
    <row r="23" spans="1:50" s="54" customFormat="1" ht="15" customHeight="1">
      <c r="A23" s="113"/>
      <c r="B23" s="156" t="s">
        <v>792</v>
      </c>
      <c r="C23" s="115"/>
      <c r="D23" s="60">
        <v>1894</v>
      </c>
      <c r="E23" s="60">
        <v>-1703</v>
      </c>
      <c r="F23" s="60">
        <v>56</v>
      </c>
      <c r="G23" s="60">
        <v>-619</v>
      </c>
      <c r="H23" s="66">
        <v>-372</v>
      </c>
      <c r="I23" s="48"/>
      <c r="J23" s="60">
        <v>1023</v>
      </c>
      <c r="K23" s="60">
        <v>-280</v>
      </c>
      <c r="L23" s="60">
        <v>-90</v>
      </c>
      <c r="M23" s="60">
        <v>-751</v>
      </c>
      <c r="N23" s="66">
        <v>-98</v>
      </c>
      <c r="O23" s="48"/>
      <c r="P23" s="60">
        <v>1829</v>
      </c>
      <c r="Q23" s="60">
        <v>1522</v>
      </c>
      <c r="R23" s="60">
        <v>312</v>
      </c>
      <c r="S23" s="60">
        <v>-560</v>
      </c>
      <c r="T23" s="66">
        <v>1274</v>
      </c>
      <c r="U23" s="48"/>
      <c r="V23" s="60">
        <v>1217</v>
      </c>
      <c r="W23" s="60">
        <v>180</v>
      </c>
      <c r="X23" s="60">
        <v>334</v>
      </c>
      <c r="Y23" s="60">
        <v>-1580</v>
      </c>
      <c r="Z23" s="66">
        <v>151</v>
      </c>
      <c r="AA23" s="51"/>
      <c r="AB23" s="60">
        <v>1301</v>
      </c>
      <c r="AC23" s="60">
        <v>-249</v>
      </c>
      <c r="AD23" s="60">
        <v>-82</v>
      </c>
      <c r="AE23" s="60">
        <v>-1063</v>
      </c>
      <c r="AF23" s="66">
        <v>-93</v>
      </c>
      <c r="AG23" s="49"/>
      <c r="AH23" s="60">
        <v>1680</v>
      </c>
      <c r="AI23" s="60">
        <v>-180</v>
      </c>
      <c r="AJ23" s="50">
        <v>-6472</v>
      </c>
      <c r="AK23" s="50">
        <v>0</v>
      </c>
      <c r="AL23" s="66">
        <v>-4972</v>
      </c>
      <c r="AM23" s="72"/>
      <c r="AN23" s="50">
        <v>0</v>
      </c>
      <c r="AO23" s="50">
        <v>0</v>
      </c>
      <c r="AP23" s="50">
        <v>0</v>
      </c>
      <c r="AQ23" s="50">
        <v>0</v>
      </c>
      <c r="AR23" s="66">
        <v>0</v>
      </c>
      <c r="AS23" s="72"/>
      <c r="AT23" s="68"/>
      <c r="AU23" s="72"/>
      <c r="AV23" s="68"/>
      <c r="AX23" s="68"/>
    </row>
    <row r="24" spans="1:50" s="54" customFormat="1" ht="15" customHeight="1">
      <c r="A24" s="113"/>
      <c r="B24" s="156" t="s">
        <v>125</v>
      </c>
      <c r="C24" s="115"/>
      <c r="D24" s="60">
        <v>-777</v>
      </c>
      <c r="E24" s="60">
        <v>950</v>
      </c>
      <c r="F24" s="60">
        <v>-1109</v>
      </c>
      <c r="G24" s="60">
        <v>957</v>
      </c>
      <c r="H24" s="74">
        <v>21</v>
      </c>
      <c r="I24" s="48"/>
      <c r="J24" s="60">
        <v>-1352</v>
      </c>
      <c r="K24" s="60">
        <v>-661</v>
      </c>
      <c r="L24" s="60">
        <v>-1114</v>
      </c>
      <c r="M24" s="60">
        <v>2700</v>
      </c>
      <c r="N24" s="74">
        <v>-427</v>
      </c>
      <c r="O24" s="48"/>
      <c r="P24" s="60">
        <v>-1059</v>
      </c>
      <c r="Q24" s="60">
        <v>-139</v>
      </c>
      <c r="R24" s="60">
        <v>-1550</v>
      </c>
      <c r="S24" s="60">
        <v>479</v>
      </c>
      <c r="T24" s="74">
        <v>-1210</v>
      </c>
      <c r="U24" s="48"/>
      <c r="V24" s="60">
        <v>-609</v>
      </c>
      <c r="W24" s="60">
        <v>-431</v>
      </c>
      <c r="X24" s="60">
        <v>-880</v>
      </c>
      <c r="Y24" s="60">
        <v>1624</v>
      </c>
      <c r="Z24" s="74">
        <v>-296</v>
      </c>
      <c r="AA24" s="81"/>
      <c r="AB24" s="60">
        <v>-971</v>
      </c>
      <c r="AC24" s="60">
        <v>259</v>
      </c>
      <c r="AD24" s="60">
        <v>-402</v>
      </c>
      <c r="AE24" s="60">
        <v>1741</v>
      </c>
      <c r="AF24" s="74">
        <v>627</v>
      </c>
      <c r="AG24" s="82"/>
      <c r="AH24" s="60">
        <v>-1801</v>
      </c>
      <c r="AI24" s="60">
        <v>-486</v>
      </c>
      <c r="AJ24" s="50">
        <v>926</v>
      </c>
      <c r="AK24" s="50">
        <v>0</v>
      </c>
      <c r="AL24" s="74">
        <v>-1361</v>
      </c>
      <c r="AM24" s="83"/>
      <c r="AN24" s="50">
        <v>0</v>
      </c>
      <c r="AO24" s="50">
        <v>0</v>
      </c>
      <c r="AP24" s="50">
        <v>0</v>
      </c>
      <c r="AQ24" s="50">
        <v>0</v>
      </c>
      <c r="AR24" s="74">
        <v>0</v>
      </c>
      <c r="AS24" s="83"/>
      <c r="AT24" s="75"/>
      <c r="AU24" s="83"/>
      <c r="AV24" s="75"/>
      <c r="AX24" s="75"/>
    </row>
    <row r="25" spans="1:50" s="54" customFormat="1" ht="15" customHeight="1" thickBot="1">
      <c r="A25" s="84"/>
      <c r="B25" s="157" t="s">
        <v>816</v>
      </c>
      <c r="C25" s="26"/>
      <c r="D25" s="60">
        <v>2314</v>
      </c>
      <c r="E25" s="60">
        <v>2182</v>
      </c>
      <c r="F25" s="60">
        <v>1880</v>
      </c>
      <c r="G25" s="60">
        <v>1807</v>
      </c>
      <c r="H25" s="93">
        <v>8183</v>
      </c>
      <c r="I25" s="48"/>
      <c r="J25" s="60">
        <v>1748</v>
      </c>
      <c r="K25" s="60">
        <v>1268</v>
      </c>
      <c r="L25" s="60">
        <v>1937</v>
      </c>
      <c r="M25" s="60">
        <v>4268</v>
      </c>
      <c r="N25" s="93">
        <v>9221</v>
      </c>
      <c r="O25" s="48"/>
      <c r="P25" s="60">
        <v>1410</v>
      </c>
      <c r="Q25" s="60">
        <v>2741</v>
      </c>
      <c r="R25" s="60">
        <v>3133</v>
      </c>
      <c r="S25" s="60">
        <v>1928</v>
      </c>
      <c r="T25" s="93">
        <v>7802</v>
      </c>
      <c r="U25" s="48"/>
      <c r="V25" s="60">
        <v>1564</v>
      </c>
      <c r="W25" s="60">
        <v>1100</v>
      </c>
      <c r="X25" s="60">
        <v>2891</v>
      </c>
      <c r="Y25" s="60">
        <v>2365</v>
      </c>
      <c r="Z25" s="93">
        <v>7920</v>
      </c>
      <c r="AA25" s="81"/>
      <c r="AB25" s="60">
        <v>1635</v>
      </c>
      <c r="AC25" s="60">
        <v>1876</v>
      </c>
      <c r="AD25" s="60">
        <v>2438</v>
      </c>
      <c r="AE25" s="60">
        <v>1023</v>
      </c>
      <c r="AF25" s="93">
        <v>6972</v>
      </c>
      <c r="AG25" s="82"/>
      <c r="AH25" s="60">
        <v>1409</v>
      </c>
      <c r="AI25" s="60">
        <v>201</v>
      </c>
      <c r="AJ25" s="50"/>
      <c r="AK25" s="50"/>
      <c r="AL25" s="94"/>
      <c r="AM25" s="83"/>
      <c r="AN25" s="50"/>
      <c r="AO25" s="50"/>
      <c r="AP25" s="50"/>
      <c r="AQ25" s="50"/>
      <c r="AR25" s="94"/>
      <c r="AS25" s="83"/>
      <c r="AT25" s="94"/>
      <c r="AU25" s="83"/>
      <c r="AV25" s="94"/>
      <c r="AX25" s="94"/>
    </row>
    <row r="26" spans="1:50" s="54" customFormat="1" ht="15" customHeight="1" thickTop="1">
      <c r="A26" s="43"/>
      <c r="B26" s="154"/>
      <c r="C26" s="17"/>
      <c r="D26" s="46"/>
      <c r="E26" s="46"/>
      <c r="F26" s="46"/>
      <c r="G26" s="46"/>
      <c r="H26" s="66"/>
      <c r="I26" s="48"/>
      <c r="J26" s="46"/>
      <c r="K26" s="46"/>
      <c r="L26" s="46"/>
      <c r="M26" s="46"/>
      <c r="N26" s="66"/>
      <c r="O26" s="48"/>
      <c r="P26" s="46"/>
      <c r="Q26" s="46"/>
      <c r="R26" s="46"/>
      <c r="S26" s="46"/>
      <c r="T26" s="66"/>
      <c r="U26" s="48"/>
      <c r="V26" s="46"/>
      <c r="W26" s="46"/>
      <c r="X26" s="46"/>
      <c r="Y26" s="46"/>
      <c r="Z26" s="66"/>
      <c r="AA26" s="51"/>
      <c r="AB26" s="46"/>
      <c r="AC26" s="46"/>
      <c r="AD26" s="46"/>
      <c r="AE26" s="46"/>
      <c r="AF26" s="66"/>
      <c r="AG26" s="49"/>
      <c r="AH26" s="46"/>
      <c r="AI26" s="46"/>
      <c r="AJ26" s="50"/>
      <c r="AK26" s="50"/>
      <c r="AL26" s="68"/>
      <c r="AM26" s="72"/>
      <c r="AN26" s="50"/>
      <c r="AO26" s="50"/>
      <c r="AP26" s="50"/>
      <c r="AQ26" s="50"/>
      <c r="AR26" s="68"/>
      <c r="AS26" s="72"/>
      <c r="AT26" s="68"/>
      <c r="AU26" s="72"/>
      <c r="AV26" s="68"/>
      <c r="AX26" s="68"/>
    </row>
    <row r="27" spans="1:50" s="54" customFormat="1" ht="15" customHeight="1">
      <c r="A27" s="44" t="s">
        <v>41</v>
      </c>
      <c r="B27" s="158" t="s">
        <v>817</v>
      </c>
      <c r="C27" s="115"/>
      <c r="D27" s="46"/>
      <c r="E27" s="46"/>
      <c r="F27" s="46"/>
      <c r="G27" s="46"/>
      <c r="H27" s="66"/>
      <c r="I27" s="48"/>
      <c r="J27" s="46"/>
      <c r="K27" s="46"/>
      <c r="L27" s="46"/>
      <c r="M27" s="46"/>
      <c r="N27" s="66"/>
      <c r="O27" s="48"/>
      <c r="P27" s="46"/>
      <c r="Q27" s="46"/>
      <c r="R27" s="46"/>
      <c r="S27" s="46"/>
      <c r="T27" s="66"/>
      <c r="U27" s="48"/>
      <c r="V27" s="46"/>
      <c r="W27" s="46"/>
      <c r="X27" s="46"/>
      <c r="Y27" s="46"/>
      <c r="Z27" s="66"/>
      <c r="AA27" s="81"/>
      <c r="AB27" s="46"/>
      <c r="AC27" s="46"/>
      <c r="AD27" s="46"/>
      <c r="AE27" s="46"/>
      <c r="AF27" s="66"/>
      <c r="AG27" s="82"/>
      <c r="AH27" s="46"/>
      <c r="AI27" s="46"/>
      <c r="AJ27" s="50"/>
      <c r="AK27" s="50"/>
      <c r="AL27" s="68"/>
      <c r="AM27" s="83"/>
      <c r="AN27" s="50"/>
      <c r="AO27" s="50"/>
      <c r="AP27" s="50"/>
      <c r="AQ27" s="50"/>
      <c r="AR27" s="68"/>
      <c r="AS27" s="83"/>
      <c r="AT27" s="68"/>
      <c r="AU27" s="83"/>
      <c r="AV27" s="68"/>
      <c r="AX27" s="68"/>
    </row>
    <row r="28" spans="1:50" s="54" customFormat="1" ht="15" customHeight="1">
      <c r="A28" s="43"/>
      <c r="B28" s="159" t="s">
        <v>818</v>
      </c>
      <c r="C28" s="17"/>
      <c r="D28" s="60">
        <v>-293</v>
      </c>
      <c r="E28" s="60">
        <v>-343</v>
      </c>
      <c r="F28" s="60">
        <v>-408</v>
      </c>
      <c r="G28" s="60">
        <v>-722</v>
      </c>
      <c r="H28" s="66">
        <v>-1766</v>
      </c>
      <c r="I28" s="48"/>
      <c r="J28" s="60">
        <v>-281</v>
      </c>
      <c r="K28" s="60">
        <v>-318</v>
      </c>
      <c r="L28" s="60">
        <v>-316</v>
      </c>
      <c r="M28" s="60">
        <v>-607</v>
      </c>
      <c r="N28" s="66">
        <v>-1522</v>
      </c>
      <c r="O28" s="48"/>
      <c r="P28" s="60">
        <v>-268</v>
      </c>
      <c r="Q28" s="60">
        <v>-572</v>
      </c>
      <c r="R28" s="60">
        <v>-405</v>
      </c>
      <c r="S28" s="60">
        <v>-693</v>
      </c>
      <c r="T28" s="66">
        <v>-1670</v>
      </c>
      <c r="U28" s="48"/>
      <c r="V28" s="60">
        <v>-294</v>
      </c>
      <c r="W28" s="60">
        <v>-329</v>
      </c>
      <c r="X28" s="60">
        <v>-364</v>
      </c>
      <c r="Y28" s="60">
        <v>-704</v>
      </c>
      <c r="Z28" s="66">
        <v>-1691</v>
      </c>
      <c r="AA28" s="51"/>
      <c r="AB28" s="60">
        <v>-378</v>
      </c>
      <c r="AC28" s="60">
        <v>-370</v>
      </c>
      <c r="AD28" s="60">
        <v>-355</v>
      </c>
      <c r="AE28" s="60">
        <v>-582</v>
      </c>
      <c r="AF28" s="66">
        <v>-1685</v>
      </c>
      <c r="AG28" s="49"/>
      <c r="AH28" s="60">
        <v>-454</v>
      </c>
      <c r="AI28" s="60">
        <v>-351</v>
      </c>
      <c r="AJ28" s="50">
        <v>0</v>
      </c>
      <c r="AK28" s="50">
        <v>0</v>
      </c>
      <c r="AL28" s="68">
        <v>-805</v>
      </c>
      <c r="AM28" s="72"/>
      <c r="AN28" s="50">
        <v>0</v>
      </c>
      <c r="AO28" s="50">
        <v>0</v>
      </c>
      <c r="AP28" s="50">
        <v>0</v>
      </c>
      <c r="AQ28" s="50">
        <v>0</v>
      </c>
      <c r="AR28" s="68">
        <v>0</v>
      </c>
      <c r="AS28" s="72"/>
      <c r="AT28" s="68">
        <v>0</v>
      </c>
      <c r="AU28" s="72"/>
      <c r="AV28" s="68">
        <v>0</v>
      </c>
      <c r="AW28" s="355"/>
      <c r="AX28" s="68">
        <v>0</v>
      </c>
    </row>
    <row r="29" spans="1:50" s="54" customFormat="1" ht="15" customHeight="1">
      <c r="A29" s="113"/>
      <c r="B29" s="159" t="s">
        <v>819</v>
      </c>
      <c r="C29" s="115"/>
      <c r="D29" s="60">
        <v>0</v>
      </c>
      <c r="E29" s="60">
        <v>0</v>
      </c>
      <c r="F29" s="60">
        <v>0</v>
      </c>
      <c r="G29" s="60">
        <v>0</v>
      </c>
      <c r="H29" s="66">
        <v>0</v>
      </c>
      <c r="I29" s="48"/>
      <c r="J29" s="60">
        <v>0</v>
      </c>
      <c r="K29" s="60">
        <v>0</v>
      </c>
      <c r="L29" s="60">
        <v>0</v>
      </c>
      <c r="M29" s="60">
        <v>0</v>
      </c>
      <c r="N29" s="66">
        <v>0</v>
      </c>
      <c r="O29" s="48"/>
      <c r="P29" s="60">
        <v>0</v>
      </c>
      <c r="Q29" s="60">
        <v>0</v>
      </c>
      <c r="R29" s="60">
        <v>0</v>
      </c>
      <c r="S29" s="60">
        <v>0</v>
      </c>
      <c r="T29" s="66">
        <v>0</v>
      </c>
      <c r="U29" s="48"/>
      <c r="V29" s="60">
        <v>0</v>
      </c>
      <c r="W29" s="60">
        <v>0</v>
      </c>
      <c r="X29" s="60">
        <v>0</v>
      </c>
      <c r="Y29" s="60">
        <v>0</v>
      </c>
      <c r="Z29" s="66">
        <v>0</v>
      </c>
      <c r="AA29" s="81"/>
      <c r="AB29" s="60">
        <v>0</v>
      </c>
      <c r="AC29" s="60">
        <v>0</v>
      </c>
      <c r="AD29" s="60">
        <v>0</v>
      </c>
      <c r="AE29" s="60">
        <v>0</v>
      </c>
      <c r="AF29" s="66">
        <v>0</v>
      </c>
      <c r="AG29" s="82"/>
      <c r="AH29" s="60">
        <v>0</v>
      </c>
      <c r="AI29" s="60">
        <v>0</v>
      </c>
      <c r="AJ29" s="50">
        <v>0</v>
      </c>
      <c r="AK29" s="50">
        <v>0</v>
      </c>
      <c r="AL29" s="68">
        <v>0</v>
      </c>
      <c r="AM29" s="83"/>
      <c r="AN29" s="50">
        <v>0</v>
      </c>
      <c r="AO29" s="50">
        <v>0</v>
      </c>
      <c r="AP29" s="50">
        <v>0</v>
      </c>
      <c r="AQ29" s="50">
        <v>0</v>
      </c>
      <c r="AR29" s="68">
        <v>0</v>
      </c>
      <c r="AS29" s="83"/>
      <c r="AT29" s="68">
        <v>0</v>
      </c>
      <c r="AU29" s="83"/>
      <c r="AV29" s="68">
        <v>0</v>
      </c>
      <c r="AX29" s="68">
        <v>0</v>
      </c>
    </row>
    <row r="30" spans="1:50" s="54" customFormat="1" ht="15" customHeight="1">
      <c r="A30" s="43"/>
      <c r="B30" s="159" t="s">
        <v>820</v>
      </c>
      <c r="C30" s="17"/>
      <c r="D30" s="60">
        <v>0</v>
      </c>
      <c r="E30" s="60">
        <v>0</v>
      </c>
      <c r="F30" s="60">
        <v>0</v>
      </c>
      <c r="G30" s="60">
        <v>0</v>
      </c>
      <c r="H30" s="66">
        <v>0</v>
      </c>
      <c r="I30" s="48"/>
      <c r="J30" s="60">
        <v>0</v>
      </c>
      <c r="K30" s="60">
        <v>0</v>
      </c>
      <c r="L30" s="60">
        <v>0</v>
      </c>
      <c r="M30" s="60">
        <v>0</v>
      </c>
      <c r="N30" s="66">
        <v>0</v>
      </c>
      <c r="O30" s="48"/>
      <c r="P30" s="60">
        <v>0</v>
      </c>
      <c r="Q30" s="60">
        <v>0</v>
      </c>
      <c r="R30" s="60">
        <v>0</v>
      </c>
      <c r="S30" s="60">
        <v>0</v>
      </c>
      <c r="T30" s="66">
        <v>0</v>
      </c>
      <c r="U30" s="48"/>
      <c r="V30" s="60">
        <v>0</v>
      </c>
      <c r="W30" s="60">
        <v>0</v>
      </c>
      <c r="X30" s="60">
        <v>0</v>
      </c>
      <c r="Y30" s="60">
        <v>0</v>
      </c>
      <c r="Z30" s="66">
        <v>0</v>
      </c>
      <c r="AA30" s="51"/>
      <c r="AB30" s="60">
        <v>0</v>
      </c>
      <c r="AC30" s="60">
        <v>0</v>
      </c>
      <c r="AD30" s="60">
        <v>0</v>
      </c>
      <c r="AE30" s="60">
        <v>0</v>
      </c>
      <c r="AF30" s="66">
        <v>0</v>
      </c>
      <c r="AG30" s="49"/>
      <c r="AH30" s="60">
        <v>0</v>
      </c>
      <c r="AI30" s="60">
        <v>0</v>
      </c>
      <c r="AJ30" s="50"/>
      <c r="AK30" s="50"/>
      <c r="AL30" s="68"/>
      <c r="AM30" s="72"/>
      <c r="AN30" s="50"/>
      <c r="AO30" s="50"/>
      <c r="AP30" s="50"/>
      <c r="AQ30" s="50"/>
      <c r="AR30" s="68"/>
      <c r="AS30" s="72"/>
      <c r="AT30" s="68"/>
      <c r="AU30" s="72"/>
      <c r="AV30" s="68"/>
      <c r="AX30" s="68"/>
    </row>
    <row r="31" spans="1:50" s="54" customFormat="1" ht="15" customHeight="1">
      <c r="A31" s="113"/>
      <c r="B31" s="159" t="s">
        <v>821</v>
      </c>
      <c r="C31" s="115"/>
      <c r="D31" s="60">
        <v>0</v>
      </c>
      <c r="E31" s="60">
        <v>0</v>
      </c>
      <c r="F31" s="60">
        <v>0</v>
      </c>
      <c r="G31" s="60">
        <v>0</v>
      </c>
      <c r="H31" s="66">
        <v>0</v>
      </c>
      <c r="I31" s="48"/>
      <c r="J31" s="60">
        <v>0</v>
      </c>
      <c r="K31" s="60">
        <v>0</v>
      </c>
      <c r="L31" s="60">
        <v>0</v>
      </c>
      <c r="M31" s="60">
        <v>0</v>
      </c>
      <c r="N31" s="66">
        <v>0</v>
      </c>
      <c r="O31" s="48"/>
      <c r="P31" s="60">
        <v>0</v>
      </c>
      <c r="Q31" s="60">
        <v>0</v>
      </c>
      <c r="R31" s="60">
        <v>0</v>
      </c>
      <c r="S31" s="60">
        <v>0</v>
      </c>
      <c r="T31" s="66">
        <v>0</v>
      </c>
      <c r="U31" s="48"/>
      <c r="V31" s="60">
        <v>0</v>
      </c>
      <c r="W31" s="60">
        <v>0</v>
      </c>
      <c r="X31" s="60">
        <v>0</v>
      </c>
      <c r="Y31" s="60">
        <v>0</v>
      </c>
      <c r="Z31" s="66">
        <v>0</v>
      </c>
      <c r="AA31" s="81"/>
      <c r="AB31" s="60">
        <v>0</v>
      </c>
      <c r="AC31" s="60">
        <v>0</v>
      </c>
      <c r="AD31" s="60">
        <v>0</v>
      </c>
      <c r="AE31" s="60">
        <v>0</v>
      </c>
      <c r="AF31" s="66">
        <v>0</v>
      </c>
      <c r="AG31" s="82"/>
      <c r="AH31" s="60">
        <v>0</v>
      </c>
      <c r="AI31" s="60">
        <v>0</v>
      </c>
      <c r="AJ31" s="50"/>
      <c r="AK31" s="50"/>
      <c r="AL31" s="68"/>
      <c r="AM31" s="89"/>
      <c r="AN31" s="50"/>
      <c r="AO31" s="50"/>
      <c r="AP31" s="50"/>
      <c r="AQ31" s="50"/>
      <c r="AR31" s="68"/>
      <c r="AS31" s="89"/>
      <c r="AT31" s="68"/>
      <c r="AU31" s="89"/>
      <c r="AV31" s="68"/>
      <c r="AX31" s="68"/>
    </row>
    <row r="32" spans="1:50" s="54" customFormat="1" ht="15" customHeight="1">
      <c r="A32" s="113"/>
      <c r="B32" s="159" t="s">
        <v>822</v>
      </c>
      <c r="C32" s="115"/>
      <c r="D32" s="60">
        <v>0</v>
      </c>
      <c r="E32" s="60">
        <v>0</v>
      </c>
      <c r="F32" s="60">
        <v>0</v>
      </c>
      <c r="G32" s="60">
        <v>0</v>
      </c>
      <c r="H32" s="66">
        <v>0</v>
      </c>
      <c r="I32" s="48"/>
      <c r="J32" s="60">
        <v>0</v>
      </c>
      <c r="K32" s="60">
        <v>0</v>
      </c>
      <c r="L32" s="60">
        <v>0</v>
      </c>
      <c r="M32" s="60">
        <v>0</v>
      </c>
      <c r="N32" s="66">
        <v>0</v>
      </c>
      <c r="O32" s="48"/>
      <c r="P32" s="60">
        <v>0</v>
      </c>
      <c r="Q32" s="60">
        <v>0</v>
      </c>
      <c r="R32" s="60">
        <v>0</v>
      </c>
      <c r="S32" s="60">
        <v>0</v>
      </c>
      <c r="T32" s="66">
        <v>0</v>
      </c>
      <c r="U32" s="48"/>
      <c r="V32" s="60">
        <v>0</v>
      </c>
      <c r="W32" s="60">
        <v>0</v>
      </c>
      <c r="X32" s="60">
        <v>0</v>
      </c>
      <c r="Y32" s="60">
        <v>0</v>
      </c>
      <c r="Z32" s="66">
        <v>0</v>
      </c>
      <c r="AA32" s="81"/>
      <c r="AB32" s="60">
        <v>0</v>
      </c>
      <c r="AC32" s="60">
        <v>0</v>
      </c>
      <c r="AD32" s="60">
        <v>0</v>
      </c>
      <c r="AE32" s="60">
        <v>0</v>
      </c>
      <c r="AF32" s="66">
        <v>0</v>
      </c>
      <c r="AG32" s="82"/>
      <c r="AH32" s="60">
        <v>0</v>
      </c>
      <c r="AI32" s="60">
        <v>0</v>
      </c>
      <c r="AJ32" s="50"/>
      <c r="AK32" s="50"/>
      <c r="AL32" s="68"/>
      <c r="AM32" s="89"/>
      <c r="AN32" s="50"/>
      <c r="AO32" s="50"/>
      <c r="AP32" s="50"/>
      <c r="AQ32" s="50"/>
      <c r="AR32" s="68"/>
      <c r="AS32" s="89"/>
      <c r="AT32" s="68"/>
      <c r="AU32" s="89"/>
      <c r="AV32" s="68"/>
      <c r="AX32" s="68"/>
    </row>
    <row r="33" spans="1:38" s="54" customFormat="1" ht="15" customHeight="1">
      <c r="A33" s="113"/>
      <c r="B33" s="159" t="s">
        <v>823</v>
      </c>
      <c r="C33" s="17"/>
      <c r="D33" s="60">
        <v>0</v>
      </c>
      <c r="E33" s="60">
        <v>0</v>
      </c>
      <c r="F33" s="60">
        <v>0</v>
      </c>
      <c r="G33" s="60">
        <v>0</v>
      </c>
      <c r="H33" s="66">
        <v>0</v>
      </c>
      <c r="I33" s="48"/>
      <c r="J33" s="60">
        <v>0</v>
      </c>
      <c r="K33" s="60">
        <v>0</v>
      </c>
      <c r="L33" s="60">
        <v>0</v>
      </c>
      <c r="M33" s="60">
        <v>0</v>
      </c>
      <c r="N33" s="66">
        <v>0</v>
      </c>
      <c r="O33" s="48"/>
      <c r="P33" s="60">
        <v>0</v>
      </c>
      <c r="Q33" s="60">
        <v>0</v>
      </c>
      <c r="R33" s="60">
        <v>0</v>
      </c>
      <c r="S33" s="60">
        <v>0</v>
      </c>
      <c r="T33" s="66">
        <v>0</v>
      </c>
      <c r="U33" s="48"/>
      <c r="V33" s="60">
        <v>0</v>
      </c>
      <c r="W33" s="60">
        <v>0</v>
      </c>
      <c r="X33" s="60">
        <v>0</v>
      </c>
      <c r="Y33" s="60">
        <v>0</v>
      </c>
      <c r="Z33" s="66">
        <v>0</v>
      </c>
      <c r="AA33" s="51"/>
      <c r="AB33" s="60">
        <v>0</v>
      </c>
      <c r="AC33" s="60">
        <v>0</v>
      </c>
      <c r="AD33" s="60">
        <v>0</v>
      </c>
      <c r="AE33" s="60">
        <v>0</v>
      </c>
      <c r="AF33" s="66">
        <v>0</v>
      </c>
      <c r="AG33" s="49"/>
      <c r="AH33" s="60">
        <v>0</v>
      </c>
      <c r="AI33" s="60">
        <v>0</v>
      </c>
      <c r="AJ33" s="50"/>
      <c r="AK33" s="50"/>
      <c r="AL33" s="68"/>
    </row>
    <row r="34" spans="1:38" s="54" customFormat="1" ht="15" customHeight="1">
      <c r="A34" s="43"/>
      <c r="B34" s="159" t="s">
        <v>824</v>
      </c>
      <c r="C34" s="17"/>
      <c r="D34" s="60">
        <v>0</v>
      </c>
      <c r="E34" s="60">
        <v>0</v>
      </c>
      <c r="F34" s="60">
        <v>0</v>
      </c>
      <c r="G34" s="60">
        <v>0</v>
      </c>
      <c r="H34" s="66">
        <v>0</v>
      </c>
      <c r="I34" s="48"/>
      <c r="J34" s="60">
        <v>0</v>
      </c>
      <c r="K34" s="60">
        <v>0</v>
      </c>
      <c r="L34" s="60">
        <v>0</v>
      </c>
      <c r="M34" s="60">
        <v>0</v>
      </c>
      <c r="N34" s="66">
        <v>0</v>
      </c>
      <c r="O34" s="48"/>
      <c r="P34" s="60">
        <v>0</v>
      </c>
      <c r="Q34" s="60">
        <v>0</v>
      </c>
      <c r="R34" s="60">
        <v>0</v>
      </c>
      <c r="S34" s="60">
        <v>0</v>
      </c>
      <c r="T34" s="66">
        <v>0</v>
      </c>
      <c r="U34" s="48"/>
      <c r="V34" s="60">
        <v>0</v>
      </c>
      <c r="W34" s="60">
        <v>0</v>
      </c>
      <c r="X34" s="60">
        <v>0</v>
      </c>
      <c r="Y34" s="60">
        <v>0</v>
      </c>
      <c r="Z34" s="66">
        <v>0</v>
      </c>
      <c r="AA34" s="51"/>
      <c r="AB34" s="60">
        <v>0</v>
      </c>
      <c r="AC34" s="60">
        <v>0</v>
      </c>
      <c r="AD34" s="60">
        <v>0</v>
      </c>
      <c r="AE34" s="60">
        <v>0</v>
      </c>
      <c r="AF34" s="66">
        <v>0</v>
      </c>
      <c r="AG34" s="49"/>
      <c r="AH34" s="60">
        <v>0</v>
      </c>
      <c r="AI34" s="60">
        <v>0</v>
      </c>
      <c r="AJ34" s="50"/>
      <c r="AK34" s="50"/>
      <c r="AL34" s="68"/>
    </row>
    <row r="35" spans="1:38" s="54" customFormat="1" ht="15" customHeight="1">
      <c r="B35" s="159" t="s">
        <v>825</v>
      </c>
      <c r="C35" s="115"/>
      <c r="D35" s="60">
        <v>-2</v>
      </c>
      <c r="E35" s="60">
        <v>6</v>
      </c>
      <c r="F35" s="60">
        <v>23</v>
      </c>
      <c r="G35" s="60">
        <v>-271</v>
      </c>
      <c r="H35" s="74">
        <v>-244</v>
      </c>
      <c r="I35" s="48"/>
      <c r="J35" s="60">
        <v>112</v>
      </c>
      <c r="K35" s="60">
        <v>98</v>
      </c>
      <c r="L35" s="60">
        <v>86</v>
      </c>
      <c r="M35" s="60">
        <v>65</v>
      </c>
      <c r="N35" s="74">
        <v>361</v>
      </c>
      <c r="O35" s="48"/>
      <c r="P35" s="60">
        <v>17</v>
      </c>
      <c r="Q35" s="60">
        <v>-11</v>
      </c>
      <c r="R35" s="60">
        <v>7</v>
      </c>
      <c r="S35" s="60">
        <v>-115</v>
      </c>
      <c r="T35" s="74">
        <v>-119</v>
      </c>
      <c r="U35" s="48"/>
      <c r="V35" s="60">
        <v>35</v>
      </c>
      <c r="W35" s="60">
        <v>-5</v>
      </c>
      <c r="X35" s="60">
        <v>-34</v>
      </c>
      <c r="Y35" s="60">
        <v>1</v>
      </c>
      <c r="Z35" s="74">
        <v>-3</v>
      </c>
      <c r="AA35" s="81"/>
      <c r="AB35" s="60">
        <v>6</v>
      </c>
      <c r="AC35" s="60">
        <v>-2</v>
      </c>
      <c r="AD35" s="60">
        <v>145</v>
      </c>
      <c r="AE35" s="60">
        <v>-256</v>
      </c>
      <c r="AF35" s="74">
        <v>-107</v>
      </c>
      <c r="AG35" s="82"/>
      <c r="AH35" s="60">
        <v>24</v>
      </c>
      <c r="AI35" s="60">
        <v>-364</v>
      </c>
      <c r="AJ35" s="50"/>
      <c r="AK35" s="50"/>
      <c r="AL35" s="75"/>
    </row>
    <row r="36" spans="1:38" s="54" customFormat="1" ht="15" customHeight="1" thickBot="1">
      <c r="A36" s="113"/>
      <c r="B36" s="160" t="s">
        <v>826</v>
      </c>
      <c r="C36" s="17"/>
      <c r="D36" s="60">
        <v>-295</v>
      </c>
      <c r="E36" s="60">
        <v>-337</v>
      </c>
      <c r="F36" s="60">
        <v>-385</v>
      </c>
      <c r="G36" s="60">
        <v>-993</v>
      </c>
      <c r="H36" s="93">
        <v>-2010</v>
      </c>
      <c r="I36" s="48"/>
      <c r="J36" s="60">
        <v>-169</v>
      </c>
      <c r="K36" s="60">
        <v>-220</v>
      </c>
      <c r="L36" s="60">
        <v>-230</v>
      </c>
      <c r="M36" s="60">
        <v>-542</v>
      </c>
      <c r="N36" s="93">
        <v>-1161</v>
      </c>
      <c r="O36" s="48"/>
      <c r="P36" s="60">
        <v>-251</v>
      </c>
      <c r="Q36" s="60">
        <v>-583</v>
      </c>
      <c r="R36" s="60">
        <v>-398</v>
      </c>
      <c r="S36" s="60">
        <v>-808</v>
      </c>
      <c r="T36" s="93">
        <v>-1789</v>
      </c>
      <c r="U36" s="48"/>
      <c r="V36" s="60">
        <v>-259</v>
      </c>
      <c r="W36" s="60">
        <v>-334</v>
      </c>
      <c r="X36" s="60">
        <v>-398</v>
      </c>
      <c r="Y36" s="60">
        <v>-703</v>
      </c>
      <c r="Z36" s="93">
        <v>-1694</v>
      </c>
      <c r="AA36" s="51"/>
      <c r="AB36" s="60">
        <v>-372</v>
      </c>
      <c r="AC36" s="60">
        <v>-372</v>
      </c>
      <c r="AD36" s="60">
        <v>-210</v>
      </c>
      <c r="AE36" s="60">
        <v>-838</v>
      </c>
      <c r="AF36" s="93">
        <v>-1792</v>
      </c>
      <c r="AG36" s="49"/>
      <c r="AH36" s="60">
        <v>-430</v>
      </c>
      <c r="AI36" s="60">
        <v>-715</v>
      </c>
      <c r="AJ36" s="50"/>
      <c r="AK36" s="50"/>
      <c r="AL36" s="94"/>
    </row>
    <row r="37" spans="1:38" s="54" customFormat="1" ht="15" customHeight="1" thickTop="1">
      <c r="A37" s="43"/>
      <c r="B37" s="154"/>
      <c r="C37" s="115"/>
      <c r="D37" s="46"/>
      <c r="E37" s="46"/>
      <c r="F37" s="46"/>
      <c r="G37" s="46"/>
      <c r="H37" s="66"/>
      <c r="I37" s="48"/>
      <c r="J37" s="46"/>
      <c r="K37" s="46"/>
      <c r="L37" s="46"/>
      <c r="M37" s="46"/>
      <c r="N37" s="66"/>
      <c r="O37" s="48"/>
      <c r="P37" s="46"/>
      <c r="Q37" s="46"/>
      <c r="R37" s="46"/>
      <c r="S37" s="46"/>
      <c r="T37" s="66"/>
      <c r="U37" s="48"/>
      <c r="V37" s="46"/>
      <c r="W37" s="46"/>
      <c r="X37" s="46"/>
      <c r="Y37" s="46"/>
      <c r="Z37" s="66"/>
      <c r="AA37" s="86"/>
      <c r="AB37" s="46"/>
      <c r="AC37" s="46"/>
      <c r="AD37" s="46"/>
      <c r="AE37" s="46"/>
      <c r="AF37" s="66"/>
      <c r="AG37" s="82"/>
      <c r="AH37" s="46"/>
      <c r="AI37" s="46"/>
      <c r="AJ37" s="50"/>
      <c r="AK37" s="50"/>
      <c r="AL37" s="68"/>
    </row>
    <row r="38" spans="1:38" s="54" customFormat="1" ht="15" customHeight="1">
      <c r="A38" s="44" t="s">
        <v>41</v>
      </c>
      <c r="B38" s="158" t="s">
        <v>827</v>
      </c>
      <c r="C38" s="27"/>
      <c r="D38" s="46"/>
      <c r="E38" s="46"/>
      <c r="F38" s="46"/>
      <c r="G38" s="46"/>
      <c r="H38" s="66"/>
      <c r="I38" s="48"/>
      <c r="J38" s="46"/>
      <c r="K38" s="46"/>
      <c r="L38" s="46"/>
      <c r="M38" s="46"/>
      <c r="N38" s="66"/>
      <c r="O38" s="48"/>
      <c r="P38" s="46"/>
      <c r="Q38" s="46"/>
      <c r="R38" s="46"/>
      <c r="S38" s="46"/>
      <c r="T38" s="66"/>
      <c r="U38" s="48"/>
      <c r="V38" s="46"/>
      <c r="W38" s="46"/>
      <c r="X38" s="46"/>
      <c r="Y38" s="46"/>
      <c r="Z38" s="66"/>
      <c r="AA38" s="51"/>
      <c r="AB38" s="46"/>
      <c r="AC38" s="46"/>
      <c r="AD38" s="46"/>
      <c r="AE38" s="46"/>
      <c r="AF38" s="66"/>
      <c r="AG38" s="49"/>
      <c r="AH38" s="46"/>
      <c r="AI38" s="46"/>
      <c r="AJ38" s="50"/>
      <c r="AK38" s="50"/>
      <c r="AL38" s="68"/>
    </row>
    <row r="39" spans="1:38" s="54" customFormat="1" ht="15" customHeight="1">
      <c r="A39" s="113"/>
      <c r="B39" s="159" t="s">
        <v>828</v>
      </c>
      <c r="C39" s="115"/>
      <c r="D39" s="60">
        <v>-693</v>
      </c>
      <c r="E39" s="60">
        <v>-671</v>
      </c>
      <c r="F39" s="60">
        <v>-672</v>
      </c>
      <c r="G39" s="60">
        <v>-728</v>
      </c>
      <c r="H39" s="66">
        <v>-2764</v>
      </c>
      <c r="I39" s="48"/>
      <c r="J39" s="60">
        <v>-739</v>
      </c>
      <c r="K39" s="60">
        <v>-721</v>
      </c>
      <c r="L39" s="60">
        <v>-718</v>
      </c>
      <c r="M39" s="60">
        <v>-762</v>
      </c>
      <c r="N39" s="66">
        <v>-2940</v>
      </c>
      <c r="O39" s="48"/>
      <c r="P39" s="60">
        <v>-767</v>
      </c>
      <c r="Q39" s="60">
        <v>-1511</v>
      </c>
      <c r="R39" s="60">
        <v>-739</v>
      </c>
      <c r="S39" s="60">
        <v>-766</v>
      </c>
      <c r="T39" s="66">
        <v>-3016</v>
      </c>
      <c r="U39" s="48"/>
      <c r="V39" s="60">
        <v>-784</v>
      </c>
      <c r="W39" s="60">
        <v>-758</v>
      </c>
      <c r="X39" s="60">
        <v>-747</v>
      </c>
      <c r="Y39" s="60">
        <v>-767</v>
      </c>
      <c r="Z39" s="66">
        <v>-3056</v>
      </c>
      <c r="AA39" s="51"/>
      <c r="AB39" s="60">
        <v>-780</v>
      </c>
      <c r="AC39" s="60">
        <v>-752</v>
      </c>
      <c r="AD39" s="60">
        <v>-749</v>
      </c>
      <c r="AE39" s="60">
        <v>-778</v>
      </c>
      <c r="AF39" s="66">
        <v>-3059</v>
      </c>
      <c r="AG39" s="49"/>
      <c r="AH39" s="60">
        <v>-796</v>
      </c>
      <c r="AI39" s="60">
        <v>-771</v>
      </c>
      <c r="AJ39" s="50"/>
      <c r="AK39" s="50"/>
      <c r="AL39" s="68"/>
    </row>
    <row r="40" spans="1:38" s="54" customFormat="1" ht="15" customHeight="1">
      <c r="A40" s="113"/>
      <c r="B40" s="159" t="s">
        <v>829</v>
      </c>
      <c r="C40" s="115"/>
      <c r="D40" s="60">
        <v>-756</v>
      </c>
      <c r="E40" s="60">
        <v>-259</v>
      </c>
      <c r="F40" s="60">
        <v>-85</v>
      </c>
      <c r="G40" s="60">
        <v>0</v>
      </c>
      <c r="H40" s="66">
        <v>-1100</v>
      </c>
      <c r="I40" s="48"/>
      <c r="J40" s="60">
        <v>-1000</v>
      </c>
      <c r="K40" s="60">
        <v>-500</v>
      </c>
      <c r="L40" s="60">
        <v>-500</v>
      </c>
      <c r="M40" s="60">
        <v>-2087</v>
      </c>
      <c r="N40" s="66">
        <v>-4087</v>
      </c>
      <c r="O40" s="48"/>
      <c r="P40" s="60">
        <v>-2000</v>
      </c>
      <c r="Q40" s="60">
        <v>-2356</v>
      </c>
      <c r="R40" s="60">
        <v>-1338</v>
      </c>
      <c r="S40" s="60">
        <v>-4206</v>
      </c>
      <c r="T40" s="66">
        <v>-7900</v>
      </c>
      <c r="U40" s="48"/>
      <c r="V40" s="60">
        <v>-500</v>
      </c>
      <c r="W40" s="60">
        <v>-750</v>
      </c>
      <c r="X40" s="60">
        <v>-1750</v>
      </c>
      <c r="Y40" s="60">
        <v>-3000</v>
      </c>
      <c r="Z40" s="66">
        <v>-6000</v>
      </c>
      <c r="AA40" s="51"/>
      <c r="AB40" s="60">
        <v>-1000</v>
      </c>
      <c r="AC40" s="60">
        <v>-850</v>
      </c>
      <c r="AD40" s="60">
        <v>-850</v>
      </c>
      <c r="AE40" s="60">
        <v>-1000</v>
      </c>
      <c r="AF40" s="66">
        <v>-3700</v>
      </c>
      <c r="AG40" s="49"/>
      <c r="AH40" s="60">
        <v>-750</v>
      </c>
      <c r="AI40" s="60">
        <v>-500</v>
      </c>
      <c r="AJ40" s="50"/>
      <c r="AK40" s="50"/>
      <c r="AL40" s="68"/>
    </row>
    <row r="41" spans="1:38" s="54" customFormat="1" ht="15" customHeight="1">
      <c r="A41" s="113"/>
      <c r="B41" s="159" t="s">
        <v>830</v>
      </c>
      <c r="C41" s="115"/>
      <c r="D41" s="60">
        <v>0</v>
      </c>
      <c r="E41" s="60">
        <v>0</v>
      </c>
      <c r="F41" s="60">
        <v>0</v>
      </c>
      <c r="G41" s="60">
        <v>0</v>
      </c>
      <c r="H41" s="66">
        <v>0</v>
      </c>
      <c r="I41" s="48"/>
      <c r="J41" s="60">
        <v>0</v>
      </c>
      <c r="K41" s="60">
        <v>0</v>
      </c>
      <c r="L41" s="60">
        <v>0</v>
      </c>
      <c r="M41" s="60">
        <v>0</v>
      </c>
      <c r="N41" s="66">
        <v>0</v>
      </c>
      <c r="O41" s="48"/>
      <c r="P41" s="60">
        <v>0</v>
      </c>
      <c r="Q41" s="60">
        <v>0</v>
      </c>
      <c r="R41" s="60">
        <v>0</v>
      </c>
      <c r="S41" s="60">
        <v>0</v>
      </c>
      <c r="T41" s="66">
        <v>0</v>
      </c>
      <c r="U41" s="48"/>
      <c r="V41" s="60">
        <v>0</v>
      </c>
      <c r="W41" s="60">
        <v>0</v>
      </c>
      <c r="X41" s="60">
        <v>0</v>
      </c>
      <c r="Y41" s="60">
        <v>0</v>
      </c>
      <c r="Z41" s="66">
        <v>0</v>
      </c>
      <c r="AA41" s="51"/>
      <c r="AB41" s="60">
        <v>0</v>
      </c>
      <c r="AC41" s="60">
        <v>0</v>
      </c>
      <c r="AD41" s="60">
        <v>0</v>
      </c>
      <c r="AE41" s="60">
        <v>0</v>
      </c>
      <c r="AF41" s="66">
        <v>0</v>
      </c>
      <c r="AG41" s="49"/>
      <c r="AH41" s="60">
        <v>0</v>
      </c>
      <c r="AI41" s="60">
        <v>1449</v>
      </c>
      <c r="AJ41" s="50"/>
      <c r="AK41" s="50"/>
      <c r="AL41" s="68"/>
    </row>
    <row r="42" spans="1:38" s="54" customFormat="1" ht="15" customHeight="1">
      <c r="A42" s="142"/>
      <c r="B42" s="159" t="s">
        <v>831</v>
      </c>
      <c r="C42" s="27"/>
      <c r="D42" s="60">
        <v>0</v>
      </c>
      <c r="E42" s="60">
        <v>1131</v>
      </c>
      <c r="F42" s="60">
        <v>0</v>
      </c>
      <c r="G42" s="60">
        <v>0</v>
      </c>
      <c r="H42" s="66">
        <v>1131</v>
      </c>
      <c r="I42" s="48"/>
      <c r="J42" s="60">
        <v>0</v>
      </c>
      <c r="K42" s="60">
        <v>0</v>
      </c>
      <c r="L42" s="60">
        <v>0</v>
      </c>
      <c r="M42" s="60">
        <v>0</v>
      </c>
      <c r="N42" s="66">
        <v>0</v>
      </c>
      <c r="O42" s="48"/>
      <c r="P42" s="60">
        <v>0</v>
      </c>
      <c r="Q42" s="60">
        <v>2267</v>
      </c>
      <c r="R42" s="60">
        <v>0</v>
      </c>
      <c r="S42" s="60">
        <v>3944</v>
      </c>
      <c r="T42" s="66">
        <v>6211</v>
      </c>
      <c r="U42" s="48"/>
      <c r="V42" s="60">
        <v>0</v>
      </c>
      <c r="W42" s="60">
        <v>1975</v>
      </c>
      <c r="X42" s="60">
        <v>0</v>
      </c>
      <c r="Y42" s="60">
        <v>0</v>
      </c>
      <c r="Z42" s="66">
        <v>1975</v>
      </c>
      <c r="AA42" s="51"/>
      <c r="AB42" s="60">
        <v>1980</v>
      </c>
      <c r="AC42" s="60">
        <v>0</v>
      </c>
      <c r="AD42" s="60">
        <v>0</v>
      </c>
      <c r="AE42" s="60">
        <v>990</v>
      </c>
      <c r="AF42" s="66">
        <v>2970</v>
      </c>
      <c r="AG42" s="49"/>
      <c r="AH42" s="60">
        <v>0</v>
      </c>
      <c r="AI42" s="60">
        <v>0</v>
      </c>
      <c r="AJ42" s="50"/>
      <c r="AK42" s="50"/>
      <c r="AL42" s="68"/>
    </row>
    <row r="43" spans="1:38" s="54" customFormat="1" ht="15" customHeight="1">
      <c r="A43" s="113"/>
      <c r="B43" s="159" t="s">
        <v>832</v>
      </c>
      <c r="C43" s="115"/>
      <c r="D43" s="60">
        <v>0</v>
      </c>
      <c r="E43" s="60">
        <v>-1150</v>
      </c>
      <c r="F43" s="60">
        <v>0</v>
      </c>
      <c r="G43" s="60">
        <v>-500</v>
      </c>
      <c r="H43" s="66">
        <v>-1650</v>
      </c>
      <c r="I43" s="48"/>
      <c r="J43" s="60">
        <v>0</v>
      </c>
      <c r="K43" s="60">
        <v>0</v>
      </c>
      <c r="L43" s="60">
        <v>-500</v>
      </c>
      <c r="M43" s="60">
        <v>0</v>
      </c>
      <c r="N43" s="66">
        <v>-500</v>
      </c>
      <c r="O43" s="48"/>
      <c r="P43" s="60">
        <v>0</v>
      </c>
      <c r="Q43" s="60">
        <v>-2250</v>
      </c>
      <c r="R43" s="60">
        <v>0</v>
      </c>
      <c r="S43" s="60">
        <v>0</v>
      </c>
      <c r="T43" s="66">
        <v>-2250</v>
      </c>
      <c r="U43" s="48"/>
      <c r="V43" s="60">
        <v>0</v>
      </c>
      <c r="W43" s="60">
        <v>0</v>
      </c>
      <c r="X43" s="60">
        <v>-115</v>
      </c>
      <c r="Y43" s="60">
        <v>0</v>
      </c>
      <c r="Z43" s="66">
        <v>-115</v>
      </c>
      <c r="AA43" s="51"/>
      <c r="AB43" s="60">
        <v>0</v>
      </c>
      <c r="AC43" s="60">
        <v>-168</v>
      </c>
      <c r="AD43" s="60">
        <v>0</v>
      </c>
      <c r="AE43" s="60">
        <v>0</v>
      </c>
      <c r="AF43" s="66">
        <v>-168</v>
      </c>
      <c r="AG43" s="49"/>
      <c r="AH43" s="60">
        <v>0</v>
      </c>
      <c r="AI43" s="60">
        <v>-142</v>
      </c>
      <c r="AJ43" s="50"/>
      <c r="AK43" s="50"/>
      <c r="AL43" s="68"/>
    </row>
    <row r="44" spans="1:38" s="54" customFormat="1" ht="15" customHeight="1">
      <c r="A44" s="113"/>
      <c r="B44" s="159" t="s">
        <v>833</v>
      </c>
      <c r="C44" s="115"/>
      <c r="D44" s="60">
        <v>-96</v>
      </c>
      <c r="E44" s="60">
        <v>-29</v>
      </c>
      <c r="F44" s="60">
        <v>-8</v>
      </c>
      <c r="G44" s="60">
        <v>-11</v>
      </c>
      <c r="H44" s="74">
        <v>-144</v>
      </c>
      <c r="I44" s="48"/>
      <c r="J44" s="60">
        <v>-67</v>
      </c>
      <c r="K44" s="60">
        <v>-15</v>
      </c>
      <c r="L44" s="60">
        <v>-7</v>
      </c>
      <c r="M44" s="60">
        <v>0</v>
      </c>
      <c r="N44" s="74">
        <v>-89</v>
      </c>
      <c r="O44" s="48"/>
      <c r="P44" s="60">
        <v>-113</v>
      </c>
      <c r="Q44" s="60">
        <v>-137</v>
      </c>
      <c r="R44" s="60">
        <v>-3</v>
      </c>
      <c r="S44" s="60">
        <v>25</v>
      </c>
      <c r="T44" s="74">
        <v>-115</v>
      </c>
      <c r="U44" s="48"/>
      <c r="V44" s="60">
        <v>-128</v>
      </c>
      <c r="W44" s="60">
        <v>0</v>
      </c>
      <c r="X44" s="60">
        <v>-3</v>
      </c>
      <c r="Y44" s="60">
        <v>-4</v>
      </c>
      <c r="Z44" s="74">
        <v>-135</v>
      </c>
      <c r="AA44" s="81"/>
      <c r="AB44" s="60">
        <v>-115</v>
      </c>
      <c r="AC44" s="60">
        <v>-1</v>
      </c>
      <c r="AD44" s="60">
        <v>-1</v>
      </c>
      <c r="AE44" s="60">
        <v>-65</v>
      </c>
      <c r="AF44" s="74">
        <v>-182</v>
      </c>
      <c r="AG44" s="82"/>
      <c r="AH44" s="60">
        <v>-113</v>
      </c>
      <c r="AI44" s="60">
        <v>-32</v>
      </c>
      <c r="AJ44" s="50"/>
      <c r="AK44" s="50"/>
      <c r="AL44" s="75"/>
    </row>
    <row r="45" spans="1:38" s="54" customFormat="1" ht="15" customHeight="1" thickBot="1">
      <c r="A45" s="113"/>
      <c r="B45" s="160" t="s">
        <v>834</v>
      </c>
      <c r="C45" s="17"/>
      <c r="D45" s="60">
        <v>-1545</v>
      </c>
      <c r="E45" s="60">
        <v>-978</v>
      </c>
      <c r="F45" s="60">
        <v>-765</v>
      </c>
      <c r="G45" s="60">
        <v>-1239</v>
      </c>
      <c r="H45" s="93">
        <v>-4527</v>
      </c>
      <c r="I45" s="48"/>
      <c r="J45" s="60">
        <v>-1806</v>
      </c>
      <c r="K45" s="60">
        <v>-1236</v>
      </c>
      <c r="L45" s="60">
        <v>-1725</v>
      </c>
      <c r="M45" s="60">
        <v>-2849</v>
      </c>
      <c r="N45" s="93">
        <v>-7616</v>
      </c>
      <c r="O45" s="48"/>
      <c r="P45" s="60">
        <v>-2880</v>
      </c>
      <c r="Q45" s="60">
        <v>-3987</v>
      </c>
      <c r="R45" s="60">
        <v>-2080</v>
      </c>
      <c r="S45" s="60">
        <v>-1003</v>
      </c>
      <c r="T45" s="93">
        <v>-7070</v>
      </c>
      <c r="U45" s="48"/>
      <c r="V45" s="60">
        <v>-1412</v>
      </c>
      <c r="W45" s="60">
        <v>467</v>
      </c>
      <c r="X45" s="60">
        <v>-2615</v>
      </c>
      <c r="Y45" s="60">
        <v>-3771</v>
      </c>
      <c r="Z45" s="93">
        <v>-7331</v>
      </c>
      <c r="AA45" s="48"/>
      <c r="AB45" s="60">
        <v>85</v>
      </c>
      <c r="AC45" s="60">
        <v>-1771</v>
      </c>
      <c r="AD45" s="60">
        <v>-1600</v>
      </c>
      <c r="AE45" s="60">
        <v>-853</v>
      </c>
      <c r="AF45" s="93">
        <v>-4139</v>
      </c>
      <c r="AG45" s="95"/>
      <c r="AH45" s="60">
        <v>-1659</v>
      </c>
      <c r="AI45" s="60">
        <v>4</v>
      </c>
      <c r="AJ45" s="50"/>
      <c r="AK45" s="50"/>
      <c r="AL45" s="94"/>
    </row>
    <row r="46" spans="1:38" s="54" customFormat="1" ht="15" customHeight="1" thickTop="1">
      <c r="A46" s="113"/>
      <c r="B46" s="9"/>
      <c r="C46" s="115"/>
      <c r="D46" s="46"/>
      <c r="E46" s="46"/>
      <c r="F46" s="46"/>
      <c r="G46" s="46"/>
      <c r="H46" s="66"/>
      <c r="I46" s="48"/>
      <c r="J46" s="46"/>
      <c r="K46" s="46"/>
      <c r="L46" s="46"/>
      <c r="M46" s="46"/>
      <c r="N46" s="66"/>
      <c r="O46" s="48"/>
      <c r="P46" s="46"/>
      <c r="Q46" s="46"/>
      <c r="R46" s="46"/>
      <c r="S46" s="46"/>
      <c r="T46" s="66"/>
      <c r="U46" s="48"/>
      <c r="V46" s="46"/>
      <c r="W46" s="46"/>
      <c r="X46" s="46"/>
      <c r="Y46" s="46"/>
      <c r="Z46" s="66"/>
      <c r="AA46" s="81"/>
      <c r="AB46" s="46"/>
      <c r="AC46" s="46"/>
      <c r="AD46" s="46"/>
      <c r="AE46" s="46"/>
      <c r="AF46" s="66"/>
      <c r="AG46" s="82"/>
      <c r="AH46" s="46"/>
      <c r="AI46" s="46"/>
      <c r="AJ46" s="50"/>
      <c r="AK46" s="50"/>
      <c r="AL46" s="68"/>
    </row>
    <row r="47" spans="1:38" s="54" customFormat="1" ht="15" customHeight="1">
      <c r="A47" s="44" t="s">
        <v>41</v>
      </c>
      <c r="B47" s="158" t="s">
        <v>835</v>
      </c>
      <c r="C47" s="17"/>
      <c r="D47" s="60">
        <v>0</v>
      </c>
      <c r="E47" s="60">
        <v>0</v>
      </c>
      <c r="F47" s="60">
        <v>0</v>
      </c>
      <c r="G47" s="60">
        <v>0</v>
      </c>
      <c r="H47" s="66">
        <v>0</v>
      </c>
      <c r="I47" s="48"/>
      <c r="J47" s="60">
        <v>0</v>
      </c>
      <c r="K47" s="60">
        <v>0</v>
      </c>
      <c r="L47" s="60">
        <v>0</v>
      </c>
      <c r="M47" s="60">
        <v>0</v>
      </c>
      <c r="N47" s="66">
        <v>0</v>
      </c>
      <c r="O47" s="48"/>
      <c r="P47" s="60">
        <v>0</v>
      </c>
      <c r="Q47" s="60">
        <v>0</v>
      </c>
      <c r="R47" s="60">
        <v>0</v>
      </c>
      <c r="S47" s="60">
        <v>0</v>
      </c>
      <c r="T47" s="66">
        <v>0</v>
      </c>
      <c r="U47" s="48"/>
      <c r="V47" s="60">
        <v>0</v>
      </c>
      <c r="W47" s="60">
        <v>0</v>
      </c>
      <c r="X47" s="60">
        <v>0</v>
      </c>
      <c r="Y47" s="60">
        <v>0</v>
      </c>
      <c r="Z47" s="66">
        <v>0</v>
      </c>
      <c r="AA47" s="48"/>
      <c r="AB47" s="60">
        <v>0</v>
      </c>
      <c r="AC47" s="60">
        <v>0</v>
      </c>
      <c r="AD47" s="60">
        <v>0</v>
      </c>
      <c r="AE47" s="60">
        <v>0</v>
      </c>
      <c r="AF47" s="66">
        <v>0</v>
      </c>
      <c r="AG47" s="95"/>
      <c r="AH47" s="60">
        <v>0</v>
      </c>
      <c r="AI47" s="60">
        <v>0</v>
      </c>
      <c r="AJ47" s="50"/>
      <c r="AK47" s="50"/>
      <c r="AL47" s="68"/>
    </row>
    <row r="49" spans="1:35" s="54" customFormat="1" ht="15" customHeight="1">
      <c r="A49" s="44" t="s">
        <v>41</v>
      </c>
      <c r="B49" s="158" t="s">
        <v>836</v>
      </c>
      <c r="C49" s="17"/>
      <c r="D49" s="60">
        <v>474</v>
      </c>
      <c r="E49" s="60">
        <v>867</v>
      </c>
      <c r="F49" s="60">
        <v>730</v>
      </c>
      <c r="G49" s="60">
        <v>-425</v>
      </c>
      <c r="H49" s="74">
        <v>1646</v>
      </c>
      <c r="I49" s="48"/>
      <c r="J49" s="60">
        <v>-227</v>
      </c>
      <c r="K49" s="60">
        <v>-188</v>
      </c>
      <c r="L49" s="60">
        <v>-18</v>
      </c>
      <c r="M49" s="60">
        <v>877</v>
      </c>
      <c r="N49" s="74">
        <v>444</v>
      </c>
      <c r="O49" s="48"/>
      <c r="P49" s="60">
        <v>-1721</v>
      </c>
      <c r="Q49" s="60">
        <v>-1829</v>
      </c>
      <c r="R49" s="60">
        <v>655</v>
      </c>
      <c r="S49" s="60">
        <v>117</v>
      </c>
      <c r="T49" s="74">
        <v>-1057</v>
      </c>
      <c r="U49" s="48"/>
      <c r="V49" s="60">
        <v>-107</v>
      </c>
      <c r="W49" s="60">
        <v>1233</v>
      </c>
      <c r="X49" s="60">
        <v>-122</v>
      </c>
      <c r="Y49" s="60">
        <v>-2109</v>
      </c>
      <c r="Z49" s="74">
        <v>-1105</v>
      </c>
      <c r="AA49" s="48"/>
      <c r="AB49" s="60">
        <v>1348</v>
      </c>
      <c r="AC49" s="60">
        <v>-267</v>
      </c>
      <c r="AD49" s="60">
        <v>628</v>
      </c>
      <c r="AE49" s="60">
        <v>-668</v>
      </c>
      <c r="AF49" s="74">
        <v>1041</v>
      </c>
      <c r="AG49" s="95"/>
      <c r="AH49" s="60">
        <v>-680</v>
      </c>
      <c r="AI49" s="60">
        <v>-510</v>
      </c>
    </row>
    <row r="50" spans="1:35" s="54" customFormat="1" ht="15" customHeight="1" thickBot="1">
      <c r="B50" s="158" t="s">
        <v>837</v>
      </c>
      <c r="C50" s="115"/>
      <c r="D50" s="60">
        <v>1988</v>
      </c>
      <c r="E50" s="60">
        <v>2855</v>
      </c>
      <c r="F50" s="60">
        <v>3585</v>
      </c>
      <c r="G50" s="60">
        <v>3160</v>
      </c>
      <c r="H50" s="93">
        <v>3160</v>
      </c>
      <c r="I50" s="48"/>
      <c r="J50" s="60">
        <v>2933</v>
      </c>
      <c r="K50" s="60">
        <v>2745</v>
      </c>
      <c r="L50" s="60">
        <v>2727</v>
      </c>
      <c r="M50" s="60">
        <v>3604</v>
      </c>
      <c r="N50" s="93">
        <v>3604</v>
      </c>
      <c r="O50" s="48"/>
      <c r="P50" s="60">
        <v>1883</v>
      </c>
      <c r="Q50" s="60">
        <v>1775</v>
      </c>
      <c r="R50" s="60">
        <v>2430</v>
      </c>
      <c r="S50" s="60">
        <v>2547</v>
      </c>
      <c r="T50" s="93">
        <v>2547</v>
      </c>
      <c r="U50" s="48"/>
      <c r="V50" s="60">
        <v>2440</v>
      </c>
      <c r="W50" s="60">
        <v>3673</v>
      </c>
      <c r="X50" s="60">
        <v>3551</v>
      </c>
      <c r="Y50" s="60">
        <v>1442</v>
      </c>
      <c r="Z50" s="93">
        <v>1442</v>
      </c>
      <c r="AA50" s="48"/>
      <c r="AB50" s="60">
        <v>2790</v>
      </c>
      <c r="AC50" s="60">
        <v>2523</v>
      </c>
      <c r="AD50" s="60">
        <v>3151</v>
      </c>
      <c r="AE50" s="60">
        <v>2483</v>
      </c>
      <c r="AF50" s="93">
        <v>2483</v>
      </c>
      <c r="AG50" s="95"/>
      <c r="AH50" s="60">
        <v>1803</v>
      </c>
      <c r="AI50" s="60">
        <v>1293</v>
      </c>
    </row>
  </sheetData>
  <mergeCells count="7">
    <mergeCell ref="AN8:AR8"/>
    <mergeCell ref="AH8:AL8"/>
    <mergeCell ref="D8:H8"/>
    <mergeCell ref="J8:N8"/>
    <mergeCell ref="P8:T8"/>
    <mergeCell ref="V8:Z8"/>
    <mergeCell ref="AB8:AF8"/>
  </mergeCells>
  <conditionalFormatting sqref="D62:AV62">
    <cfRule type="containsText" dxfId="0" priority="1" operator="containsText" text="ERROR">
      <formula>NOT(ISERROR(SEARCH("ERROR",D62)))</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499984740745262"/>
  </sheetPr>
  <dimension ref="A1:AY176"/>
  <sheetViews>
    <sheetView showGridLines="0" zoomScaleNormal="100" workbookViewId="0">
      <selection activeCell="H67" sqref="H67"/>
    </sheetView>
  </sheetViews>
  <sheetFormatPr defaultColWidth="9" defaultRowHeight="14.25" customHeight="1" outlineLevelCol="1"/>
  <cols>
    <col min="1" max="1" width="2.125" style="97" customWidth="1"/>
    <col min="2" max="2" width="50.625" style="97" customWidth="1"/>
    <col min="3" max="3" width="3.375" style="23" customWidth="1"/>
    <col min="4" max="7" width="9.625" style="97" customWidth="1" outlineLevel="1"/>
    <col min="8" max="8" width="11.625" style="97" customWidth="1"/>
    <col min="9" max="9" width="1.625" style="23" customWidth="1"/>
    <col min="10" max="13" width="9.625" style="97" customWidth="1" outlineLevel="1"/>
    <col min="14" max="14" width="11.625" style="97" customWidth="1"/>
    <col min="15" max="15" width="1.625" style="23" customWidth="1"/>
    <col min="16" max="19" width="9.625" style="97" customWidth="1" outlineLevel="1"/>
    <col min="20" max="20" width="11.625" style="97" customWidth="1"/>
    <col min="21" max="21" width="1.625" style="23" customWidth="1"/>
    <col min="22" max="25" width="9.625" style="97" customWidth="1" outlineLevel="1"/>
    <col min="26" max="26" width="11.625" style="97" customWidth="1"/>
    <col min="27" max="27" width="1.625" style="23" customWidth="1"/>
    <col min="28" max="31" width="9.625" style="97" customWidth="1" outlineLevel="1"/>
    <col min="32" max="32" width="11.625" style="97" customWidth="1"/>
    <col min="33" max="33" width="1.625" style="23" customWidth="1"/>
    <col min="34" max="37" width="9.625" style="97" customWidth="1" outlineLevel="1"/>
    <col min="38" max="38" width="11.625" style="97" customWidth="1"/>
    <col min="39" max="39" width="1.625" style="23" customWidth="1"/>
    <col min="40" max="43" width="9.625" style="97" customWidth="1" outlineLevel="1"/>
    <col min="44" max="44" width="11.625" style="97" customWidth="1"/>
    <col min="45" max="45" width="1.625" style="23" customWidth="1"/>
    <col min="46" max="46" width="11.625" style="97" customWidth="1"/>
    <col min="47" max="47" width="1.625" style="23" customWidth="1"/>
    <col min="48" max="48" width="11.625" style="105" customWidth="1"/>
    <col min="49" max="49" width="1.625" style="23" customWidth="1"/>
    <col min="50" max="50" width="11.625" style="97" customWidth="1"/>
    <col min="51" max="51" width="1.625" style="97" customWidth="1"/>
    <col min="52" max="16384" width="9" style="97"/>
  </cols>
  <sheetData>
    <row r="1" spans="1:50" s="573" customFormat="1" ht="15" customHeight="1"/>
    <row r="2" spans="1:50" s="573" customFormat="1" ht="15" customHeight="1"/>
    <row r="3" spans="1:50" s="573" customFormat="1" ht="15" customHeight="1"/>
    <row r="4" spans="1:50" s="573" customFormat="1" ht="15" customHeight="1"/>
    <row r="5" spans="1:50" s="282" customFormat="1" ht="3.95" customHeight="1">
      <c r="C5" s="36"/>
      <c r="I5" s="36"/>
      <c r="O5" s="36"/>
      <c r="U5" s="36"/>
      <c r="AA5" s="36"/>
      <c r="AG5" s="36"/>
      <c r="AM5" s="36"/>
      <c r="AS5" s="36"/>
      <c r="AU5" s="36"/>
      <c r="AV5" s="283"/>
      <c r="AW5" s="36"/>
    </row>
    <row r="7" spans="1:50" s="41" customFormat="1" ht="15" customHeight="1">
      <c r="B7" s="161" t="s">
        <v>838</v>
      </c>
      <c r="C7" s="18"/>
      <c r="D7" s="200">
        <f>F7</f>
        <v>2020</v>
      </c>
      <c r="E7" s="200">
        <f>F7</f>
        <v>2020</v>
      </c>
      <c r="F7" s="200">
        <v>2020</v>
      </c>
      <c r="G7" s="200">
        <f>F7</f>
        <v>2020</v>
      </c>
      <c r="H7" s="200">
        <f>F7</f>
        <v>2020</v>
      </c>
      <c r="I7" s="18"/>
      <c r="J7" s="200">
        <f>L7</f>
        <v>2021</v>
      </c>
      <c r="K7" s="200">
        <f>L7</f>
        <v>2021</v>
      </c>
      <c r="L7" s="200">
        <v>2021</v>
      </c>
      <c r="M7" s="200">
        <f>L7</f>
        <v>2021</v>
      </c>
      <c r="N7" s="200">
        <f>L7</f>
        <v>2021</v>
      </c>
      <c r="O7" s="169"/>
      <c r="P7" s="200">
        <f>R7</f>
        <v>2022</v>
      </c>
      <c r="Q7" s="200">
        <f>R7</f>
        <v>2022</v>
      </c>
      <c r="R7" s="200">
        <v>2022</v>
      </c>
      <c r="S7" s="200">
        <f>R7</f>
        <v>2022</v>
      </c>
      <c r="T7" s="200">
        <f>R7</f>
        <v>2022</v>
      </c>
      <c r="U7" s="169"/>
      <c r="V7" s="200">
        <f>X7</f>
        <v>2023</v>
      </c>
      <c r="W7" s="200">
        <f>X7</f>
        <v>2023</v>
      </c>
      <c r="X7" s="200">
        <v>2023</v>
      </c>
      <c r="Y7" s="200">
        <f>X7</f>
        <v>2023</v>
      </c>
      <c r="Z7" s="200">
        <f>X7</f>
        <v>2023</v>
      </c>
      <c r="AA7" s="170"/>
      <c r="AB7" s="200">
        <f>AD7</f>
        <v>2024</v>
      </c>
      <c r="AC7" s="200">
        <f>AD7</f>
        <v>2024</v>
      </c>
      <c r="AD7" s="200">
        <v>2024</v>
      </c>
      <c r="AE7" s="200">
        <f>AD7</f>
        <v>2024</v>
      </c>
      <c r="AF7" s="200">
        <f>AD7</f>
        <v>2024</v>
      </c>
      <c r="AG7" s="170"/>
      <c r="AH7" s="200">
        <f>AJ7</f>
        <v>2025</v>
      </c>
      <c r="AI7" s="200">
        <f>AJ7</f>
        <v>2025</v>
      </c>
      <c r="AJ7" s="201">
        <v>2025</v>
      </c>
      <c r="AK7" s="200">
        <f>AJ7</f>
        <v>2025</v>
      </c>
      <c r="AL7" s="200">
        <f>AJ7</f>
        <v>2025</v>
      </c>
      <c r="AM7" s="171"/>
      <c r="AN7" s="200">
        <f>AP7</f>
        <v>2025</v>
      </c>
      <c r="AO7" s="200">
        <f>AP7</f>
        <v>2025</v>
      </c>
      <c r="AP7" s="201">
        <v>2025</v>
      </c>
      <c r="AQ7" s="200">
        <f>AP7</f>
        <v>2025</v>
      </c>
      <c r="AR7" s="200">
        <f>AP7</f>
        <v>2025</v>
      </c>
      <c r="AS7" s="18"/>
      <c r="AT7" s="162"/>
      <c r="AU7" s="18"/>
      <c r="AV7" s="163"/>
      <c r="AW7" s="18"/>
      <c r="AX7" s="163"/>
    </row>
    <row r="8" spans="1:50" s="41" customFormat="1" ht="15" customHeight="1">
      <c r="B8" s="164"/>
      <c r="C8" s="18"/>
      <c r="D8" s="893">
        <v>2020</v>
      </c>
      <c r="E8" s="893"/>
      <c r="F8" s="893"/>
      <c r="G8" s="893"/>
      <c r="H8" s="893"/>
      <c r="I8" s="169"/>
      <c r="J8" s="893">
        <f>D8+1</f>
        <v>2021</v>
      </c>
      <c r="K8" s="893"/>
      <c r="L8" s="893"/>
      <c r="M8" s="893"/>
      <c r="N8" s="893"/>
      <c r="O8" s="169"/>
      <c r="P8" s="893">
        <f>J8+1</f>
        <v>2022</v>
      </c>
      <c r="Q8" s="893"/>
      <c r="R8" s="893"/>
      <c r="S8" s="893"/>
      <c r="T8" s="893"/>
      <c r="U8" s="169"/>
      <c r="V8" s="893">
        <f>P8+1</f>
        <v>2023</v>
      </c>
      <c r="W8" s="893"/>
      <c r="X8" s="893"/>
      <c r="Y8" s="893"/>
      <c r="Z8" s="893"/>
      <c r="AA8" s="169"/>
      <c r="AB8" s="893">
        <f>V8+1</f>
        <v>2024</v>
      </c>
      <c r="AC8" s="893"/>
      <c r="AD8" s="893"/>
      <c r="AE8" s="893"/>
      <c r="AF8" s="893"/>
      <c r="AG8" s="169"/>
      <c r="AH8" s="892">
        <f>AB8+1</f>
        <v>2025</v>
      </c>
      <c r="AI8" s="892"/>
      <c r="AJ8" s="892"/>
      <c r="AK8" s="892"/>
      <c r="AL8" s="892"/>
      <c r="AM8" s="169"/>
      <c r="AN8" s="892">
        <f>AH8+1</f>
        <v>2026</v>
      </c>
      <c r="AO8" s="892"/>
      <c r="AP8" s="892"/>
      <c r="AQ8" s="892"/>
      <c r="AR8" s="892"/>
      <c r="AS8" s="171"/>
      <c r="AT8" s="166">
        <f>AN8+1</f>
        <v>2027</v>
      </c>
      <c r="AU8" s="167"/>
      <c r="AV8" s="166">
        <f>+AT8+1</f>
        <v>2028</v>
      </c>
      <c r="AW8" s="167"/>
      <c r="AX8" s="166">
        <f>+AV8+1</f>
        <v>2029</v>
      </c>
    </row>
    <row r="9" spans="1:50" s="41" customFormat="1" ht="14.25" customHeight="1">
      <c r="B9" s="164"/>
      <c r="C9" s="18"/>
      <c r="D9" s="168" t="s">
        <v>292</v>
      </c>
      <c r="E9" s="168" t="s">
        <v>293</v>
      </c>
      <c r="F9" s="168" t="s">
        <v>294</v>
      </c>
      <c r="G9" s="168" t="s">
        <v>295</v>
      </c>
      <c r="H9" s="168" t="s">
        <v>296</v>
      </c>
      <c r="I9" s="18"/>
      <c r="J9" s="168" t="s">
        <v>292</v>
      </c>
      <c r="K9" s="168" t="s">
        <v>293</v>
      </c>
      <c r="L9" s="168" t="s">
        <v>294</v>
      </c>
      <c r="M9" s="168" t="s">
        <v>295</v>
      </c>
      <c r="N9" s="168" t="s">
        <v>296</v>
      </c>
      <c r="O9" s="165"/>
      <c r="P9" s="168" t="s">
        <v>292</v>
      </c>
      <c r="Q9" s="168" t="s">
        <v>293</v>
      </c>
      <c r="R9" s="168" t="s">
        <v>294</v>
      </c>
      <c r="S9" s="168" t="s">
        <v>295</v>
      </c>
      <c r="T9" s="168" t="s">
        <v>296</v>
      </c>
      <c r="U9" s="165"/>
      <c r="V9" s="168" t="s">
        <v>292</v>
      </c>
      <c r="W9" s="168" t="s">
        <v>293</v>
      </c>
      <c r="X9" s="168" t="s">
        <v>294</v>
      </c>
      <c r="Y9" s="168" t="s">
        <v>295</v>
      </c>
      <c r="Z9" s="168" t="s">
        <v>296</v>
      </c>
      <c r="AA9" s="165"/>
      <c r="AB9" s="168" t="s">
        <v>292</v>
      </c>
      <c r="AC9" s="168" t="s">
        <v>293</v>
      </c>
      <c r="AD9" s="168" t="s">
        <v>294</v>
      </c>
      <c r="AE9" s="168" t="s">
        <v>295</v>
      </c>
      <c r="AF9" s="168" t="s">
        <v>296</v>
      </c>
      <c r="AG9" s="165"/>
      <c r="AH9" s="168" t="s">
        <v>292</v>
      </c>
      <c r="AI9" s="168" t="s">
        <v>293</v>
      </c>
      <c r="AJ9" s="168" t="s">
        <v>294</v>
      </c>
      <c r="AK9" s="168" t="s">
        <v>295</v>
      </c>
      <c r="AL9" s="168" t="s">
        <v>296</v>
      </c>
      <c r="AM9" s="165"/>
      <c r="AN9" s="168" t="s">
        <v>292</v>
      </c>
      <c r="AO9" s="168" t="s">
        <v>293</v>
      </c>
      <c r="AP9" s="168" t="s">
        <v>294</v>
      </c>
      <c r="AQ9" s="168" t="s">
        <v>295</v>
      </c>
      <c r="AR9" s="168" t="s">
        <v>296</v>
      </c>
      <c r="AS9" s="165"/>
      <c r="AT9" s="168" t="s">
        <v>296</v>
      </c>
      <c r="AU9" s="165"/>
      <c r="AV9" s="168" t="s">
        <v>296</v>
      </c>
      <c r="AW9" s="165"/>
      <c r="AX9" s="168" t="s">
        <v>296</v>
      </c>
    </row>
    <row r="10" spans="1:50" s="41" customFormat="1" ht="3.95" customHeight="1">
      <c r="A10" s="43"/>
      <c r="B10" s="176"/>
      <c r="C10" s="35"/>
      <c r="D10" s="177"/>
      <c r="E10" s="177"/>
      <c r="F10" s="177"/>
      <c r="G10" s="177"/>
      <c r="H10" s="177"/>
      <c r="I10" s="35"/>
      <c r="J10" s="177"/>
      <c r="K10" s="177"/>
      <c r="L10" s="177"/>
      <c r="M10" s="177"/>
      <c r="N10" s="177"/>
      <c r="O10" s="178"/>
      <c r="P10" s="177"/>
      <c r="Q10" s="177"/>
      <c r="R10" s="177"/>
      <c r="S10" s="177"/>
      <c r="T10" s="177"/>
      <c r="U10" s="178"/>
      <c r="V10" s="177"/>
      <c r="W10" s="177"/>
      <c r="X10" s="177"/>
      <c r="Y10" s="177"/>
      <c r="Z10" s="177"/>
      <c r="AA10" s="178"/>
      <c r="AB10" s="177"/>
      <c r="AC10" s="177"/>
      <c r="AD10" s="177"/>
      <c r="AE10" s="177"/>
      <c r="AF10" s="177"/>
      <c r="AG10" s="178"/>
      <c r="AH10" s="177"/>
      <c r="AI10" s="177"/>
      <c r="AJ10" s="177"/>
      <c r="AK10" s="177"/>
      <c r="AL10" s="179"/>
      <c r="AM10" s="180"/>
      <c r="AN10" s="179"/>
      <c r="AO10" s="179"/>
      <c r="AP10" s="179"/>
      <c r="AQ10" s="179"/>
      <c r="AR10" s="179"/>
      <c r="AS10" s="180"/>
      <c r="AT10" s="179"/>
      <c r="AU10" s="180"/>
      <c r="AV10" s="179"/>
      <c r="AW10" s="180"/>
      <c r="AX10" s="179"/>
    </row>
    <row r="11" spans="1:50" s="41" customFormat="1" ht="3.95" customHeight="1">
      <c r="A11" s="43"/>
      <c r="B11" s="172"/>
      <c r="C11" s="19"/>
      <c r="D11" s="173"/>
      <c r="E11" s="173"/>
      <c r="F11" s="173"/>
      <c r="G11" s="173"/>
      <c r="H11" s="173"/>
      <c r="I11" s="19"/>
      <c r="J11" s="173"/>
      <c r="K11" s="173"/>
      <c r="L11" s="173"/>
      <c r="M11" s="173"/>
      <c r="N11" s="173"/>
      <c r="O11" s="174"/>
      <c r="P11" s="173"/>
      <c r="Q11" s="173"/>
      <c r="R11" s="173"/>
      <c r="S11" s="173"/>
      <c r="T11" s="173"/>
      <c r="U11" s="174"/>
      <c r="V11" s="173"/>
      <c r="W11" s="173"/>
      <c r="X11" s="173"/>
      <c r="Y11" s="173"/>
      <c r="Z11" s="173"/>
      <c r="AA11" s="174"/>
      <c r="AB11" s="173"/>
      <c r="AC11" s="173"/>
      <c r="AD11" s="173"/>
      <c r="AE11" s="173"/>
      <c r="AF11" s="173"/>
      <c r="AG11" s="202"/>
      <c r="AH11" s="173"/>
      <c r="AI11" s="173"/>
      <c r="AJ11" s="173"/>
      <c r="AK11" s="173"/>
      <c r="AL11" s="175"/>
      <c r="AM11" s="34"/>
      <c r="AN11" s="175"/>
      <c r="AO11" s="175"/>
      <c r="AP11" s="175"/>
      <c r="AQ11" s="175"/>
      <c r="AR11" s="175"/>
      <c r="AS11" s="34"/>
      <c r="AT11" s="175"/>
      <c r="AU11" s="34"/>
      <c r="AV11" s="175"/>
      <c r="AW11" s="34"/>
      <c r="AX11" s="175"/>
    </row>
    <row r="12" spans="1:50" ht="14.25" customHeight="1">
      <c r="A12" s="44" t="s">
        <v>41</v>
      </c>
      <c r="B12" s="65" t="s">
        <v>734</v>
      </c>
      <c r="D12" s="206"/>
      <c r="E12" s="206"/>
      <c r="F12" s="206"/>
      <c r="G12" s="206"/>
      <c r="H12" s="207"/>
      <c r="I12" s="208"/>
      <c r="J12" s="206"/>
      <c r="K12" s="206"/>
      <c r="L12" s="206"/>
      <c r="M12" s="206"/>
      <c r="N12" s="207"/>
      <c r="O12" s="207"/>
      <c r="P12" s="206"/>
      <c r="Q12" s="206"/>
      <c r="R12" s="206"/>
      <c r="S12" s="206"/>
      <c r="T12" s="207"/>
      <c r="U12" s="207"/>
      <c r="V12" s="206"/>
      <c r="W12" s="206"/>
      <c r="X12" s="206"/>
      <c r="Y12" s="206"/>
      <c r="Z12" s="207"/>
      <c r="AA12" s="207"/>
      <c r="AB12" s="206"/>
      <c r="AC12" s="206"/>
      <c r="AD12" s="206"/>
      <c r="AE12" s="206"/>
      <c r="AF12" s="207"/>
      <c r="AG12" s="209"/>
      <c r="AH12" s="206"/>
      <c r="AI12" s="206"/>
      <c r="AJ12" s="210"/>
      <c r="AK12" s="210"/>
      <c r="AL12" s="207"/>
      <c r="AM12" s="211"/>
      <c r="AN12" s="210"/>
      <c r="AO12" s="210"/>
      <c r="AP12" s="210"/>
      <c r="AQ12" s="210"/>
      <c r="AR12" s="207"/>
      <c r="AS12" s="211"/>
      <c r="AT12" s="212"/>
      <c r="AU12" s="213"/>
      <c r="AV12" s="212"/>
      <c r="AW12" s="213"/>
      <c r="AX12" s="212"/>
    </row>
    <row r="13" spans="1:50" ht="14.25" customHeight="1">
      <c r="A13" s="55"/>
      <c r="B13" s="692" t="s">
        <v>298</v>
      </c>
      <c r="D13" s="693" t="s">
        <v>839</v>
      </c>
      <c r="E13" s="693" t="s">
        <v>840</v>
      </c>
      <c r="F13" s="693" t="s">
        <v>841</v>
      </c>
      <c r="G13" s="693" t="s">
        <v>842</v>
      </c>
      <c r="H13" s="695" t="s">
        <v>299</v>
      </c>
      <c r="I13" s="694"/>
      <c r="J13" s="693" t="s">
        <v>843</v>
      </c>
      <c r="K13" s="693" t="s">
        <v>844</v>
      </c>
      <c r="L13" s="693" t="s">
        <v>845</v>
      </c>
      <c r="M13" s="693" t="s">
        <v>846</v>
      </c>
      <c r="N13" s="695" t="s">
        <v>300</v>
      </c>
      <c r="O13" s="694"/>
      <c r="P13" s="693" t="s">
        <v>847</v>
      </c>
      <c r="Q13" s="693" t="s">
        <v>848</v>
      </c>
      <c r="R13" s="693" t="s">
        <v>849</v>
      </c>
      <c r="S13" s="693" t="s">
        <v>850</v>
      </c>
      <c r="T13" s="695" t="s">
        <v>735</v>
      </c>
      <c r="U13" s="694"/>
      <c r="V13" s="693" t="s">
        <v>851</v>
      </c>
      <c r="W13" s="693" t="s">
        <v>852</v>
      </c>
      <c r="X13" s="693" t="s">
        <v>853</v>
      </c>
      <c r="Y13" s="693" t="s">
        <v>854</v>
      </c>
      <c r="Z13" s="695" t="s">
        <v>736</v>
      </c>
      <c r="AA13" s="694"/>
      <c r="AB13" s="693" t="s">
        <v>855</v>
      </c>
      <c r="AC13" s="693" t="s">
        <v>856</v>
      </c>
      <c r="AD13" s="693" t="s">
        <v>857</v>
      </c>
      <c r="AE13" s="693" t="s">
        <v>858</v>
      </c>
      <c r="AF13" s="695">
        <v>28618</v>
      </c>
      <c r="AG13" s="705" t="s">
        <v>859</v>
      </c>
      <c r="AH13" s="693" t="s">
        <v>860</v>
      </c>
      <c r="AI13" s="693" t="s">
        <v>861</v>
      </c>
      <c r="AJ13" s="693">
        <v>0</v>
      </c>
      <c r="AK13" s="693">
        <v>0</v>
      </c>
      <c r="AL13" s="695">
        <v>0</v>
      </c>
      <c r="AM13" s="694"/>
      <c r="AN13" s="693">
        <v>0</v>
      </c>
      <c r="AO13" s="693">
        <v>0</v>
      </c>
      <c r="AP13" s="693">
        <v>0</v>
      </c>
      <c r="AQ13" s="693">
        <v>0</v>
      </c>
      <c r="AR13" s="695">
        <v>0</v>
      </c>
      <c r="AS13" s="694"/>
      <c r="AT13" s="695">
        <v>0</v>
      </c>
      <c r="AU13" s="695"/>
      <c r="AV13" s="695">
        <v>0</v>
      </c>
      <c r="AW13" s="695"/>
      <c r="AX13" s="695">
        <v>0</v>
      </c>
    </row>
    <row r="14" spans="1:50" ht="14.25" customHeight="1">
      <c r="A14" s="55"/>
      <c r="B14" s="692" t="s">
        <v>301</v>
      </c>
      <c r="D14" s="693" t="s">
        <v>862</v>
      </c>
      <c r="E14" s="693" t="s">
        <v>863</v>
      </c>
      <c r="F14" s="693" t="s">
        <v>864</v>
      </c>
      <c r="G14" s="693" t="s">
        <v>865</v>
      </c>
      <c r="H14" s="695" t="s">
        <v>302</v>
      </c>
      <c r="I14" s="694"/>
      <c r="J14" s="693" t="s">
        <v>866</v>
      </c>
      <c r="K14" s="693" t="s">
        <v>867</v>
      </c>
      <c r="L14" s="693" t="s">
        <v>868</v>
      </c>
      <c r="M14" s="693" t="s">
        <v>869</v>
      </c>
      <c r="N14" s="695" t="s">
        <v>303</v>
      </c>
      <c r="O14" s="694"/>
      <c r="P14" s="693" t="s">
        <v>870</v>
      </c>
      <c r="Q14" s="693" t="s">
        <v>871</v>
      </c>
      <c r="R14" s="693" t="s">
        <v>872</v>
      </c>
      <c r="S14" s="693" t="s">
        <v>873</v>
      </c>
      <c r="T14" s="695" t="s">
        <v>737</v>
      </c>
      <c r="U14" s="694"/>
      <c r="V14" s="693" t="s">
        <v>874</v>
      </c>
      <c r="W14" s="693" t="s">
        <v>875</v>
      </c>
      <c r="X14" s="693" t="s">
        <v>876</v>
      </c>
      <c r="Y14" s="693" t="s">
        <v>877</v>
      </c>
      <c r="Z14" s="695" t="s">
        <v>304</v>
      </c>
      <c r="AA14" s="694"/>
      <c r="AB14" s="693" t="s">
        <v>878</v>
      </c>
      <c r="AC14" s="693" t="s">
        <v>879</v>
      </c>
      <c r="AD14" s="693" t="s">
        <v>880</v>
      </c>
      <c r="AE14" s="693" t="s">
        <v>881</v>
      </c>
      <c r="AF14" s="695">
        <v>12682</v>
      </c>
      <c r="AG14" s="705" t="s">
        <v>859</v>
      </c>
      <c r="AH14" s="693" t="s">
        <v>882</v>
      </c>
      <c r="AI14" s="693" t="s">
        <v>883</v>
      </c>
      <c r="AJ14" s="693">
        <v>0</v>
      </c>
      <c r="AK14" s="693">
        <v>0</v>
      </c>
      <c r="AL14" s="695">
        <v>0</v>
      </c>
      <c r="AM14" s="694"/>
      <c r="AN14" s="693">
        <v>0</v>
      </c>
      <c r="AO14" s="693">
        <v>0</v>
      </c>
      <c r="AP14" s="693">
        <v>0</v>
      </c>
      <c r="AQ14" s="693">
        <v>0</v>
      </c>
      <c r="AR14" s="695">
        <v>0</v>
      </c>
      <c r="AS14" s="694"/>
      <c r="AT14" s="695">
        <v>0</v>
      </c>
      <c r="AU14" s="695"/>
      <c r="AV14" s="695">
        <v>0</v>
      </c>
      <c r="AW14" s="695"/>
      <c r="AX14" s="695">
        <v>0</v>
      </c>
    </row>
    <row r="15" spans="1:50" ht="14.25" customHeight="1">
      <c r="A15" s="55"/>
      <c r="B15" s="692" t="s">
        <v>306</v>
      </c>
      <c r="D15" s="693" t="s">
        <v>884</v>
      </c>
      <c r="E15" s="693" t="s">
        <v>885</v>
      </c>
      <c r="F15" s="693" t="s">
        <v>886</v>
      </c>
      <c r="G15" s="693" t="s">
        <v>887</v>
      </c>
      <c r="H15" s="695" t="s">
        <v>307</v>
      </c>
      <c r="I15" s="694"/>
      <c r="J15" s="693" t="s">
        <v>888</v>
      </c>
      <c r="K15" s="693" t="s">
        <v>889</v>
      </c>
      <c r="L15" s="693" t="s">
        <v>890</v>
      </c>
      <c r="M15" s="693" t="s">
        <v>891</v>
      </c>
      <c r="N15" s="695" t="s">
        <v>308</v>
      </c>
      <c r="O15" s="694"/>
      <c r="P15" s="693" t="s">
        <v>892</v>
      </c>
      <c r="Q15" s="693" t="s">
        <v>893</v>
      </c>
      <c r="R15" s="693" t="s">
        <v>894</v>
      </c>
      <c r="S15" s="693" t="s">
        <v>895</v>
      </c>
      <c r="T15" s="695" t="s">
        <v>738</v>
      </c>
      <c r="U15" s="694"/>
      <c r="V15" s="693" t="s">
        <v>896</v>
      </c>
      <c r="W15" s="693" t="s">
        <v>897</v>
      </c>
      <c r="X15" s="693" t="s">
        <v>898</v>
      </c>
      <c r="Y15" s="693" t="s">
        <v>899</v>
      </c>
      <c r="Z15" s="695" t="s">
        <v>309</v>
      </c>
      <c r="AA15" s="694"/>
      <c r="AB15" s="693" t="s">
        <v>900</v>
      </c>
      <c r="AC15" s="693" t="s">
        <v>901</v>
      </c>
      <c r="AD15" s="693" t="s">
        <v>902</v>
      </c>
      <c r="AE15" s="693" t="s">
        <v>903</v>
      </c>
      <c r="AF15" s="695">
        <v>17264</v>
      </c>
      <c r="AG15" s="705" t="s">
        <v>859</v>
      </c>
      <c r="AH15" s="693" t="s">
        <v>904</v>
      </c>
      <c r="AI15" s="693" t="s">
        <v>905</v>
      </c>
      <c r="AJ15" s="693">
        <v>0</v>
      </c>
      <c r="AK15" s="693">
        <v>0</v>
      </c>
      <c r="AL15" s="695">
        <v>0</v>
      </c>
      <c r="AM15" s="694"/>
      <c r="AN15" s="693">
        <v>0</v>
      </c>
      <c r="AO15" s="693">
        <v>0</v>
      </c>
      <c r="AP15" s="693">
        <v>0</v>
      </c>
      <c r="AQ15" s="693">
        <v>0</v>
      </c>
      <c r="AR15" s="695">
        <v>0</v>
      </c>
      <c r="AS15" s="694"/>
      <c r="AT15" s="695">
        <v>0</v>
      </c>
      <c r="AU15" s="695"/>
      <c r="AV15" s="695">
        <v>0</v>
      </c>
      <c r="AW15" s="695"/>
      <c r="AX15" s="695">
        <v>0</v>
      </c>
    </row>
    <row r="16" spans="1:50" ht="14.25" customHeight="1">
      <c r="A16" s="55"/>
      <c r="B16" s="692" t="s">
        <v>311</v>
      </c>
      <c r="D16" s="693" t="s">
        <v>906</v>
      </c>
      <c r="E16" s="693" t="s">
        <v>907</v>
      </c>
      <c r="F16" s="693" t="s">
        <v>908</v>
      </c>
      <c r="G16" s="693" t="s">
        <v>909</v>
      </c>
      <c r="H16" s="695" t="s">
        <v>312</v>
      </c>
      <c r="I16" s="694"/>
      <c r="J16" s="693" t="s">
        <v>910</v>
      </c>
      <c r="K16" s="693" t="s">
        <v>911</v>
      </c>
      <c r="L16" s="693" t="s">
        <v>912</v>
      </c>
      <c r="M16" s="693" t="s">
        <v>913</v>
      </c>
      <c r="N16" s="695" t="s">
        <v>313</v>
      </c>
      <c r="O16" s="694"/>
      <c r="P16" s="693" t="s">
        <v>914</v>
      </c>
      <c r="Q16" s="693" t="s">
        <v>915</v>
      </c>
      <c r="R16" s="693" t="s">
        <v>916</v>
      </c>
      <c r="S16" s="693" t="s">
        <v>917</v>
      </c>
      <c r="T16" s="695" t="s">
        <v>739</v>
      </c>
      <c r="U16" s="694"/>
      <c r="V16" s="693" t="s">
        <v>918</v>
      </c>
      <c r="W16" s="693" t="s">
        <v>919</v>
      </c>
      <c r="X16" s="693" t="s">
        <v>920</v>
      </c>
      <c r="Y16" s="693" t="s">
        <v>921</v>
      </c>
      <c r="Z16" s="695" t="s">
        <v>314</v>
      </c>
      <c r="AA16" s="694"/>
      <c r="AB16" s="693" t="s">
        <v>922</v>
      </c>
      <c r="AC16" s="693" t="s">
        <v>923</v>
      </c>
      <c r="AD16" s="693" t="s">
        <v>336</v>
      </c>
      <c r="AE16" s="693" t="s">
        <v>924</v>
      </c>
      <c r="AF16" s="695">
        <v>12479</v>
      </c>
      <c r="AG16" s="705" t="s">
        <v>859</v>
      </c>
      <c r="AH16" s="693" t="s">
        <v>925</v>
      </c>
      <c r="AI16" s="693" t="s">
        <v>926</v>
      </c>
      <c r="AJ16" s="693">
        <v>0</v>
      </c>
      <c r="AK16" s="693">
        <v>0</v>
      </c>
      <c r="AL16" s="695">
        <v>0</v>
      </c>
      <c r="AM16" s="694"/>
      <c r="AN16" s="693">
        <v>0</v>
      </c>
      <c r="AO16" s="693">
        <v>0</v>
      </c>
      <c r="AP16" s="693">
        <v>0</v>
      </c>
      <c r="AQ16" s="693">
        <v>0</v>
      </c>
      <c r="AR16" s="695">
        <v>0</v>
      </c>
      <c r="AS16" s="694"/>
      <c r="AT16" s="695">
        <v>0</v>
      </c>
      <c r="AU16" s="695"/>
      <c r="AV16" s="695">
        <v>0</v>
      </c>
      <c r="AW16" s="695"/>
      <c r="AX16" s="695">
        <v>0</v>
      </c>
    </row>
    <row r="17" spans="1:50" ht="14.25" customHeight="1">
      <c r="A17" s="55"/>
      <c r="B17" s="76" t="s">
        <v>316</v>
      </c>
      <c r="D17" s="697" t="s">
        <v>927</v>
      </c>
      <c r="E17" s="697" t="s">
        <v>928</v>
      </c>
      <c r="F17" s="697" t="s">
        <v>929</v>
      </c>
      <c r="G17" s="697" t="s">
        <v>930</v>
      </c>
      <c r="H17" s="698" t="s">
        <v>931</v>
      </c>
      <c r="I17" s="694"/>
      <c r="J17" s="697" t="s">
        <v>932</v>
      </c>
      <c r="K17" s="697" t="s">
        <v>933</v>
      </c>
      <c r="L17" s="697" t="s">
        <v>934</v>
      </c>
      <c r="M17" s="697" t="s">
        <v>935</v>
      </c>
      <c r="N17" s="698" t="s">
        <v>936</v>
      </c>
      <c r="O17" s="694"/>
      <c r="P17" s="697" t="s">
        <v>937</v>
      </c>
      <c r="Q17" s="697" t="s">
        <v>938</v>
      </c>
      <c r="R17" s="697" t="s">
        <v>939</v>
      </c>
      <c r="S17" s="697" t="s">
        <v>940</v>
      </c>
      <c r="T17" s="698" t="s">
        <v>941</v>
      </c>
      <c r="U17" s="694"/>
      <c r="V17" s="697" t="s">
        <v>942</v>
      </c>
      <c r="W17" s="697" t="s">
        <v>943</v>
      </c>
      <c r="X17" s="697" t="s">
        <v>944</v>
      </c>
      <c r="Y17" s="697" t="s">
        <v>945</v>
      </c>
      <c r="Z17" s="698" t="s">
        <v>946</v>
      </c>
      <c r="AA17" s="694"/>
      <c r="AB17" s="697" t="s">
        <v>947</v>
      </c>
      <c r="AC17" s="697" t="s">
        <v>948</v>
      </c>
      <c r="AD17" s="697" t="s">
        <v>949</v>
      </c>
      <c r="AE17" s="697" t="s">
        <v>950</v>
      </c>
      <c r="AF17" s="698" t="s">
        <v>951</v>
      </c>
      <c r="AG17" s="705" t="s">
        <v>859</v>
      </c>
      <c r="AH17" s="697" t="s">
        <v>952</v>
      </c>
      <c r="AI17" s="697" t="s">
        <v>953</v>
      </c>
      <c r="AJ17" s="693" t="s">
        <v>954</v>
      </c>
      <c r="AK17" s="693" t="s">
        <v>954</v>
      </c>
      <c r="AL17" s="706" t="s">
        <v>955</v>
      </c>
      <c r="AM17" s="694"/>
      <c r="AN17" s="693" t="s">
        <v>956</v>
      </c>
      <c r="AO17" s="693" t="s">
        <v>956</v>
      </c>
      <c r="AP17" s="693" t="s">
        <v>956</v>
      </c>
      <c r="AQ17" s="693" t="s">
        <v>956</v>
      </c>
      <c r="AR17" s="706" t="s">
        <v>957</v>
      </c>
      <c r="AS17" s="694"/>
      <c r="AT17" s="706" t="s">
        <v>958</v>
      </c>
      <c r="AU17" s="695"/>
      <c r="AV17" s="706" t="s">
        <v>959</v>
      </c>
      <c r="AW17" s="695"/>
      <c r="AX17" s="706" t="s">
        <v>960</v>
      </c>
    </row>
    <row r="18" spans="1:50" ht="14.25" customHeight="1">
      <c r="A18" s="55"/>
      <c r="B18" s="64"/>
      <c r="D18" s="697" t="s">
        <v>859</v>
      </c>
      <c r="E18" s="697" t="s">
        <v>859</v>
      </c>
      <c r="F18" s="697" t="s">
        <v>859</v>
      </c>
      <c r="G18" s="697" t="s">
        <v>859</v>
      </c>
      <c r="H18" s="694"/>
      <c r="I18" s="694"/>
      <c r="J18" s="697" t="s">
        <v>859</v>
      </c>
      <c r="K18" s="697" t="s">
        <v>859</v>
      </c>
      <c r="L18" s="697" t="s">
        <v>859</v>
      </c>
      <c r="M18" s="697" t="s">
        <v>859</v>
      </c>
      <c r="N18" s="694"/>
      <c r="O18" s="694"/>
      <c r="P18" s="697" t="s">
        <v>859</v>
      </c>
      <c r="Q18" s="697" t="s">
        <v>859</v>
      </c>
      <c r="R18" s="697" t="s">
        <v>859</v>
      </c>
      <c r="S18" s="697" t="s">
        <v>859</v>
      </c>
      <c r="T18" s="694"/>
      <c r="U18" s="694"/>
      <c r="V18" s="697" t="s">
        <v>859</v>
      </c>
      <c r="W18" s="697" t="s">
        <v>859</v>
      </c>
      <c r="X18" s="697" t="s">
        <v>859</v>
      </c>
      <c r="Y18" s="697" t="s">
        <v>859</v>
      </c>
      <c r="Z18" s="694"/>
      <c r="AA18" s="694"/>
      <c r="AB18" s="697" t="s">
        <v>859</v>
      </c>
      <c r="AC18" s="697" t="s">
        <v>859</v>
      </c>
      <c r="AD18" s="697" t="s">
        <v>859</v>
      </c>
      <c r="AE18" s="697" t="s">
        <v>859</v>
      </c>
      <c r="AF18" s="694"/>
      <c r="AG18" s="705" t="s">
        <v>859</v>
      </c>
      <c r="AH18" s="697" t="s">
        <v>859</v>
      </c>
      <c r="AI18" s="697" t="s">
        <v>859</v>
      </c>
      <c r="AJ18" s="693" t="s">
        <v>859</v>
      </c>
      <c r="AK18" s="693" t="s">
        <v>859</v>
      </c>
      <c r="AL18" s="695"/>
      <c r="AM18" s="694"/>
      <c r="AN18" s="693" t="s">
        <v>859</v>
      </c>
      <c r="AO18" s="693" t="s">
        <v>859</v>
      </c>
      <c r="AP18" s="693" t="s">
        <v>859</v>
      </c>
      <c r="AQ18" s="693" t="s">
        <v>859</v>
      </c>
      <c r="AR18" s="695"/>
      <c r="AS18" s="694"/>
      <c r="AT18" s="695"/>
      <c r="AU18" s="695"/>
      <c r="AV18" s="695"/>
      <c r="AW18" s="695"/>
      <c r="AX18" s="695"/>
    </row>
    <row r="19" spans="1:50" ht="14.25" customHeight="1">
      <c r="A19" s="44" t="s">
        <v>41</v>
      </c>
      <c r="B19" s="65" t="s">
        <v>740</v>
      </c>
      <c r="D19" s="697" t="s">
        <v>859</v>
      </c>
      <c r="E19" s="697" t="s">
        <v>859</v>
      </c>
      <c r="F19" s="697" t="s">
        <v>859</v>
      </c>
      <c r="G19" s="697" t="s">
        <v>859</v>
      </c>
      <c r="H19" s="694"/>
      <c r="I19" s="694"/>
      <c r="J19" s="697" t="s">
        <v>859</v>
      </c>
      <c r="K19" s="697" t="s">
        <v>859</v>
      </c>
      <c r="L19" s="697" t="s">
        <v>859</v>
      </c>
      <c r="M19" s="697" t="s">
        <v>859</v>
      </c>
      <c r="N19" s="694"/>
      <c r="O19" s="694"/>
      <c r="P19" s="697" t="s">
        <v>859</v>
      </c>
      <c r="Q19" s="697" t="s">
        <v>859</v>
      </c>
      <c r="R19" s="697" t="s">
        <v>859</v>
      </c>
      <c r="S19" s="697" t="s">
        <v>859</v>
      </c>
      <c r="T19" s="694"/>
      <c r="U19" s="694"/>
      <c r="V19" s="697" t="s">
        <v>859</v>
      </c>
      <c r="W19" s="697" t="s">
        <v>859</v>
      </c>
      <c r="X19" s="697" t="s">
        <v>859</v>
      </c>
      <c r="Y19" s="697" t="s">
        <v>859</v>
      </c>
      <c r="Z19" s="694"/>
      <c r="AA19" s="694"/>
      <c r="AB19" s="697" t="s">
        <v>859</v>
      </c>
      <c r="AC19" s="697" t="s">
        <v>859</v>
      </c>
      <c r="AD19" s="697" t="s">
        <v>859</v>
      </c>
      <c r="AE19" s="697" t="s">
        <v>859</v>
      </c>
      <c r="AF19" s="694"/>
      <c r="AG19" s="705" t="s">
        <v>859</v>
      </c>
      <c r="AH19" s="697" t="s">
        <v>859</v>
      </c>
      <c r="AI19" s="697" t="s">
        <v>859</v>
      </c>
      <c r="AJ19" s="693" t="s">
        <v>859</v>
      </c>
      <c r="AK19" s="693" t="s">
        <v>859</v>
      </c>
      <c r="AL19" s="695"/>
      <c r="AM19" s="707" t="s">
        <v>859</v>
      </c>
      <c r="AN19" s="693" t="s">
        <v>859</v>
      </c>
      <c r="AO19" s="693" t="s">
        <v>859</v>
      </c>
      <c r="AP19" s="693" t="s">
        <v>859</v>
      </c>
      <c r="AQ19" s="693" t="s">
        <v>859</v>
      </c>
      <c r="AR19" s="695"/>
      <c r="AS19" s="707" t="s">
        <v>859</v>
      </c>
      <c r="AT19" s="695"/>
      <c r="AU19" s="708" t="s">
        <v>859</v>
      </c>
      <c r="AV19" s="695"/>
      <c r="AW19" s="708" t="s">
        <v>859</v>
      </c>
      <c r="AX19" s="695"/>
    </row>
    <row r="20" spans="1:50" ht="14.25" customHeight="1">
      <c r="A20" s="55"/>
      <c r="B20" s="70" t="s">
        <v>741</v>
      </c>
      <c r="D20" s="697" t="s">
        <v>961</v>
      </c>
      <c r="E20" s="697" t="s">
        <v>962</v>
      </c>
      <c r="F20" s="697" t="s">
        <v>963</v>
      </c>
      <c r="G20" s="697" t="s">
        <v>964</v>
      </c>
      <c r="H20" s="694" t="s">
        <v>965</v>
      </c>
      <c r="I20" s="694"/>
      <c r="J20" s="697" t="s">
        <v>966</v>
      </c>
      <c r="K20" s="697" t="s">
        <v>967</v>
      </c>
      <c r="L20" s="697" t="s">
        <v>968</v>
      </c>
      <c r="M20" s="697" t="s">
        <v>969</v>
      </c>
      <c r="N20" s="694" t="s">
        <v>970</v>
      </c>
      <c r="O20" s="694"/>
      <c r="P20" s="697" t="s">
        <v>971</v>
      </c>
      <c r="Q20" s="697" t="s">
        <v>972</v>
      </c>
      <c r="R20" s="697" t="s">
        <v>973</v>
      </c>
      <c r="S20" s="697" t="s">
        <v>974</v>
      </c>
      <c r="T20" s="694" t="s">
        <v>975</v>
      </c>
      <c r="U20" s="694"/>
      <c r="V20" s="697" t="s">
        <v>976</v>
      </c>
      <c r="W20" s="697" t="s">
        <v>977</v>
      </c>
      <c r="X20" s="697" t="s">
        <v>978</v>
      </c>
      <c r="Y20" s="697" t="s">
        <v>979</v>
      </c>
      <c r="Z20" s="694" t="s">
        <v>980</v>
      </c>
      <c r="AA20" s="694"/>
      <c r="AB20" s="697" t="s">
        <v>981</v>
      </c>
      <c r="AC20" s="697" t="s">
        <v>982</v>
      </c>
      <c r="AD20" s="697" t="s">
        <v>983</v>
      </c>
      <c r="AE20" s="697" t="s">
        <v>984</v>
      </c>
      <c r="AF20" s="694" t="s">
        <v>985</v>
      </c>
      <c r="AG20" s="705" t="s">
        <v>859</v>
      </c>
      <c r="AH20" s="697" t="s">
        <v>986</v>
      </c>
      <c r="AI20" s="697" t="s">
        <v>987</v>
      </c>
      <c r="AJ20" s="693">
        <v>0</v>
      </c>
      <c r="AK20" s="693">
        <v>0</v>
      </c>
      <c r="AL20" s="695" t="s">
        <v>988</v>
      </c>
      <c r="AM20" s="694"/>
      <c r="AN20" s="693">
        <v>0</v>
      </c>
      <c r="AO20" s="693">
        <v>0</v>
      </c>
      <c r="AP20" s="693">
        <v>0</v>
      </c>
      <c r="AQ20" s="693">
        <v>0</v>
      </c>
      <c r="AR20" s="695">
        <v>0</v>
      </c>
      <c r="AS20" s="694"/>
      <c r="AT20" s="695">
        <v>0</v>
      </c>
      <c r="AU20" s="695"/>
      <c r="AV20" s="695">
        <v>0</v>
      </c>
      <c r="AW20" s="695"/>
      <c r="AX20" s="695">
        <v>0</v>
      </c>
    </row>
    <row r="21" spans="1:50" ht="14.25" customHeight="1">
      <c r="A21" s="73"/>
      <c r="B21" s="70" t="s">
        <v>742</v>
      </c>
      <c r="D21" s="697">
        <v>0</v>
      </c>
      <c r="E21" s="697">
        <v>0</v>
      </c>
      <c r="F21" s="697">
        <v>0</v>
      </c>
      <c r="G21" s="697">
        <v>0</v>
      </c>
      <c r="H21" s="699">
        <v>0</v>
      </c>
      <c r="I21" s="694"/>
      <c r="J21" s="697">
        <v>0</v>
      </c>
      <c r="K21" s="697">
        <v>0</v>
      </c>
      <c r="L21" s="697">
        <v>0</v>
      </c>
      <c r="M21" s="697">
        <v>0</v>
      </c>
      <c r="N21" s="699">
        <v>0</v>
      </c>
      <c r="O21" s="694"/>
      <c r="P21" s="697">
        <v>0</v>
      </c>
      <c r="Q21" s="697">
        <v>0</v>
      </c>
      <c r="R21" s="697">
        <v>0</v>
      </c>
      <c r="S21" s="697">
        <v>0</v>
      </c>
      <c r="T21" s="699">
        <v>0</v>
      </c>
      <c r="U21" s="694"/>
      <c r="V21" s="697">
        <v>0</v>
      </c>
      <c r="W21" s="697">
        <v>0</v>
      </c>
      <c r="X21" s="697">
        <v>0</v>
      </c>
      <c r="Y21" s="697">
        <v>0</v>
      </c>
      <c r="Z21" s="699">
        <v>0</v>
      </c>
      <c r="AA21" s="694"/>
      <c r="AB21" s="697">
        <v>0</v>
      </c>
      <c r="AC21" s="697">
        <v>0</v>
      </c>
      <c r="AD21" s="697">
        <v>0</v>
      </c>
      <c r="AE21" s="697">
        <v>0</v>
      </c>
      <c r="AF21" s="699">
        <v>0</v>
      </c>
      <c r="AG21" s="705" t="s">
        <v>859</v>
      </c>
      <c r="AH21" s="697">
        <v>0</v>
      </c>
      <c r="AI21" s="697">
        <v>0</v>
      </c>
      <c r="AJ21" s="693">
        <v>0</v>
      </c>
      <c r="AK21" s="693">
        <v>0</v>
      </c>
      <c r="AL21" s="709">
        <v>0</v>
      </c>
      <c r="AM21" s="694"/>
      <c r="AN21" s="693">
        <v>0</v>
      </c>
      <c r="AO21" s="693">
        <v>0</v>
      </c>
      <c r="AP21" s="693">
        <v>0</v>
      </c>
      <c r="AQ21" s="693">
        <v>0</v>
      </c>
      <c r="AR21" s="709">
        <v>0</v>
      </c>
      <c r="AS21" s="694"/>
      <c r="AT21" s="709">
        <v>0</v>
      </c>
      <c r="AU21" s="695"/>
      <c r="AV21" s="709">
        <v>0</v>
      </c>
      <c r="AW21" s="695"/>
      <c r="AX21" s="709">
        <v>0</v>
      </c>
    </row>
    <row r="22" spans="1:50" ht="14.25" customHeight="1">
      <c r="A22" s="55"/>
      <c r="B22" s="76" t="s">
        <v>743</v>
      </c>
      <c r="D22" s="697" t="s">
        <v>961</v>
      </c>
      <c r="E22" s="697" t="s">
        <v>962</v>
      </c>
      <c r="F22" s="697" t="s">
        <v>963</v>
      </c>
      <c r="G22" s="697" t="s">
        <v>964</v>
      </c>
      <c r="H22" s="699" t="s">
        <v>965</v>
      </c>
      <c r="I22" s="694"/>
      <c r="J22" s="697" t="s">
        <v>966</v>
      </c>
      <c r="K22" s="697" t="s">
        <v>967</v>
      </c>
      <c r="L22" s="697" t="s">
        <v>968</v>
      </c>
      <c r="M22" s="697" t="s">
        <v>969</v>
      </c>
      <c r="N22" s="699" t="s">
        <v>970</v>
      </c>
      <c r="O22" s="694"/>
      <c r="P22" s="697" t="s">
        <v>971</v>
      </c>
      <c r="Q22" s="697" t="s">
        <v>972</v>
      </c>
      <c r="R22" s="697" t="s">
        <v>973</v>
      </c>
      <c r="S22" s="697" t="s">
        <v>974</v>
      </c>
      <c r="T22" s="699" t="s">
        <v>975</v>
      </c>
      <c r="U22" s="694"/>
      <c r="V22" s="697" t="s">
        <v>976</v>
      </c>
      <c r="W22" s="697" t="s">
        <v>977</v>
      </c>
      <c r="X22" s="697" t="s">
        <v>978</v>
      </c>
      <c r="Y22" s="697" t="s">
        <v>979</v>
      </c>
      <c r="Z22" s="699" t="s">
        <v>980</v>
      </c>
      <c r="AA22" s="694"/>
      <c r="AB22" s="697" t="s">
        <v>981</v>
      </c>
      <c r="AC22" s="697" t="s">
        <v>982</v>
      </c>
      <c r="AD22" s="697" t="s">
        <v>983</v>
      </c>
      <c r="AE22" s="697" t="s">
        <v>984</v>
      </c>
      <c r="AF22" s="699" t="s">
        <v>985</v>
      </c>
      <c r="AG22" s="705" t="s">
        <v>859</v>
      </c>
      <c r="AH22" s="697" t="s">
        <v>986</v>
      </c>
      <c r="AI22" s="697" t="s">
        <v>987</v>
      </c>
      <c r="AJ22" s="693" t="s">
        <v>954</v>
      </c>
      <c r="AK22" s="693" t="s">
        <v>954</v>
      </c>
      <c r="AL22" s="709" t="s">
        <v>989</v>
      </c>
      <c r="AM22" s="694"/>
      <c r="AN22" s="693" t="s">
        <v>956</v>
      </c>
      <c r="AO22" s="693" t="s">
        <v>956</v>
      </c>
      <c r="AP22" s="693" t="s">
        <v>956</v>
      </c>
      <c r="AQ22" s="693" t="s">
        <v>956</v>
      </c>
      <c r="AR22" s="709" t="s">
        <v>957</v>
      </c>
      <c r="AS22" s="694"/>
      <c r="AT22" s="709" t="s">
        <v>958</v>
      </c>
      <c r="AU22" s="695"/>
      <c r="AV22" s="709" t="s">
        <v>959</v>
      </c>
      <c r="AW22" s="695"/>
      <c r="AX22" s="709" t="s">
        <v>960</v>
      </c>
    </row>
    <row r="23" spans="1:50" ht="14.25" customHeight="1">
      <c r="A23" s="73"/>
      <c r="B23" s="79" t="s">
        <v>391</v>
      </c>
      <c r="D23" s="697" t="s">
        <v>990</v>
      </c>
      <c r="E23" s="697" t="s">
        <v>991</v>
      </c>
      <c r="F23" s="697" t="s">
        <v>992</v>
      </c>
      <c r="G23" s="697" t="s">
        <v>993</v>
      </c>
      <c r="H23" s="699" t="s">
        <v>994</v>
      </c>
      <c r="I23" s="694"/>
      <c r="J23" s="697" t="s">
        <v>995</v>
      </c>
      <c r="K23" s="697" t="s">
        <v>996</v>
      </c>
      <c r="L23" s="697" t="s">
        <v>997</v>
      </c>
      <c r="M23" s="697" t="s">
        <v>998</v>
      </c>
      <c r="N23" s="699" t="s">
        <v>999</v>
      </c>
      <c r="O23" s="694"/>
      <c r="P23" s="697" t="s">
        <v>1000</v>
      </c>
      <c r="Q23" s="697" t="s">
        <v>1001</v>
      </c>
      <c r="R23" s="697" t="s">
        <v>1002</v>
      </c>
      <c r="S23" s="697" t="s">
        <v>997</v>
      </c>
      <c r="T23" s="699" t="s">
        <v>1003</v>
      </c>
      <c r="U23" s="694"/>
      <c r="V23" s="697" t="s">
        <v>1004</v>
      </c>
      <c r="W23" s="697" t="s">
        <v>1005</v>
      </c>
      <c r="X23" s="697" t="s">
        <v>1006</v>
      </c>
      <c r="Y23" s="697" t="s">
        <v>1007</v>
      </c>
      <c r="Z23" s="699" t="s">
        <v>1008</v>
      </c>
      <c r="AA23" s="694"/>
      <c r="AB23" s="697" t="s">
        <v>1009</v>
      </c>
      <c r="AC23" s="697" t="s">
        <v>1010</v>
      </c>
      <c r="AD23" s="697" t="s">
        <v>1011</v>
      </c>
      <c r="AE23" s="697">
        <v>690</v>
      </c>
      <c r="AF23" s="699" t="s">
        <v>1012</v>
      </c>
      <c r="AG23" s="705" t="s">
        <v>859</v>
      </c>
      <c r="AH23" s="697" t="s">
        <v>1013</v>
      </c>
      <c r="AI23" s="697">
        <v>800</v>
      </c>
      <c r="AJ23" s="693" t="s">
        <v>954</v>
      </c>
      <c r="AK23" s="693" t="s">
        <v>954</v>
      </c>
      <c r="AL23" s="709" t="s">
        <v>989</v>
      </c>
      <c r="AM23" s="694"/>
      <c r="AN23" s="693" t="s">
        <v>956</v>
      </c>
      <c r="AO23" s="693" t="s">
        <v>956</v>
      </c>
      <c r="AP23" s="693" t="s">
        <v>956</v>
      </c>
      <c r="AQ23" s="693" t="s">
        <v>956</v>
      </c>
      <c r="AR23" s="709" t="s">
        <v>957</v>
      </c>
      <c r="AS23" s="694"/>
      <c r="AT23" s="709" t="s">
        <v>958</v>
      </c>
      <c r="AU23" s="695"/>
      <c r="AV23" s="709" t="s">
        <v>959</v>
      </c>
      <c r="AW23" s="695"/>
      <c r="AX23" s="709" t="s">
        <v>960</v>
      </c>
    </row>
    <row r="24" spans="1:50" ht="14.25" customHeight="1">
      <c r="A24" s="55"/>
      <c r="B24" s="80"/>
      <c r="D24" s="697" t="s">
        <v>859</v>
      </c>
      <c r="E24" s="697" t="s">
        <v>859</v>
      </c>
      <c r="F24" s="697" t="s">
        <v>859</v>
      </c>
      <c r="G24" s="697" t="s">
        <v>859</v>
      </c>
      <c r="H24" s="694"/>
      <c r="I24" s="694"/>
      <c r="J24" s="697" t="s">
        <v>859</v>
      </c>
      <c r="K24" s="697" t="s">
        <v>859</v>
      </c>
      <c r="L24" s="697" t="s">
        <v>859</v>
      </c>
      <c r="M24" s="697" t="s">
        <v>859</v>
      </c>
      <c r="N24" s="694"/>
      <c r="O24" s="694"/>
      <c r="P24" s="697" t="s">
        <v>859</v>
      </c>
      <c r="Q24" s="697" t="s">
        <v>859</v>
      </c>
      <c r="R24" s="697" t="s">
        <v>859</v>
      </c>
      <c r="S24" s="697" t="s">
        <v>859</v>
      </c>
      <c r="T24" s="694"/>
      <c r="U24" s="694"/>
      <c r="V24" s="697" t="s">
        <v>859</v>
      </c>
      <c r="W24" s="697" t="s">
        <v>859</v>
      </c>
      <c r="X24" s="697" t="s">
        <v>859</v>
      </c>
      <c r="Y24" s="697" t="s">
        <v>859</v>
      </c>
      <c r="Z24" s="694"/>
      <c r="AA24" s="694"/>
      <c r="AB24" s="697" t="s">
        <v>859</v>
      </c>
      <c r="AC24" s="697" t="s">
        <v>859</v>
      </c>
      <c r="AD24" s="697" t="s">
        <v>859</v>
      </c>
      <c r="AE24" s="697" t="s">
        <v>859</v>
      </c>
      <c r="AF24" s="694"/>
      <c r="AG24" s="705" t="s">
        <v>859</v>
      </c>
      <c r="AH24" s="697" t="s">
        <v>859</v>
      </c>
      <c r="AI24" s="697" t="s">
        <v>859</v>
      </c>
      <c r="AJ24" s="693" t="s">
        <v>859</v>
      </c>
      <c r="AK24" s="693" t="s">
        <v>859</v>
      </c>
      <c r="AL24" s="695"/>
      <c r="AM24" s="694"/>
      <c r="AN24" s="693" t="s">
        <v>859</v>
      </c>
      <c r="AO24" s="693" t="s">
        <v>859</v>
      </c>
      <c r="AP24" s="693" t="s">
        <v>859</v>
      </c>
      <c r="AQ24" s="693" t="s">
        <v>859</v>
      </c>
      <c r="AR24" s="695"/>
      <c r="AS24" s="694"/>
      <c r="AT24" s="695"/>
      <c r="AU24" s="695"/>
      <c r="AV24" s="695"/>
      <c r="AW24" s="695"/>
      <c r="AX24" s="695"/>
    </row>
    <row r="25" spans="1:50" ht="14.25" customHeight="1">
      <c r="A25" s="44" t="s">
        <v>41</v>
      </c>
      <c r="B25" s="65" t="s">
        <v>744</v>
      </c>
      <c r="D25" s="697" t="s">
        <v>859</v>
      </c>
      <c r="E25" s="697" t="s">
        <v>859</v>
      </c>
      <c r="F25" s="697" t="s">
        <v>859</v>
      </c>
      <c r="G25" s="697" t="s">
        <v>859</v>
      </c>
      <c r="H25" s="694"/>
      <c r="I25" s="694"/>
      <c r="J25" s="697" t="s">
        <v>859</v>
      </c>
      <c r="K25" s="697" t="s">
        <v>859</v>
      </c>
      <c r="L25" s="697" t="s">
        <v>859</v>
      </c>
      <c r="M25" s="697" t="s">
        <v>859</v>
      </c>
      <c r="N25" s="694"/>
      <c r="O25" s="694"/>
      <c r="P25" s="697" t="s">
        <v>859</v>
      </c>
      <c r="Q25" s="697" t="s">
        <v>859</v>
      </c>
      <c r="R25" s="697" t="s">
        <v>859</v>
      </c>
      <c r="S25" s="697" t="s">
        <v>859</v>
      </c>
      <c r="T25" s="694"/>
      <c r="U25" s="694"/>
      <c r="V25" s="697" t="s">
        <v>859</v>
      </c>
      <c r="W25" s="697" t="s">
        <v>859</v>
      </c>
      <c r="X25" s="697" t="s">
        <v>859</v>
      </c>
      <c r="Y25" s="697" t="s">
        <v>859</v>
      </c>
      <c r="Z25" s="694"/>
      <c r="AA25" s="694"/>
      <c r="AB25" s="697" t="s">
        <v>859</v>
      </c>
      <c r="AC25" s="697" t="s">
        <v>859</v>
      </c>
      <c r="AD25" s="697" t="s">
        <v>859</v>
      </c>
      <c r="AE25" s="697" t="s">
        <v>859</v>
      </c>
      <c r="AF25" s="694"/>
      <c r="AG25" s="705" t="s">
        <v>859</v>
      </c>
      <c r="AH25" s="697" t="s">
        <v>859</v>
      </c>
      <c r="AI25" s="697" t="s">
        <v>859</v>
      </c>
      <c r="AJ25" s="693" t="s">
        <v>859</v>
      </c>
      <c r="AK25" s="693" t="s">
        <v>859</v>
      </c>
      <c r="AL25" s="695"/>
      <c r="AM25" s="694"/>
      <c r="AN25" s="693" t="s">
        <v>859</v>
      </c>
      <c r="AO25" s="693" t="s">
        <v>859</v>
      </c>
      <c r="AP25" s="693" t="s">
        <v>859</v>
      </c>
      <c r="AQ25" s="693" t="s">
        <v>859</v>
      </c>
      <c r="AR25" s="695"/>
      <c r="AS25" s="694"/>
      <c r="AT25" s="695"/>
      <c r="AU25" s="695"/>
      <c r="AV25" s="695"/>
      <c r="AW25" s="695"/>
      <c r="AX25" s="695"/>
    </row>
    <row r="26" spans="1:50" ht="14.25" customHeight="1">
      <c r="A26" s="84"/>
      <c r="B26" s="70" t="s">
        <v>745</v>
      </c>
      <c r="D26" s="697">
        <v>0</v>
      </c>
      <c r="E26" s="697">
        <v>0</v>
      </c>
      <c r="F26" s="697">
        <v>0</v>
      </c>
      <c r="G26" s="697">
        <v>0</v>
      </c>
      <c r="H26" s="694">
        <v>0</v>
      </c>
      <c r="I26" s="694"/>
      <c r="J26" s="697">
        <v>0</v>
      </c>
      <c r="K26" s="697">
        <v>0</v>
      </c>
      <c r="L26" s="697">
        <v>0</v>
      </c>
      <c r="M26" s="697">
        <v>0</v>
      </c>
      <c r="N26" s="694">
        <v>0</v>
      </c>
      <c r="O26" s="694"/>
      <c r="P26" s="697">
        <v>0</v>
      </c>
      <c r="Q26" s="697">
        <v>0</v>
      </c>
      <c r="R26" s="697">
        <v>0</v>
      </c>
      <c r="S26" s="697">
        <v>0</v>
      </c>
      <c r="T26" s="694">
        <v>0</v>
      </c>
      <c r="U26" s="694"/>
      <c r="V26" s="697">
        <v>0</v>
      </c>
      <c r="W26" s="697">
        <v>0</v>
      </c>
      <c r="X26" s="697">
        <v>0</v>
      </c>
      <c r="Y26" s="697">
        <v>0</v>
      </c>
      <c r="Z26" s="694">
        <v>0</v>
      </c>
      <c r="AA26" s="694"/>
      <c r="AB26" s="697">
        <v>0</v>
      </c>
      <c r="AC26" s="697">
        <v>0</v>
      </c>
      <c r="AD26" s="697">
        <v>0</v>
      </c>
      <c r="AE26" s="697">
        <v>0</v>
      </c>
      <c r="AF26" s="694">
        <v>0</v>
      </c>
      <c r="AG26" s="705" t="s">
        <v>859</v>
      </c>
      <c r="AH26" s="697">
        <v>0</v>
      </c>
      <c r="AI26" s="697">
        <v>0</v>
      </c>
      <c r="AJ26" s="693">
        <v>0</v>
      </c>
      <c r="AK26" s="693">
        <v>0</v>
      </c>
      <c r="AL26" s="695">
        <v>0</v>
      </c>
      <c r="AM26" s="694"/>
      <c r="AN26" s="693">
        <v>0</v>
      </c>
      <c r="AO26" s="693">
        <v>0</v>
      </c>
      <c r="AP26" s="693">
        <v>0</v>
      </c>
      <c r="AQ26" s="693">
        <v>0</v>
      </c>
      <c r="AR26" s="695">
        <v>0</v>
      </c>
      <c r="AS26" s="694"/>
      <c r="AT26" s="695">
        <v>0</v>
      </c>
      <c r="AU26" s="695"/>
      <c r="AV26" s="695">
        <v>0</v>
      </c>
      <c r="AW26" s="695"/>
      <c r="AX26" s="695">
        <v>0</v>
      </c>
    </row>
    <row r="27" spans="1:50" ht="14.25" customHeight="1">
      <c r="A27" s="55"/>
      <c r="B27" s="70" t="s">
        <v>746</v>
      </c>
      <c r="D27" s="697">
        <v>0</v>
      </c>
      <c r="E27" s="697">
        <v>0</v>
      </c>
      <c r="F27" s="697">
        <v>0</v>
      </c>
      <c r="G27" s="697">
        <v>0</v>
      </c>
      <c r="H27" s="694">
        <v>0</v>
      </c>
      <c r="I27" s="694"/>
      <c r="J27" s="697">
        <v>0</v>
      </c>
      <c r="K27" s="697">
        <v>0</v>
      </c>
      <c r="L27" s="697">
        <v>0</v>
      </c>
      <c r="M27" s="697">
        <v>0</v>
      </c>
      <c r="N27" s="694">
        <v>0</v>
      </c>
      <c r="O27" s="694"/>
      <c r="P27" s="697">
        <v>0</v>
      </c>
      <c r="Q27" s="697">
        <v>0</v>
      </c>
      <c r="R27" s="697">
        <v>0</v>
      </c>
      <c r="S27" s="697">
        <v>0</v>
      </c>
      <c r="T27" s="694">
        <v>0</v>
      </c>
      <c r="U27" s="694"/>
      <c r="V27" s="697">
        <v>0</v>
      </c>
      <c r="W27" s="697">
        <v>0</v>
      </c>
      <c r="X27" s="697">
        <v>0</v>
      </c>
      <c r="Y27" s="697">
        <v>0</v>
      </c>
      <c r="Z27" s="694">
        <v>0</v>
      </c>
      <c r="AA27" s="694"/>
      <c r="AB27" s="697">
        <v>0</v>
      </c>
      <c r="AC27" s="697">
        <v>0</v>
      </c>
      <c r="AD27" s="697">
        <v>0</v>
      </c>
      <c r="AE27" s="697">
        <v>0</v>
      </c>
      <c r="AF27" s="694">
        <v>0</v>
      </c>
      <c r="AG27" s="705" t="s">
        <v>859</v>
      </c>
      <c r="AH27" s="697">
        <v>0</v>
      </c>
      <c r="AI27" s="697">
        <v>0</v>
      </c>
      <c r="AJ27" s="693">
        <v>0</v>
      </c>
      <c r="AK27" s="693">
        <v>0</v>
      </c>
      <c r="AL27" s="695">
        <v>0</v>
      </c>
      <c r="AM27" s="694"/>
      <c r="AN27" s="693">
        <v>0</v>
      </c>
      <c r="AO27" s="693">
        <v>0</v>
      </c>
      <c r="AP27" s="693">
        <v>0</v>
      </c>
      <c r="AQ27" s="693">
        <v>0</v>
      </c>
      <c r="AR27" s="695">
        <v>0</v>
      </c>
      <c r="AS27" s="694"/>
      <c r="AT27" s="695">
        <v>0</v>
      </c>
      <c r="AU27" s="695"/>
      <c r="AV27" s="695">
        <v>0</v>
      </c>
      <c r="AW27" s="695"/>
      <c r="AX27" s="695">
        <v>0</v>
      </c>
    </row>
    <row r="28" spans="1:50" ht="14.25" customHeight="1">
      <c r="A28" s="73"/>
      <c r="B28" s="70" t="s">
        <v>747</v>
      </c>
      <c r="D28" s="697">
        <v>0</v>
      </c>
      <c r="E28" s="697">
        <v>0</v>
      </c>
      <c r="F28" s="697">
        <v>0</v>
      </c>
      <c r="G28" s="697">
        <v>0</v>
      </c>
      <c r="H28" s="694">
        <v>0</v>
      </c>
      <c r="I28" s="694"/>
      <c r="J28" s="697">
        <v>0</v>
      </c>
      <c r="K28" s="697">
        <v>0</v>
      </c>
      <c r="L28" s="697">
        <v>0</v>
      </c>
      <c r="M28" s="697">
        <v>0</v>
      </c>
      <c r="N28" s="694">
        <v>0</v>
      </c>
      <c r="O28" s="694"/>
      <c r="P28" s="697">
        <v>0</v>
      </c>
      <c r="Q28" s="697">
        <v>0</v>
      </c>
      <c r="R28" s="697">
        <v>0</v>
      </c>
      <c r="S28" s="697">
        <v>0</v>
      </c>
      <c r="T28" s="694">
        <v>0</v>
      </c>
      <c r="U28" s="694"/>
      <c r="V28" s="697">
        <v>0</v>
      </c>
      <c r="W28" s="697">
        <v>0</v>
      </c>
      <c r="X28" s="697">
        <v>0</v>
      </c>
      <c r="Y28" s="697">
        <v>0</v>
      </c>
      <c r="Z28" s="694">
        <v>0</v>
      </c>
      <c r="AA28" s="694"/>
      <c r="AB28" s="697">
        <v>0</v>
      </c>
      <c r="AC28" s="697">
        <v>0</v>
      </c>
      <c r="AD28" s="697">
        <v>0</v>
      </c>
      <c r="AE28" s="697">
        <v>0</v>
      </c>
      <c r="AF28" s="694">
        <v>0</v>
      </c>
      <c r="AG28" s="705" t="s">
        <v>859</v>
      </c>
      <c r="AH28" s="697">
        <v>0</v>
      </c>
      <c r="AI28" s="697">
        <v>0</v>
      </c>
      <c r="AJ28" s="693">
        <v>0</v>
      </c>
      <c r="AK28" s="693">
        <v>0</v>
      </c>
      <c r="AL28" s="695">
        <v>0</v>
      </c>
      <c r="AM28" s="694"/>
      <c r="AN28" s="693">
        <v>0</v>
      </c>
      <c r="AO28" s="693">
        <v>0</v>
      </c>
      <c r="AP28" s="693">
        <v>0</v>
      </c>
      <c r="AQ28" s="693">
        <v>0</v>
      </c>
      <c r="AR28" s="695">
        <v>0</v>
      </c>
      <c r="AS28" s="694"/>
      <c r="AT28" s="695">
        <v>0</v>
      </c>
      <c r="AU28" s="695"/>
      <c r="AV28" s="695">
        <v>0</v>
      </c>
      <c r="AW28" s="695"/>
      <c r="AX28" s="695">
        <v>0</v>
      </c>
    </row>
    <row r="29" spans="1:50" ht="14.25" customHeight="1">
      <c r="A29" s="55"/>
      <c r="B29" s="70" t="s">
        <v>748</v>
      </c>
      <c r="D29" s="697">
        <v>-500</v>
      </c>
      <c r="E29" s="697">
        <v>-470</v>
      </c>
      <c r="F29" s="697">
        <v>-480</v>
      </c>
      <c r="G29" s="697">
        <v>-571</v>
      </c>
      <c r="H29" s="701" t="s">
        <v>1014</v>
      </c>
      <c r="I29" s="694"/>
      <c r="J29" s="697">
        <v>-521</v>
      </c>
      <c r="K29" s="697">
        <v>-530</v>
      </c>
      <c r="L29" s="700" t="s">
        <v>1015</v>
      </c>
      <c r="M29" s="697">
        <v>-524</v>
      </c>
      <c r="N29" s="701" t="s">
        <v>1016</v>
      </c>
      <c r="O29" s="694"/>
      <c r="P29" s="697">
        <v>402</v>
      </c>
      <c r="Q29" s="697">
        <v>418</v>
      </c>
      <c r="R29" s="697">
        <v>-469</v>
      </c>
      <c r="S29" s="697">
        <v>437</v>
      </c>
      <c r="T29" s="699" t="s">
        <v>1017</v>
      </c>
      <c r="U29" s="694"/>
      <c r="V29" s="697">
        <v>-406</v>
      </c>
      <c r="W29" s="697">
        <v>-416</v>
      </c>
      <c r="X29" s="697">
        <v>6</v>
      </c>
      <c r="Y29" s="697">
        <v>325</v>
      </c>
      <c r="Z29" s="699" t="s">
        <v>1018</v>
      </c>
      <c r="AA29" s="694"/>
      <c r="AB29" s="697">
        <v>-424</v>
      </c>
      <c r="AC29" s="697">
        <v>-319</v>
      </c>
      <c r="AD29" s="697">
        <v>-429</v>
      </c>
      <c r="AE29" s="697">
        <v>-412</v>
      </c>
      <c r="AF29" s="701" t="s">
        <v>1019</v>
      </c>
      <c r="AG29" s="705" t="s">
        <v>859</v>
      </c>
      <c r="AH29" s="697">
        <v>-428</v>
      </c>
      <c r="AI29" s="697">
        <v>-313</v>
      </c>
      <c r="AJ29" s="693">
        <v>0</v>
      </c>
      <c r="AK29" s="693">
        <v>0</v>
      </c>
      <c r="AL29" s="709">
        <v>-727</v>
      </c>
      <c r="AM29" s="694"/>
      <c r="AN29" s="693">
        <v>0</v>
      </c>
      <c r="AO29" s="693">
        <v>0</v>
      </c>
      <c r="AP29" s="693">
        <v>0</v>
      </c>
      <c r="AQ29" s="693">
        <v>0</v>
      </c>
      <c r="AR29" s="709">
        <v>0</v>
      </c>
      <c r="AS29" s="694"/>
      <c r="AT29" s="709">
        <v>0</v>
      </c>
      <c r="AU29" s="695"/>
      <c r="AV29" s="709">
        <v>0</v>
      </c>
      <c r="AW29" s="695"/>
      <c r="AX29" s="709">
        <v>0</v>
      </c>
    </row>
    <row r="30" spans="1:50" ht="14.25" customHeight="1">
      <c r="A30" s="73"/>
      <c r="B30" s="76" t="s">
        <v>749</v>
      </c>
      <c r="D30" s="697">
        <v>-500</v>
      </c>
      <c r="E30" s="697">
        <v>-470</v>
      </c>
      <c r="F30" s="697">
        <v>-480</v>
      </c>
      <c r="G30" s="697">
        <v>-571</v>
      </c>
      <c r="H30" s="702" t="s">
        <v>1014</v>
      </c>
      <c r="I30" s="694"/>
      <c r="J30" s="697">
        <v>-521</v>
      </c>
      <c r="K30" s="697">
        <v>-530</v>
      </c>
      <c r="L30" s="700" t="s">
        <v>1015</v>
      </c>
      <c r="M30" s="697">
        <v>-524</v>
      </c>
      <c r="N30" s="702" t="s">
        <v>1016</v>
      </c>
      <c r="O30" s="694"/>
      <c r="P30" s="697">
        <v>402</v>
      </c>
      <c r="Q30" s="697">
        <v>418</v>
      </c>
      <c r="R30" s="697">
        <v>-469</v>
      </c>
      <c r="S30" s="697">
        <v>437</v>
      </c>
      <c r="T30" s="694" t="s">
        <v>1017</v>
      </c>
      <c r="U30" s="694"/>
      <c r="V30" s="697">
        <v>-406</v>
      </c>
      <c r="W30" s="697">
        <v>-416</v>
      </c>
      <c r="X30" s="697">
        <v>6</v>
      </c>
      <c r="Y30" s="697">
        <v>325</v>
      </c>
      <c r="Z30" s="694" t="s">
        <v>1018</v>
      </c>
      <c r="AA30" s="694"/>
      <c r="AB30" s="697">
        <v>-424</v>
      </c>
      <c r="AC30" s="697">
        <v>-319</v>
      </c>
      <c r="AD30" s="697">
        <v>-429</v>
      </c>
      <c r="AE30" s="697">
        <v>-412</v>
      </c>
      <c r="AF30" s="702" t="s">
        <v>1019</v>
      </c>
      <c r="AG30" s="705" t="s">
        <v>859</v>
      </c>
      <c r="AH30" s="697">
        <v>-428</v>
      </c>
      <c r="AI30" s="697">
        <v>-313</v>
      </c>
      <c r="AJ30" s="697">
        <v>0</v>
      </c>
      <c r="AK30" s="697">
        <v>0</v>
      </c>
      <c r="AL30" s="704">
        <v>-727</v>
      </c>
      <c r="AM30" s="694"/>
      <c r="AN30" s="697">
        <v>0</v>
      </c>
      <c r="AO30" s="697">
        <v>0</v>
      </c>
      <c r="AP30" s="697">
        <v>0</v>
      </c>
      <c r="AQ30" s="697">
        <v>0</v>
      </c>
      <c r="AR30" s="704">
        <v>0</v>
      </c>
      <c r="AS30" s="694"/>
      <c r="AT30" s="704">
        <v>0</v>
      </c>
      <c r="AU30" s="695"/>
      <c r="AV30" s="704">
        <v>0</v>
      </c>
      <c r="AW30" s="695"/>
      <c r="AX30" s="704">
        <v>0</v>
      </c>
    </row>
    <row r="31" spans="1:50" ht="14.25" customHeight="1">
      <c r="A31" s="73"/>
      <c r="B31" s="76" t="s">
        <v>750</v>
      </c>
      <c r="D31" s="697">
        <v>0</v>
      </c>
      <c r="E31" s="697">
        <v>0</v>
      </c>
      <c r="F31" s="697">
        <v>0</v>
      </c>
      <c r="G31" s="697">
        <v>0</v>
      </c>
      <c r="H31" s="699">
        <v>0</v>
      </c>
      <c r="I31" s="694"/>
      <c r="J31" s="697">
        <v>0</v>
      </c>
      <c r="K31" s="697">
        <v>0</v>
      </c>
      <c r="L31" s="697">
        <v>0</v>
      </c>
      <c r="M31" s="697">
        <v>0</v>
      </c>
      <c r="N31" s="699">
        <v>0</v>
      </c>
      <c r="O31" s="694"/>
      <c r="P31" s="697">
        <v>0</v>
      </c>
      <c r="Q31" s="697">
        <v>0</v>
      </c>
      <c r="R31" s="697">
        <v>0</v>
      </c>
      <c r="S31" s="697">
        <v>0</v>
      </c>
      <c r="T31" s="699">
        <v>0</v>
      </c>
      <c r="U31" s="694"/>
      <c r="V31" s="697">
        <v>0</v>
      </c>
      <c r="W31" s="697">
        <v>45</v>
      </c>
      <c r="X31" s="697">
        <v>0</v>
      </c>
      <c r="Y31" s="697">
        <v>0</v>
      </c>
      <c r="Z31" s="699">
        <v>0</v>
      </c>
      <c r="AA31" s="694"/>
      <c r="AB31" s="697">
        <v>0</v>
      </c>
      <c r="AC31" s="697">
        <v>18</v>
      </c>
      <c r="AD31" s="697">
        <v>0</v>
      </c>
      <c r="AE31" s="697">
        <v>0</v>
      </c>
      <c r="AF31" s="699">
        <v>0</v>
      </c>
      <c r="AG31" s="705" t="s">
        <v>859</v>
      </c>
      <c r="AH31" s="697">
        <v>0</v>
      </c>
      <c r="AI31" s="697">
        <v>14</v>
      </c>
      <c r="AJ31" s="693" t="s">
        <v>859</v>
      </c>
      <c r="AK31" s="693" t="s">
        <v>859</v>
      </c>
      <c r="AL31" s="709" t="s">
        <v>859</v>
      </c>
      <c r="AM31" s="694"/>
      <c r="AN31" s="693" t="s">
        <v>859</v>
      </c>
      <c r="AO31" s="693" t="s">
        <v>859</v>
      </c>
      <c r="AP31" s="693" t="s">
        <v>859</v>
      </c>
      <c r="AQ31" s="693" t="s">
        <v>859</v>
      </c>
      <c r="AR31" s="709" t="s">
        <v>859</v>
      </c>
      <c r="AS31" s="694"/>
      <c r="AT31" s="709" t="s">
        <v>859</v>
      </c>
      <c r="AU31" s="695"/>
      <c r="AV31" s="709" t="s">
        <v>859</v>
      </c>
      <c r="AW31" s="695"/>
      <c r="AX31" s="709" t="s">
        <v>859</v>
      </c>
    </row>
    <row r="32" spans="1:50" ht="14.25" customHeight="1">
      <c r="A32" s="55"/>
      <c r="B32" s="79" t="s">
        <v>751</v>
      </c>
      <c r="D32" s="697" t="s">
        <v>1020</v>
      </c>
      <c r="E32" s="697" t="s">
        <v>1021</v>
      </c>
      <c r="F32" s="697" t="s">
        <v>1022</v>
      </c>
      <c r="G32" s="697" t="s">
        <v>1023</v>
      </c>
      <c r="H32" s="699" t="s">
        <v>1024</v>
      </c>
      <c r="I32" s="694"/>
      <c r="J32" s="697" t="s">
        <v>1025</v>
      </c>
      <c r="K32" s="697" t="s">
        <v>1026</v>
      </c>
      <c r="L32" s="697" t="s">
        <v>1027</v>
      </c>
      <c r="M32" s="697" t="s">
        <v>1028</v>
      </c>
      <c r="N32" s="699" t="s">
        <v>1029</v>
      </c>
      <c r="O32" s="694"/>
      <c r="P32" s="697" t="s">
        <v>1030</v>
      </c>
      <c r="Q32" s="697" t="s">
        <v>1031</v>
      </c>
      <c r="R32" s="697" t="s">
        <v>1032</v>
      </c>
      <c r="S32" s="697" t="s">
        <v>1033</v>
      </c>
      <c r="T32" s="699" t="s">
        <v>1034</v>
      </c>
      <c r="U32" s="694"/>
      <c r="V32" s="697" t="s">
        <v>870</v>
      </c>
      <c r="W32" s="697" t="s">
        <v>1035</v>
      </c>
      <c r="X32" s="697" t="s">
        <v>1036</v>
      </c>
      <c r="Y32" s="697" t="s">
        <v>1037</v>
      </c>
      <c r="Z32" s="699" t="s">
        <v>1038</v>
      </c>
      <c r="AA32" s="694"/>
      <c r="AB32" s="697" t="s">
        <v>1039</v>
      </c>
      <c r="AC32" s="697" t="s">
        <v>1040</v>
      </c>
      <c r="AD32" s="697" t="s">
        <v>1041</v>
      </c>
      <c r="AE32" s="697" t="s">
        <v>1042</v>
      </c>
      <c r="AF32" s="699" t="s">
        <v>1043</v>
      </c>
      <c r="AG32" s="705" t="s">
        <v>859</v>
      </c>
      <c r="AH32" s="697" t="s">
        <v>1044</v>
      </c>
      <c r="AI32" s="697" t="s">
        <v>1045</v>
      </c>
      <c r="AJ32" s="693" t="s">
        <v>954</v>
      </c>
      <c r="AK32" s="693" t="s">
        <v>954</v>
      </c>
      <c r="AL32" s="709" t="s">
        <v>1046</v>
      </c>
      <c r="AM32" s="694"/>
      <c r="AN32" s="693" t="s">
        <v>956</v>
      </c>
      <c r="AO32" s="693" t="s">
        <v>956</v>
      </c>
      <c r="AP32" s="693" t="s">
        <v>956</v>
      </c>
      <c r="AQ32" s="693" t="s">
        <v>956</v>
      </c>
      <c r="AR32" s="709" t="s">
        <v>957</v>
      </c>
      <c r="AS32" s="694"/>
      <c r="AT32" s="709" t="s">
        <v>958</v>
      </c>
      <c r="AU32" s="695"/>
      <c r="AV32" s="709" t="s">
        <v>959</v>
      </c>
      <c r="AW32" s="695"/>
      <c r="AX32" s="709" t="s">
        <v>960</v>
      </c>
    </row>
    <row r="33" spans="1:50" ht="14.25" customHeight="1">
      <c r="A33" s="73"/>
      <c r="B33" s="204"/>
      <c r="D33" s="697" t="s">
        <v>859</v>
      </c>
      <c r="E33" s="697" t="s">
        <v>859</v>
      </c>
      <c r="F33" s="697" t="s">
        <v>859</v>
      </c>
      <c r="G33" s="697" t="s">
        <v>859</v>
      </c>
      <c r="H33" s="694"/>
      <c r="I33" s="694"/>
      <c r="J33" s="697" t="s">
        <v>859</v>
      </c>
      <c r="K33" s="697" t="s">
        <v>859</v>
      </c>
      <c r="L33" s="697" t="s">
        <v>859</v>
      </c>
      <c r="M33" s="697" t="s">
        <v>859</v>
      </c>
      <c r="N33" s="694"/>
      <c r="O33" s="694"/>
      <c r="P33" s="697" t="s">
        <v>859</v>
      </c>
      <c r="Q33" s="697" t="s">
        <v>859</v>
      </c>
      <c r="R33" s="697" t="s">
        <v>859</v>
      </c>
      <c r="S33" s="697" t="s">
        <v>859</v>
      </c>
      <c r="T33" s="694"/>
      <c r="U33" s="694"/>
      <c r="V33" s="697" t="s">
        <v>859</v>
      </c>
      <c r="W33" s="697" t="s">
        <v>859</v>
      </c>
      <c r="X33" s="697" t="s">
        <v>859</v>
      </c>
      <c r="Y33" s="697" t="s">
        <v>859</v>
      </c>
      <c r="Z33" s="694"/>
      <c r="AA33" s="694"/>
      <c r="AB33" s="697" t="s">
        <v>859</v>
      </c>
      <c r="AC33" s="697" t="s">
        <v>859</v>
      </c>
      <c r="AD33" s="697" t="s">
        <v>859</v>
      </c>
      <c r="AE33" s="697" t="s">
        <v>859</v>
      </c>
      <c r="AF33" s="694"/>
      <c r="AG33" s="705" t="s">
        <v>859</v>
      </c>
      <c r="AH33" s="697" t="s">
        <v>859</v>
      </c>
      <c r="AI33" s="697" t="s">
        <v>859</v>
      </c>
      <c r="AJ33" s="693" t="s">
        <v>859</v>
      </c>
      <c r="AK33" s="693" t="s">
        <v>859</v>
      </c>
      <c r="AL33" s="695"/>
      <c r="AM33" s="707" t="s">
        <v>859</v>
      </c>
      <c r="AN33" s="693" t="s">
        <v>859</v>
      </c>
      <c r="AO33" s="693" t="s">
        <v>859</v>
      </c>
      <c r="AP33" s="693" t="s">
        <v>859</v>
      </c>
      <c r="AQ33" s="693" t="s">
        <v>859</v>
      </c>
      <c r="AR33" s="695"/>
      <c r="AS33" s="707" t="s">
        <v>859</v>
      </c>
      <c r="AT33" s="695"/>
      <c r="AU33" s="708" t="s">
        <v>859</v>
      </c>
      <c r="AV33" s="695"/>
      <c r="AW33" s="708" t="s">
        <v>859</v>
      </c>
      <c r="AX33" s="695"/>
    </row>
    <row r="34" spans="1:50" ht="14.25" customHeight="1">
      <c r="A34" s="44" t="s">
        <v>41</v>
      </c>
      <c r="B34" s="65" t="s">
        <v>752</v>
      </c>
      <c r="D34" s="697" t="s">
        <v>859</v>
      </c>
      <c r="E34" s="697" t="s">
        <v>859</v>
      </c>
      <c r="F34" s="697" t="s">
        <v>859</v>
      </c>
      <c r="G34" s="697" t="s">
        <v>859</v>
      </c>
      <c r="H34" s="694"/>
      <c r="I34" s="694"/>
      <c r="J34" s="697" t="s">
        <v>859</v>
      </c>
      <c r="K34" s="697" t="s">
        <v>859</v>
      </c>
      <c r="L34" s="697" t="s">
        <v>859</v>
      </c>
      <c r="M34" s="697" t="s">
        <v>859</v>
      </c>
      <c r="N34" s="694"/>
      <c r="O34" s="694"/>
      <c r="P34" s="697" t="s">
        <v>859</v>
      </c>
      <c r="Q34" s="697" t="s">
        <v>859</v>
      </c>
      <c r="R34" s="697" t="s">
        <v>859</v>
      </c>
      <c r="S34" s="697" t="s">
        <v>859</v>
      </c>
      <c r="T34" s="694"/>
      <c r="U34" s="694"/>
      <c r="V34" s="697" t="s">
        <v>859</v>
      </c>
      <c r="W34" s="697" t="s">
        <v>859</v>
      </c>
      <c r="X34" s="697" t="s">
        <v>859</v>
      </c>
      <c r="Y34" s="697" t="s">
        <v>859</v>
      </c>
      <c r="Z34" s="694"/>
      <c r="AA34" s="694"/>
      <c r="AB34" s="697" t="s">
        <v>859</v>
      </c>
      <c r="AC34" s="697" t="s">
        <v>859</v>
      </c>
      <c r="AD34" s="697" t="s">
        <v>859</v>
      </c>
      <c r="AE34" s="697" t="s">
        <v>859</v>
      </c>
      <c r="AF34" s="694"/>
      <c r="AG34" s="705" t="s">
        <v>859</v>
      </c>
      <c r="AH34" s="697" t="s">
        <v>859</v>
      </c>
      <c r="AI34" s="697" t="s">
        <v>859</v>
      </c>
      <c r="AJ34" s="693" t="s">
        <v>859</v>
      </c>
      <c r="AK34" s="693" t="s">
        <v>859</v>
      </c>
      <c r="AL34" s="695"/>
      <c r="AM34" s="694"/>
      <c r="AN34" s="693" t="s">
        <v>859</v>
      </c>
      <c r="AO34" s="693" t="s">
        <v>859</v>
      </c>
      <c r="AP34" s="693" t="s">
        <v>859</v>
      </c>
      <c r="AQ34" s="693" t="s">
        <v>859</v>
      </c>
      <c r="AR34" s="695"/>
      <c r="AS34" s="694"/>
      <c r="AT34" s="695"/>
      <c r="AU34" s="695"/>
      <c r="AV34" s="695"/>
      <c r="AW34" s="695"/>
      <c r="AX34" s="695"/>
    </row>
    <row r="35" spans="1:50" ht="14.25" customHeight="1">
      <c r="A35" s="44"/>
      <c r="B35" s="70" t="s">
        <v>753</v>
      </c>
      <c r="D35" s="697">
        <v>148</v>
      </c>
      <c r="E35" s="697">
        <v>149</v>
      </c>
      <c r="F35" s="697">
        <v>145</v>
      </c>
      <c r="G35" s="697">
        <v>149</v>
      </c>
      <c r="H35" s="694">
        <v>591</v>
      </c>
      <c r="I35" s="694"/>
      <c r="J35" s="697">
        <v>140</v>
      </c>
      <c r="K35" s="697">
        <v>142</v>
      </c>
      <c r="L35" s="697">
        <v>141</v>
      </c>
      <c r="M35" s="697">
        <v>146</v>
      </c>
      <c r="N35" s="694">
        <v>569</v>
      </c>
      <c r="O35" s="694"/>
      <c r="P35" s="697">
        <v>135</v>
      </c>
      <c r="Q35" s="697">
        <v>141</v>
      </c>
      <c r="R35" s="697">
        <v>145</v>
      </c>
      <c r="S35" s="697">
        <v>202</v>
      </c>
      <c r="T35" s="694">
        <v>623</v>
      </c>
      <c r="U35" s="694"/>
      <c r="V35" s="697">
        <v>202</v>
      </c>
      <c r="W35" s="697">
        <v>223</v>
      </c>
      <c r="X35" s="697">
        <v>237</v>
      </c>
      <c r="Y35" s="697">
        <v>254</v>
      </c>
      <c r="Z35" s="694">
        <v>916</v>
      </c>
      <c r="AA35" s="694"/>
      <c r="AB35" s="697">
        <v>255</v>
      </c>
      <c r="AC35" s="697">
        <v>261</v>
      </c>
      <c r="AD35" s="697">
        <v>256</v>
      </c>
      <c r="AE35" s="697">
        <v>264</v>
      </c>
      <c r="AF35" s="694" t="s">
        <v>1047</v>
      </c>
      <c r="AG35" s="705" t="s">
        <v>859</v>
      </c>
      <c r="AH35" s="697">
        <v>268</v>
      </c>
      <c r="AI35" s="697">
        <v>274</v>
      </c>
      <c r="AJ35" s="693" t="s">
        <v>859</v>
      </c>
      <c r="AK35" s="693" t="s">
        <v>859</v>
      </c>
      <c r="AL35" s="695"/>
      <c r="AM35" s="694"/>
      <c r="AN35" s="693" t="s">
        <v>859</v>
      </c>
      <c r="AO35" s="693" t="s">
        <v>859</v>
      </c>
      <c r="AP35" s="693" t="s">
        <v>859</v>
      </c>
      <c r="AQ35" s="693" t="s">
        <v>859</v>
      </c>
      <c r="AR35" s="695"/>
      <c r="AS35" s="694"/>
      <c r="AT35" s="695"/>
      <c r="AU35" s="695"/>
      <c r="AV35" s="695"/>
      <c r="AW35" s="695"/>
      <c r="AX35" s="695"/>
    </row>
    <row r="36" spans="1:50" ht="14.25" customHeight="1">
      <c r="A36" s="44"/>
      <c r="B36" s="70" t="s">
        <v>754</v>
      </c>
      <c r="D36" s="697">
        <v>0</v>
      </c>
      <c r="E36" s="697">
        <v>0</v>
      </c>
      <c r="F36" s="697">
        <v>0</v>
      </c>
      <c r="G36" s="697">
        <v>0</v>
      </c>
      <c r="H36" s="694">
        <v>0</v>
      </c>
      <c r="I36" s="694"/>
      <c r="J36" s="697">
        <v>0</v>
      </c>
      <c r="K36" s="697">
        <v>0</v>
      </c>
      <c r="L36" s="697">
        <v>0</v>
      </c>
      <c r="M36" s="697">
        <v>0</v>
      </c>
      <c r="N36" s="694">
        <v>0</v>
      </c>
      <c r="O36" s="694"/>
      <c r="P36" s="697">
        <v>0</v>
      </c>
      <c r="Q36" s="697">
        <v>0</v>
      </c>
      <c r="R36" s="697">
        <v>0</v>
      </c>
      <c r="S36" s="697">
        <v>0</v>
      </c>
      <c r="T36" s="694">
        <v>0</v>
      </c>
      <c r="U36" s="694"/>
      <c r="V36" s="697">
        <v>0</v>
      </c>
      <c r="W36" s="697">
        <v>0</v>
      </c>
      <c r="X36" s="697">
        <v>0</v>
      </c>
      <c r="Y36" s="697">
        <v>0</v>
      </c>
      <c r="Z36" s="694">
        <v>0</v>
      </c>
      <c r="AA36" s="694"/>
      <c r="AB36" s="697">
        <v>0</v>
      </c>
      <c r="AC36" s="697">
        <v>0</v>
      </c>
      <c r="AD36" s="697">
        <v>0</v>
      </c>
      <c r="AE36" s="697">
        <v>0</v>
      </c>
      <c r="AF36" s="694">
        <v>0</v>
      </c>
      <c r="AG36" s="705" t="s">
        <v>859</v>
      </c>
      <c r="AH36" s="697">
        <v>0</v>
      </c>
      <c r="AI36" s="697">
        <v>0</v>
      </c>
      <c r="AJ36" s="693" t="s">
        <v>859</v>
      </c>
      <c r="AK36" s="693" t="s">
        <v>859</v>
      </c>
      <c r="AL36" s="695"/>
      <c r="AM36" s="694"/>
      <c r="AN36" s="693" t="s">
        <v>859</v>
      </c>
      <c r="AO36" s="693" t="s">
        <v>859</v>
      </c>
      <c r="AP36" s="693" t="s">
        <v>859</v>
      </c>
      <c r="AQ36" s="693" t="s">
        <v>859</v>
      </c>
      <c r="AR36" s="695"/>
      <c r="AS36" s="694"/>
      <c r="AT36" s="695"/>
      <c r="AU36" s="695"/>
      <c r="AV36" s="695"/>
      <c r="AW36" s="695"/>
      <c r="AX36" s="695"/>
    </row>
    <row r="37" spans="1:50" ht="14.25" customHeight="1">
      <c r="A37" s="55" t="s">
        <v>41</v>
      </c>
      <c r="B37" s="76" t="s">
        <v>755</v>
      </c>
      <c r="D37" s="697">
        <v>148</v>
      </c>
      <c r="E37" s="697">
        <v>149</v>
      </c>
      <c r="F37" s="697">
        <v>145</v>
      </c>
      <c r="G37" s="697">
        <v>149</v>
      </c>
      <c r="H37" s="694">
        <v>591</v>
      </c>
      <c r="I37" s="694"/>
      <c r="J37" s="697">
        <v>140</v>
      </c>
      <c r="K37" s="697">
        <v>142</v>
      </c>
      <c r="L37" s="697">
        <v>141</v>
      </c>
      <c r="M37" s="697">
        <v>146</v>
      </c>
      <c r="N37" s="694">
        <v>569</v>
      </c>
      <c r="O37" s="694"/>
      <c r="P37" s="697">
        <v>135</v>
      </c>
      <c r="Q37" s="697">
        <v>141</v>
      </c>
      <c r="R37" s="697">
        <v>145</v>
      </c>
      <c r="S37" s="697">
        <v>202</v>
      </c>
      <c r="T37" s="694">
        <v>623</v>
      </c>
      <c r="U37" s="694"/>
      <c r="V37" s="697">
        <v>202</v>
      </c>
      <c r="W37" s="697">
        <v>223</v>
      </c>
      <c r="X37" s="697">
        <v>237</v>
      </c>
      <c r="Y37" s="697">
        <v>254</v>
      </c>
      <c r="Z37" s="694">
        <v>916</v>
      </c>
      <c r="AA37" s="694"/>
      <c r="AB37" s="697">
        <v>255</v>
      </c>
      <c r="AC37" s="697">
        <v>261</v>
      </c>
      <c r="AD37" s="697">
        <v>256</v>
      </c>
      <c r="AE37" s="697">
        <v>264</v>
      </c>
      <c r="AF37" s="694" t="s">
        <v>1047</v>
      </c>
      <c r="AG37" s="705" t="s">
        <v>859</v>
      </c>
      <c r="AH37" s="697">
        <v>268</v>
      </c>
      <c r="AI37" s="697">
        <v>274</v>
      </c>
      <c r="AJ37" s="693" t="s">
        <v>859</v>
      </c>
      <c r="AK37" s="693" t="s">
        <v>859</v>
      </c>
      <c r="AL37" s="695"/>
      <c r="AM37" s="694"/>
      <c r="AN37" s="693" t="s">
        <v>859</v>
      </c>
      <c r="AO37" s="693" t="s">
        <v>859</v>
      </c>
      <c r="AP37" s="693" t="s">
        <v>859</v>
      </c>
      <c r="AQ37" s="693" t="s">
        <v>859</v>
      </c>
      <c r="AR37" s="695"/>
      <c r="AS37" s="694"/>
      <c r="AT37" s="695"/>
      <c r="AU37" s="695"/>
      <c r="AV37" s="695"/>
      <c r="AW37" s="695"/>
      <c r="AX37" s="695"/>
    </row>
    <row r="38" spans="1:50" ht="14.25" customHeight="1">
      <c r="A38" s="73"/>
      <c r="B38" s="76" t="s">
        <v>756</v>
      </c>
      <c r="D38" s="697">
        <v>0</v>
      </c>
      <c r="E38" s="697">
        <v>0</v>
      </c>
      <c r="F38" s="697">
        <v>0</v>
      </c>
      <c r="G38" s="697">
        <v>0</v>
      </c>
      <c r="H38" s="694">
        <v>0</v>
      </c>
      <c r="I38" s="694"/>
      <c r="J38" s="697">
        <v>0</v>
      </c>
      <c r="K38" s="697">
        <v>0</v>
      </c>
      <c r="L38" s="697">
        <v>0</v>
      </c>
      <c r="M38" s="697">
        <v>0</v>
      </c>
      <c r="N38" s="694">
        <v>0</v>
      </c>
      <c r="O38" s="694"/>
      <c r="P38" s="697">
        <v>0</v>
      </c>
      <c r="Q38" s="697">
        <v>0</v>
      </c>
      <c r="R38" s="697">
        <v>0</v>
      </c>
      <c r="S38" s="697">
        <v>0</v>
      </c>
      <c r="T38" s="694">
        <v>0</v>
      </c>
      <c r="U38" s="694"/>
      <c r="V38" s="697">
        <v>0</v>
      </c>
      <c r="W38" s="697">
        <v>0</v>
      </c>
      <c r="X38" s="697">
        <v>0</v>
      </c>
      <c r="Y38" s="697">
        <v>0</v>
      </c>
      <c r="Z38" s="694">
        <v>0</v>
      </c>
      <c r="AA38" s="694"/>
      <c r="AB38" s="697">
        <v>0</v>
      </c>
      <c r="AC38" s="697">
        <v>0</v>
      </c>
      <c r="AD38" s="697">
        <v>0</v>
      </c>
      <c r="AE38" s="697">
        <v>0</v>
      </c>
      <c r="AF38" s="694">
        <v>0</v>
      </c>
      <c r="AG38" s="705" t="s">
        <v>859</v>
      </c>
      <c r="AH38" s="697">
        <v>0</v>
      </c>
      <c r="AI38" s="697">
        <v>0</v>
      </c>
      <c r="AJ38" s="693" t="s">
        <v>859</v>
      </c>
      <c r="AK38" s="693" t="s">
        <v>859</v>
      </c>
      <c r="AL38" s="695"/>
      <c r="AM38" s="694"/>
      <c r="AN38" s="693" t="s">
        <v>859</v>
      </c>
      <c r="AO38" s="693" t="s">
        <v>859</v>
      </c>
      <c r="AP38" s="693" t="s">
        <v>859</v>
      </c>
      <c r="AQ38" s="693" t="s">
        <v>859</v>
      </c>
      <c r="AR38" s="695"/>
      <c r="AS38" s="694"/>
      <c r="AT38" s="695"/>
      <c r="AU38" s="695"/>
      <c r="AV38" s="695"/>
      <c r="AW38" s="695"/>
      <c r="AX38" s="695"/>
    </row>
    <row r="39" spans="1:50" ht="14.25" customHeight="1">
      <c r="A39" s="55"/>
      <c r="B39" s="76" t="s">
        <v>757</v>
      </c>
      <c r="D39" s="697">
        <v>-56</v>
      </c>
      <c r="E39" s="697">
        <v>-80</v>
      </c>
      <c r="F39" s="697">
        <v>-108</v>
      </c>
      <c r="G39" s="697">
        <v>-47</v>
      </c>
      <c r="H39" s="699">
        <v>-182</v>
      </c>
      <c r="I39" s="694"/>
      <c r="J39" s="697">
        <v>-169</v>
      </c>
      <c r="K39" s="697">
        <v>-120</v>
      </c>
      <c r="L39" s="697" t="s">
        <v>1048</v>
      </c>
      <c r="M39" s="697">
        <v>-96</v>
      </c>
      <c r="N39" s="699" t="s">
        <v>1049</v>
      </c>
      <c r="O39" s="694"/>
      <c r="P39" s="697">
        <v>-263</v>
      </c>
      <c r="Q39" s="697" t="s">
        <v>1050</v>
      </c>
      <c r="R39" s="697">
        <v>-111</v>
      </c>
      <c r="S39" s="697">
        <v>-99</v>
      </c>
      <c r="T39" s="699" t="s">
        <v>1051</v>
      </c>
      <c r="U39" s="694"/>
      <c r="V39" s="697">
        <v>-159</v>
      </c>
      <c r="W39" s="697">
        <v>-128</v>
      </c>
      <c r="X39" s="697">
        <v>-590</v>
      </c>
      <c r="Y39" s="697">
        <v>-106</v>
      </c>
      <c r="Z39" s="699">
        <v>-459</v>
      </c>
      <c r="AA39" s="694"/>
      <c r="AB39" s="697">
        <v>-61</v>
      </c>
      <c r="AC39" s="697">
        <v>-53</v>
      </c>
      <c r="AD39" s="697">
        <v>-48</v>
      </c>
      <c r="AE39" s="697">
        <v>-77</v>
      </c>
      <c r="AF39" s="699">
        <v>-221</v>
      </c>
      <c r="AG39" s="705" t="s">
        <v>859</v>
      </c>
      <c r="AH39" s="697">
        <v>68</v>
      </c>
      <c r="AI39" s="697">
        <v>57</v>
      </c>
      <c r="AJ39" s="693" t="s">
        <v>859</v>
      </c>
      <c r="AK39" s="693" t="s">
        <v>859</v>
      </c>
      <c r="AL39" s="709" t="s">
        <v>859</v>
      </c>
      <c r="AM39" s="694"/>
      <c r="AN39" s="693" t="s">
        <v>859</v>
      </c>
      <c r="AO39" s="693" t="s">
        <v>859</v>
      </c>
      <c r="AP39" s="693" t="s">
        <v>859</v>
      </c>
      <c r="AQ39" s="693" t="s">
        <v>859</v>
      </c>
      <c r="AR39" s="709" t="s">
        <v>859</v>
      </c>
      <c r="AS39" s="694"/>
      <c r="AT39" s="709" t="s">
        <v>859</v>
      </c>
      <c r="AU39" s="695"/>
      <c r="AV39" s="709" t="s">
        <v>859</v>
      </c>
      <c r="AW39" s="695"/>
      <c r="AX39" s="709" t="s">
        <v>859</v>
      </c>
    </row>
    <row r="40" spans="1:50" ht="14.25" customHeight="1">
      <c r="A40" s="73"/>
      <c r="B40" s="79" t="s">
        <v>758</v>
      </c>
      <c r="D40" s="697">
        <v>92</v>
      </c>
      <c r="E40" s="697">
        <v>69</v>
      </c>
      <c r="F40" s="697">
        <v>37</v>
      </c>
      <c r="G40" s="697">
        <v>102</v>
      </c>
      <c r="H40" s="699">
        <v>409</v>
      </c>
      <c r="I40" s="694"/>
      <c r="J40" s="697">
        <v>-29</v>
      </c>
      <c r="K40" s="697">
        <v>22</v>
      </c>
      <c r="L40" s="697" t="s">
        <v>1052</v>
      </c>
      <c r="M40" s="697">
        <v>50</v>
      </c>
      <c r="N40" s="699" t="s">
        <v>1053</v>
      </c>
      <c r="O40" s="694"/>
      <c r="P40" s="697">
        <v>-128</v>
      </c>
      <c r="Q40" s="697" t="s">
        <v>1054</v>
      </c>
      <c r="R40" s="697">
        <v>34</v>
      </c>
      <c r="S40" s="697">
        <v>103</v>
      </c>
      <c r="T40" s="699" t="s">
        <v>1055</v>
      </c>
      <c r="U40" s="694"/>
      <c r="V40" s="697">
        <v>43</v>
      </c>
      <c r="W40" s="697">
        <v>95</v>
      </c>
      <c r="X40" s="697">
        <v>-353</v>
      </c>
      <c r="Y40" s="697">
        <v>148</v>
      </c>
      <c r="Z40" s="699">
        <v>457</v>
      </c>
      <c r="AA40" s="694"/>
      <c r="AB40" s="697">
        <v>194</v>
      </c>
      <c r="AC40" s="697">
        <v>208</v>
      </c>
      <c r="AD40" s="697">
        <v>208</v>
      </c>
      <c r="AE40" s="697">
        <v>187</v>
      </c>
      <c r="AF40" s="699">
        <v>815</v>
      </c>
      <c r="AG40" s="705" t="s">
        <v>859</v>
      </c>
      <c r="AH40" s="697">
        <v>336</v>
      </c>
      <c r="AI40" s="697">
        <v>331</v>
      </c>
      <c r="AJ40" s="693" t="s">
        <v>859</v>
      </c>
      <c r="AK40" s="693" t="s">
        <v>859</v>
      </c>
      <c r="AL40" s="709" t="s">
        <v>859</v>
      </c>
      <c r="AM40" s="694"/>
      <c r="AN40" s="693" t="s">
        <v>859</v>
      </c>
      <c r="AO40" s="693" t="s">
        <v>859</v>
      </c>
      <c r="AP40" s="693" t="s">
        <v>859</v>
      </c>
      <c r="AQ40" s="693" t="s">
        <v>859</v>
      </c>
      <c r="AR40" s="709" t="s">
        <v>859</v>
      </c>
      <c r="AS40" s="694"/>
      <c r="AT40" s="709" t="s">
        <v>859</v>
      </c>
      <c r="AU40" s="695"/>
      <c r="AV40" s="709" t="s">
        <v>859</v>
      </c>
      <c r="AW40" s="695"/>
      <c r="AX40" s="709" t="s">
        <v>859</v>
      </c>
    </row>
    <row r="41" spans="1:50" ht="14.25" customHeight="1">
      <c r="A41" s="84"/>
      <c r="B41" s="90" t="s">
        <v>690</v>
      </c>
      <c r="D41" s="697" t="s">
        <v>1056</v>
      </c>
      <c r="E41" s="697" t="s">
        <v>1057</v>
      </c>
      <c r="F41" s="697" t="s">
        <v>1058</v>
      </c>
      <c r="G41" s="697" t="s">
        <v>1021</v>
      </c>
      <c r="H41" s="699" t="s">
        <v>1059</v>
      </c>
      <c r="I41" s="694"/>
      <c r="J41" s="697" t="s">
        <v>1060</v>
      </c>
      <c r="K41" s="697" t="s">
        <v>1061</v>
      </c>
      <c r="L41" s="697" t="s">
        <v>1062</v>
      </c>
      <c r="M41" s="697" t="s">
        <v>1063</v>
      </c>
      <c r="N41" s="699" t="s">
        <v>1064</v>
      </c>
      <c r="O41" s="694"/>
      <c r="P41" s="697" t="s">
        <v>1065</v>
      </c>
      <c r="Q41" s="697">
        <v>82</v>
      </c>
      <c r="R41" s="697" t="s">
        <v>1066</v>
      </c>
      <c r="S41" s="697" t="s">
        <v>1067</v>
      </c>
      <c r="T41" s="699" t="s">
        <v>1068</v>
      </c>
      <c r="U41" s="694"/>
      <c r="V41" s="697" t="s">
        <v>1069</v>
      </c>
      <c r="W41" s="697" t="s">
        <v>1070</v>
      </c>
      <c r="X41" s="697" t="s">
        <v>1071</v>
      </c>
      <c r="Y41" s="697" t="s">
        <v>1072</v>
      </c>
      <c r="Z41" s="699" t="s">
        <v>1073</v>
      </c>
      <c r="AA41" s="694"/>
      <c r="AB41" s="697" t="s">
        <v>1074</v>
      </c>
      <c r="AC41" s="697" t="s">
        <v>1075</v>
      </c>
      <c r="AD41" s="697" t="s">
        <v>1076</v>
      </c>
      <c r="AE41" s="697">
        <v>915</v>
      </c>
      <c r="AF41" s="699" t="s">
        <v>1077</v>
      </c>
      <c r="AG41" s="705" t="s">
        <v>859</v>
      </c>
      <c r="AH41" s="697" t="s">
        <v>1078</v>
      </c>
      <c r="AI41" s="697">
        <v>796</v>
      </c>
      <c r="AJ41" s="693" t="s">
        <v>859</v>
      </c>
      <c r="AK41" s="693" t="s">
        <v>859</v>
      </c>
      <c r="AL41" s="709" t="s">
        <v>859</v>
      </c>
      <c r="AM41" s="694"/>
      <c r="AN41" s="693" t="s">
        <v>859</v>
      </c>
      <c r="AO41" s="693" t="s">
        <v>859</v>
      </c>
      <c r="AP41" s="693" t="s">
        <v>859</v>
      </c>
      <c r="AQ41" s="693" t="s">
        <v>859</v>
      </c>
      <c r="AR41" s="709" t="s">
        <v>859</v>
      </c>
      <c r="AS41" s="694"/>
      <c r="AT41" s="709" t="s">
        <v>859</v>
      </c>
      <c r="AU41" s="695"/>
      <c r="AV41" s="709" t="s">
        <v>859</v>
      </c>
      <c r="AW41" s="695"/>
      <c r="AX41" s="709" t="s">
        <v>859</v>
      </c>
    </row>
    <row r="42" spans="1:50" ht="14.25" customHeight="1">
      <c r="A42" s="73"/>
      <c r="B42" s="76"/>
      <c r="D42" s="697" t="s">
        <v>859</v>
      </c>
      <c r="E42" s="697" t="s">
        <v>859</v>
      </c>
      <c r="F42" s="697" t="s">
        <v>859</v>
      </c>
      <c r="G42" s="697" t="s">
        <v>859</v>
      </c>
      <c r="H42" s="694"/>
      <c r="I42" s="694"/>
      <c r="J42" s="697" t="s">
        <v>859</v>
      </c>
      <c r="K42" s="697" t="s">
        <v>859</v>
      </c>
      <c r="L42" s="697" t="s">
        <v>859</v>
      </c>
      <c r="M42" s="697" t="s">
        <v>859</v>
      </c>
      <c r="N42" s="694"/>
      <c r="O42" s="694"/>
      <c r="P42" s="697" t="s">
        <v>859</v>
      </c>
      <c r="Q42" s="697" t="s">
        <v>859</v>
      </c>
      <c r="R42" s="697" t="s">
        <v>859</v>
      </c>
      <c r="S42" s="697" t="s">
        <v>859</v>
      </c>
      <c r="T42" s="694"/>
      <c r="U42" s="694"/>
      <c r="V42" s="697" t="s">
        <v>859</v>
      </c>
      <c r="W42" s="697" t="s">
        <v>859</v>
      </c>
      <c r="X42" s="697" t="s">
        <v>859</v>
      </c>
      <c r="Y42" s="697" t="s">
        <v>859</v>
      </c>
      <c r="Z42" s="694"/>
      <c r="AA42" s="694"/>
      <c r="AB42" s="697" t="s">
        <v>859</v>
      </c>
      <c r="AC42" s="697" t="s">
        <v>859</v>
      </c>
      <c r="AD42" s="697" t="s">
        <v>859</v>
      </c>
      <c r="AE42" s="697" t="s">
        <v>859</v>
      </c>
      <c r="AF42" s="694"/>
      <c r="AG42" s="705" t="s">
        <v>859</v>
      </c>
      <c r="AH42" s="697" t="s">
        <v>859</v>
      </c>
      <c r="AI42" s="697" t="s">
        <v>859</v>
      </c>
      <c r="AJ42" s="693" t="s">
        <v>859</v>
      </c>
      <c r="AK42" s="693" t="s">
        <v>859</v>
      </c>
      <c r="AL42" s="695"/>
      <c r="AM42" s="694"/>
      <c r="AN42" s="693" t="s">
        <v>859</v>
      </c>
      <c r="AO42" s="693" t="s">
        <v>859</v>
      </c>
      <c r="AP42" s="693" t="s">
        <v>859</v>
      </c>
      <c r="AQ42" s="693" t="s">
        <v>859</v>
      </c>
      <c r="AR42" s="695"/>
      <c r="AS42" s="694"/>
      <c r="AT42" s="695"/>
      <c r="AU42" s="695"/>
      <c r="AV42" s="695"/>
      <c r="AW42" s="695"/>
      <c r="AX42" s="695"/>
    </row>
    <row r="43" spans="1:50" ht="14.25" customHeight="1">
      <c r="A43" s="44" t="s">
        <v>41</v>
      </c>
      <c r="B43" s="65" t="s">
        <v>759</v>
      </c>
      <c r="D43" s="697" t="s">
        <v>859</v>
      </c>
      <c r="E43" s="697" t="s">
        <v>859</v>
      </c>
      <c r="F43" s="697" t="s">
        <v>859</v>
      </c>
      <c r="G43" s="697" t="s">
        <v>859</v>
      </c>
      <c r="H43" s="694"/>
      <c r="I43" s="694"/>
      <c r="J43" s="697" t="s">
        <v>859</v>
      </c>
      <c r="K43" s="697" t="s">
        <v>859</v>
      </c>
      <c r="L43" s="697" t="s">
        <v>859</v>
      </c>
      <c r="M43" s="697" t="s">
        <v>859</v>
      </c>
      <c r="N43" s="694"/>
      <c r="O43" s="694"/>
      <c r="P43" s="697" t="s">
        <v>859</v>
      </c>
      <c r="Q43" s="697" t="s">
        <v>859</v>
      </c>
      <c r="R43" s="697" t="s">
        <v>859</v>
      </c>
      <c r="S43" s="697" t="s">
        <v>859</v>
      </c>
      <c r="T43" s="694"/>
      <c r="U43" s="694"/>
      <c r="V43" s="697" t="s">
        <v>859</v>
      </c>
      <c r="W43" s="697" t="s">
        <v>859</v>
      </c>
      <c r="X43" s="697" t="s">
        <v>859</v>
      </c>
      <c r="Y43" s="697" t="s">
        <v>859</v>
      </c>
      <c r="Z43" s="694"/>
      <c r="AA43" s="694"/>
      <c r="AB43" s="697" t="s">
        <v>859</v>
      </c>
      <c r="AC43" s="697" t="s">
        <v>859</v>
      </c>
      <c r="AD43" s="697" t="s">
        <v>859</v>
      </c>
      <c r="AE43" s="697" t="s">
        <v>859</v>
      </c>
      <c r="AF43" s="694"/>
      <c r="AG43" s="705" t="s">
        <v>859</v>
      </c>
      <c r="AH43" s="697" t="s">
        <v>859</v>
      </c>
      <c r="AI43" s="697" t="s">
        <v>859</v>
      </c>
      <c r="AJ43" s="693" t="s">
        <v>859</v>
      </c>
      <c r="AK43" s="693" t="s">
        <v>859</v>
      </c>
      <c r="AL43" s="695"/>
      <c r="AM43" s="694"/>
      <c r="AN43" s="693" t="s">
        <v>859</v>
      </c>
      <c r="AO43" s="693" t="s">
        <v>859</v>
      </c>
      <c r="AP43" s="693" t="s">
        <v>859</v>
      </c>
      <c r="AQ43" s="693" t="s">
        <v>859</v>
      </c>
      <c r="AR43" s="695"/>
      <c r="AS43" s="694"/>
      <c r="AT43" s="695"/>
      <c r="AU43" s="695"/>
      <c r="AV43" s="695"/>
      <c r="AW43" s="695"/>
      <c r="AX43" s="695"/>
    </row>
    <row r="44" spans="1:50" ht="14.25" customHeight="1">
      <c r="A44" s="84"/>
      <c r="B44" s="70" t="s">
        <v>691</v>
      </c>
      <c r="D44" s="697">
        <v>411</v>
      </c>
      <c r="E44" s="697">
        <v>478</v>
      </c>
      <c r="F44" s="697">
        <v>413</v>
      </c>
      <c r="G44" s="697">
        <v>499</v>
      </c>
      <c r="H44" s="694" t="s">
        <v>1079</v>
      </c>
      <c r="I44" s="694"/>
      <c r="J44" s="697">
        <v>485</v>
      </c>
      <c r="K44" s="697">
        <v>458</v>
      </c>
      <c r="L44" s="697">
        <v>544</v>
      </c>
      <c r="M44" s="697">
        <v>523</v>
      </c>
      <c r="N44" s="694" t="s">
        <v>1080</v>
      </c>
      <c r="O44" s="694"/>
      <c r="P44" s="697">
        <v>239</v>
      </c>
      <c r="Q44" s="697">
        <v>-25</v>
      </c>
      <c r="R44" s="697">
        <v>417</v>
      </c>
      <c r="S44" s="697">
        <v>188</v>
      </c>
      <c r="T44" s="694">
        <v>609</v>
      </c>
      <c r="U44" s="694"/>
      <c r="V44" s="697">
        <v>392</v>
      </c>
      <c r="W44" s="697">
        <v>420</v>
      </c>
      <c r="X44" s="697">
        <v>362</v>
      </c>
      <c r="Y44" s="697">
        <v>211</v>
      </c>
      <c r="Z44" s="694">
        <v>848</v>
      </c>
      <c r="AA44" s="694"/>
      <c r="AB44" s="697">
        <v>371</v>
      </c>
      <c r="AC44" s="697">
        <v>642</v>
      </c>
      <c r="AD44" s="697">
        <v>385</v>
      </c>
      <c r="AE44" s="697">
        <v>74</v>
      </c>
      <c r="AF44" s="694" t="s">
        <v>1081</v>
      </c>
      <c r="AG44" s="705" t="s">
        <v>859</v>
      </c>
      <c r="AH44" s="697">
        <v>404</v>
      </c>
      <c r="AI44" s="697">
        <v>155</v>
      </c>
      <c r="AJ44" s="693" t="s">
        <v>859</v>
      </c>
      <c r="AK44" s="693" t="s">
        <v>859</v>
      </c>
      <c r="AL44" s="695"/>
      <c r="AM44" s="694"/>
      <c r="AN44" s="693" t="s">
        <v>859</v>
      </c>
      <c r="AO44" s="693" t="s">
        <v>859</v>
      </c>
      <c r="AP44" s="693" t="s">
        <v>859</v>
      </c>
      <c r="AQ44" s="693" t="s">
        <v>859</v>
      </c>
      <c r="AR44" s="695"/>
      <c r="AS44" s="694"/>
      <c r="AT44" s="695"/>
      <c r="AU44" s="695"/>
      <c r="AV44" s="695"/>
      <c r="AW44" s="695"/>
      <c r="AX44" s="695"/>
    </row>
    <row r="45" spans="1:50" ht="14.25" customHeight="1">
      <c r="A45" s="84"/>
      <c r="B45" s="70" t="s">
        <v>760</v>
      </c>
      <c r="D45" s="697">
        <v>0</v>
      </c>
      <c r="E45" s="697">
        <v>0</v>
      </c>
      <c r="F45" s="697">
        <v>0</v>
      </c>
      <c r="G45" s="697">
        <v>0</v>
      </c>
      <c r="H45" s="694">
        <v>0</v>
      </c>
      <c r="I45" s="694"/>
      <c r="J45" s="697">
        <v>0</v>
      </c>
      <c r="K45" s="697">
        <v>0</v>
      </c>
      <c r="L45" s="697">
        <v>0</v>
      </c>
      <c r="M45" s="697">
        <v>0</v>
      </c>
      <c r="N45" s="694">
        <v>0</v>
      </c>
      <c r="O45" s="694"/>
      <c r="P45" s="697">
        <v>0</v>
      </c>
      <c r="Q45" s="697">
        <v>0</v>
      </c>
      <c r="R45" s="697">
        <v>0</v>
      </c>
      <c r="S45" s="697">
        <v>0</v>
      </c>
      <c r="T45" s="694">
        <v>0</v>
      </c>
      <c r="U45" s="694"/>
      <c r="V45" s="697">
        <v>0</v>
      </c>
      <c r="W45" s="697">
        <v>0</v>
      </c>
      <c r="X45" s="697">
        <v>0</v>
      </c>
      <c r="Y45" s="697">
        <v>0</v>
      </c>
      <c r="Z45" s="694">
        <v>0</v>
      </c>
      <c r="AA45" s="694"/>
      <c r="AB45" s="697">
        <v>0</v>
      </c>
      <c r="AC45" s="697">
        <v>0</v>
      </c>
      <c r="AD45" s="697">
        <v>0</v>
      </c>
      <c r="AE45" s="697">
        <v>0</v>
      </c>
      <c r="AF45" s="694">
        <v>0</v>
      </c>
      <c r="AG45" s="705" t="s">
        <v>859</v>
      </c>
      <c r="AH45" s="697">
        <v>0</v>
      </c>
      <c r="AI45" s="697">
        <v>0</v>
      </c>
      <c r="AJ45" s="693" t="s">
        <v>859</v>
      </c>
      <c r="AK45" s="693" t="s">
        <v>859</v>
      </c>
      <c r="AL45" s="695"/>
      <c r="AM45" s="694"/>
      <c r="AN45" s="693" t="s">
        <v>859</v>
      </c>
      <c r="AO45" s="693" t="s">
        <v>859</v>
      </c>
      <c r="AP45" s="693" t="s">
        <v>859</v>
      </c>
      <c r="AQ45" s="693" t="s">
        <v>859</v>
      </c>
      <c r="AR45" s="695"/>
      <c r="AS45" s="694"/>
      <c r="AT45" s="695"/>
      <c r="AU45" s="695"/>
      <c r="AV45" s="695"/>
      <c r="AW45" s="695"/>
      <c r="AX45" s="695"/>
    </row>
    <row r="46" spans="1:50" ht="14.25" customHeight="1">
      <c r="A46" s="73"/>
      <c r="B46" s="70" t="s">
        <v>761</v>
      </c>
      <c r="D46" s="697" t="s">
        <v>1082</v>
      </c>
      <c r="E46" s="697" t="s">
        <v>992</v>
      </c>
      <c r="F46" s="697" t="s">
        <v>1083</v>
      </c>
      <c r="G46" s="697" t="s">
        <v>1084</v>
      </c>
      <c r="H46" s="703" t="s">
        <v>1085</v>
      </c>
      <c r="I46" s="694"/>
      <c r="J46" s="697" t="s">
        <v>1086</v>
      </c>
      <c r="K46" s="697" t="s">
        <v>1087</v>
      </c>
      <c r="L46" s="697" t="s">
        <v>1088</v>
      </c>
      <c r="M46" s="697" t="s">
        <v>1089</v>
      </c>
      <c r="N46" s="703" t="s">
        <v>1090</v>
      </c>
      <c r="O46" s="694"/>
      <c r="P46" s="697" t="s">
        <v>1091</v>
      </c>
      <c r="Q46" s="697">
        <v>107</v>
      </c>
      <c r="R46" s="697" t="s">
        <v>1092</v>
      </c>
      <c r="S46" s="697" t="s">
        <v>1093</v>
      </c>
      <c r="T46" s="703" t="s">
        <v>1094</v>
      </c>
      <c r="U46" s="694"/>
      <c r="V46" s="697" t="s">
        <v>1095</v>
      </c>
      <c r="W46" s="697" t="s">
        <v>1096</v>
      </c>
      <c r="X46" s="697" t="s">
        <v>1097</v>
      </c>
      <c r="Y46" s="697" t="s">
        <v>1098</v>
      </c>
      <c r="Z46" s="703" t="s">
        <v>1099</v>
      </c>
      <c r="AA46" s="694"/>
      <c r="AB46" s="697" t="s">
        <v>1100</v>
      </c>
      <c r="AC46" s="697" t="s">
        <v>1101</v>
      </c>
      <c r="AD46" s="697" t="s">
        <v>1102</v>
      </c>
      <c r="AE46" s="697">
        <v>841</v>
      </c>
      <c r="AF46" s="703" t="s">
        <v>1103</v>
      </c>
      <c r="AG46" s="705" t="s">
        <v>859</v>
      </c>
      <c r="AH46" s="697" t="s">
        <v>1104</v>
      </c>
      <c r="AI46" s="697">
        <v>641</v>
      </c>
      <c r="AJ46" s="693" t="s">
        <v>859</v>
      </c>
      <c r="AK46" s="693" t="s">
        <v>859</v>
      </c>
      <c r="AL46" s="710" t="s">
        <v>859</v>
      </c>
      <c r="AM46" s="694"/>
      <c r="AN46" s="693" t="s">
        <v>859</v>
      </c>
      <c r="AO46" s="693" t="s">
        <v>859</v>
      </c>
      <c r="AP46" s="693" t="s">
        <v>859</v>
      </c>
      <c r="AQ46" s="693" t="s">
        <v>859</v>
      </c>
      <c r="AR46" s="710" t="s">
        <v>859</v>
      </c>
      <c r="AS46" s="694"/>
      <c r="AT46" s="710" t="s">
        <v>859</v>
      </c>
      <c r="AU46" s="695"/>
      <c r="AV46" s="710" t="s">
        <v>859</v>
      </c>
      <c r="AW46" s="695"/>
      <c r="AX46" s="710" t="s">
        <v>859</v>
      </c>
    </row>
    <row r="47" spans="1:50" ht="14.25" customHeight="1">
      <c r="D47" s="704"/>
      <c r="E47" s="704"/>
      <c r="F47" s="704"/>
      <c r="G47" s="704"/>
      <c r="H47" s="704"/>
      <c r="I47" s="704"/>
      <c r="J47" s="704"/>
      <c r="K47" s="704"/>
      <c r="L47" s="704"/>
      <c r="M47" s="704"/>
      <c r="N47" s="704"/>
      <c r="O47" s="704"/>
      <c r="P47" s="704"/>
      <c r="Q47" s="704"/>
      <c r="R47" s="704"/>
      <c r="S47" s="704"/>
      <c r="T47" s="704"/>
      <c r="U47" s="704"/>
      <c r="V47" s="704"/>
      <c r="W47" s="704"/>
      <c r="X47" s="704"/>
      <c r="Y47" s="704"/>
      <c r="Z47" s="704"/>
      <c r="AA47" s="704"/>
      <c r="AB47" s="704"/>
      <c r="AC47" s="704"/>
      <c r="AD47" s="704"/>
      <c r="AE47" s="704"/>
      <c r="AF47" s="704"/>
      <c r="AG47" s="704"/>
      <c r="AH47" s="704"/>
      <c r="AI47" s="704"/>
      <c r="AJ47" s="704"/>
      <c r="AK47" s="704"/>
      <c r="AL47" s="704"/>
      <c r="AM47" s="704"/>
      <c r="AN47" s="704"/>
      <c r="AO47" s="704"/>
      <c r="AP47" s="704"/>
      <c r="AQ47" s="704"/>
      <c r="AR47" s="704"/>
      <c r="AS47" s="704"/>
      <c r="AT47" s="704"/>
      <c r="AU47" s="704"/>
      <c r="AV47" s="711"/>
      <c r="AW47" s="704"/>
      <c r="AX47" s="704"/>
    </row>
    <row r="48" spans="1:50" ht="14.25" customHeight="1">
      <c r="A48" s="44" t="s">
        <v>41</v>
      </c>
      <c r="B48" s="65" t="s">
        <v>762</v>
      </c>
      <c r="D48" s="697" t="s">
        <v>859</v>
      </c>
      <c r="E48" s="697" t="s">
        <v>859</v>
      </c>
      <c r="F48" s="697" t="s">
        <v>859</v>
      </c>
      <c r="G48" s="697" t="s">
        <v>859</v>
      </c>
      <c r="H48" s="694"/>
      <c r="I48" s="694"/>
      <c r="J48" s="697" t="s">
        <v>859</v>
      </c>
      <c r="K48" s="697" t="s">
        <v>859</v>
      </c>
      <c r="L48" s="697" t="s">
        <v>859</v>
      </c>
      <c r="M48" s="697" t="s">
        <v>859</v>
      </c>
      <c r="N48" s="694"/>
      <c r="O48" s="694"/>
      <c r="P48" s="697" t="s">
        <v>859</v>
      </c>
      <c r="Q48" s="697" t="s">
        <v>859</v>
      </c>
      <c r="R48" s="697" t="s">
        <v>859</v>
      </c>
      <c r="S48" s="697" t="s">
        <v>859</v>
      </c>
      <c r="T48" s="694"/>
      <c r="U48" s="694"/>
      <c r="V48" s="697" t="s">
        <v>859</v>
      </c>
      <c r="W48" s="697" t="s">
        <v>859</v>
      </c>
      <c r="X48" s="697" t="s">
        <v>859</v>
      </c>
      <c r="Y48" s="697" t="s">
        <v>859</v>
      </c>
      <c r="Z48" s="694"/>
      <c r="AA48" s="694"/>
      <c r="AB48" s="697" t="s">
        <v>859</v>
      </c>
      <c r="AC48" s="697" t="s">
        <v>859</v>
      </c>
      <c r="AD48" s="697" t="s">
        <v>859</v>
      </c>
      <c r="AE48" s="697" t="s">
        <v>859</v>
      </c>
      <c r="AF48" s="694"/>
      <c r="AG48" s="705" t="s">
        <v>859</v>
      </c>
      <c r="AH48" s="697" t="s">
        <v>859</v>
      </c>
      <c r="AI48" s="697" t="s">
        <v>859</v>
      </c>
      <c r="AJ48" s="693" t="s">
        <v>859</v>
      </c>
      <c r="AK48" s="693" t="s">
        <v>859</v>
      </c>
      <c r="AL48" s="695"/>
      <c r="AM48" s="694"/>
      <c r="AN48" s="693" t="s">
        <v>859</v>
      </c>
      <c r="AO48" s="693" t="s">
        <v>859</v>
      </c>
      <c r="AP48" s="693" t="s">
        <v>859</v>
      </c>
      <c r="AQ48" s="693" t="s">
        <v>859</v>
      </c>
      <c r="AR48" s="695"/>
      <c r="AS48" s="694"/>
      <c r="AT48" s="695"/>
      <c r="AU48" s="695"/>
      <c r="AV48" s="695"/>
      <c r="AW48" s="695"/>
      <c r="AX48" s="695"/>
    </row>
    <row r="49" spans="1:51" ht="14.25" customHeight="1">
      <c r="A49" s="73"/>
      <c r="B49" s="70" t="s">
        <v>763</v>
      </c>
      <c r="D49" s="697">
        <v>0</v>
      </c>
      <c r="E49" s="697">
        <v>0</v>
      </c>
      <c r="F49" s="697">
        <v>0</v>
      </c>
      <c r="G49" s="697">
        <v>0</v>
      </c>
      <c r="H49" s="694">
        <v>0</v>
      </c>
      <c r="I49" s="694"/>
      <c r="J49" s="697">
        <v>0</v>
      </c>
      <c r="K49" s="697">
        <v>0</v>
      </c>
      <c r="L49" s="697">
        <v>0</v>
      </c>
      <c r="M49" s="697">
        <v>0</v>
      </c>
      <c r="N49" s="694">
        <v>0</v>
      </c>
      <c r="O49" s="694"/>
      <c r="P49" s="697">
        <v>0</v>
      </c>
      <c r="Q49" s="697">
        <v>0</v>
      </c>
      <c r="R49" s="697">
        <v>0</v>
      </c>
      <c r="S49" s="697">
        <v>0</v>
      </c>
      <c r="T49" s="694">
        <v>0</v>
      </c>
      <c r="U49" s="694"/>
      <c r="V49" s="697">
        <v>0</v>
      </c>
      <c r="W49" s="697">
        <v>0</v>
      </c>
      <c r="X49" s="697">
        <v>0</v>
      </c>
      <c r="Y49" s="697">
        <v>0</v>
      </c>
      <c r="Z49" s="694">
        <v>0</v>
      </c>
      <c r="AA49" s="694"/>
      <c r="AB49" s="697">
        <v>0</v>
      </c>
      <c r="AC49" s="697">
        <v>0</v>
      </c>
      <c r="AD49" s="697">
        <v>0</v>
      </c>
      <c r="AE49" s="697">
        <v>0</v>
      </c>
      <c r="AF49" s="694">
        <v>0</v>
      </c>
      <c r="AG49" s="705" t="s">
        <v>859</v>
      </c>
      <c r="AH49" s="697">
        <v>0</v>
      </c>
      <c r="AI49" s="697">
        <v>0</v>
      </c>
      <c r="AJ49" s="693" t="s">
        <v>859</v>
      </c>
      <c r="AK49" s="693" t="s">
        <v>859</v>
      </c>
      <c r="AL49" s="695"/>
      <c r="AM49" s="694"/>
      <c r="AN49" s="693" t="s">
        <v>859</v>
      </c>
      <c r="AO49" s="693" t="s">
        <v>859</v>
      </c>
      <c r="AP49" s="693" t="s">
        <v>859</v>
      </c>
      <c r="AQ49" s="693" t="s">
        <v>859</v>
      </c>
      <c r="AR49" s="695"/>
      <c r="AS49" s="694"/>
      <c r="AT49" s="695"/>
      <c r="AU49" s="695"/>
      <c r="AV49" s="695"/>
      <c r="AW49" s="695"/>
      <c r="AX49" s="695"/>
    </row>
    <row r="50" spans="1:51" ht="14.25" customHeight="1">
      <c r="A50" s="55"/>
      <c r="B50" s="70" t="s">
        <v>764</v>
      </c>
      <c r="D50" s="697">
        <v>0</v>
      </c>
      <c r="E50" s="697">
        <v>0</v>
      </c>
      <c r="F50" s="697">
        <v>0</v>
      </c>
      <c r="G50" s="697">
        <v>0</v>
      </c>
      <c r="H50" s="699">
        <v>0</v>
      </c>
      <c r="I50" s="694"/>
      <c r="J50" s="697">
        <v>0</v>
      </c>
      <c r="K50" s="697">
        <v>0</v>
      </c>
      <c r="L50" s="697">
        <v>0</v>
      </c>
      <c r="M50" s="697">
        <v>0</v>
      </c>
      <c r="N50" s="699">
        <v>0</v>
      </c>
      <c r="O50" s="694"/>
      <c r="P50" s="697">
        <v>0</v>
      </c>
      <c r="Q50" s="697">
        <v>0</v>
      </c>
      <c r="R50" s="697">
        <v>0</v>
      </c>
      <c r="S50" s="697">
        <v>0</v>
      </c>
      <c r="T50" s="699">
        <v>0</v>
      </c>
      <c r="U50" s="694"/>
      <c r="V50" s="697">
        <v>0</v>
      </c>
      <c r="W50" s="697">
        <v>0</v>
      </c>
      <c r="X50" s="697">
        <v>0</v>
      </c>
      <c r="Y50" s="697">
        <v>0</v>
      </c>
      <c r="Z50" s="699">
        <v>0</v>
      </c>
      <c r="AA50" s="694"/>
      <c r="AB50" s="697">
        <v>0</v>
      </c>
      <c r="AC50" s="697">
        <v>0</v>
      </c>
      <c r="AD50" s="697">
        <v>0</v>
      </c>
      <c r="AE50" s="697">
        <v>0</v>
      </c>
      <c r="AF50" s="699">
        <v>0</v>
      </c>
      <c r="AG50" s="705" t="s">
        <v>859</v>
      </c>
      <c r="AH50" s="697">
        <v>0</v>
      </c>
      <c r="AI50" s="697">
        <v>0</v>
      </c>
      <c r="AJ50" s="693" t="s">
        <v>859</v>
      </c>
      <c r="AK50" s="693" t="s">
        <v>859</v>
      </c>
      <c r="AL50" s="709" t="s">
        <v>859</v>
      </c>
      <c r="AM50" s="694"/>
      <c r="AN50" s="693" t="s">
        <v>859</v>
      </c>
      <c r="AO50" s="693" t="s">
        <v>859</v>
      </c>
      <c r="AP50" s="693" t="s">
        <v>859</v>
      </c>
      <c r="AQ50" s="693" t="s">
        <v>859</v>
      </c>
      <c r="AR50" s="709" t="s">
        <v>859</v>
      </c>
      <c r="AS50" s="694"/>
      <c r="AT50" s="709" t="s">
        <v>859</v>
      </c>
      <c r="AU50" s="695"/>
      <c r="AV50" s="709" t="s">
        <v>859</v>
      </c>
      <c r="AW50" s="695"/>
      <c r="AX50" s="709" t="s">
        <v>859</v>
      </c>
    </row>
    <row r="51" spans="1:51" ht="14.25" customHeight="1">
      <c r="A51" s="73"/>
      <c r="B51" s="76" t="s">
        <v>765</v>
      </c>
      <c r="D51" s="697" t="s">
        <v>1082</v>
      </c>
      <c r="E51" s="697" t="s">
        <v>992</v>
      </c>
      <c r="F51" s="697" t="s">
        <v>1083</v>
      </c>
      <c r="G51" s="697" t="s">
        <v>1084</v>
      </c>
      <c r="H51" s="712" t="s">
        <v>1085</v>
      </c>
      <c r="I51" s="694"/>
      <c r="J51" s="697" t="s">
        <v>1086</v>
      </c>
      <c r="K51" s="697" t="s">
        <v>1087</v>
      </c>
      <c r="L51" s="697" t="s">
        <v>1088</v>
      </c>
      <c r="M51" s="697" t="s">
        <v>1089</v>
      </c>
      <c r="N51" s="712" t="s">
        <v>1090</v>
      </c>
      <c r="O51" s="694"/>
      <c r="P51" s="697" t="s">
        <v>1091</v>
      </c>
      <c r="Q51" s="697">
        <v>107</v>
      </c>
      <c r="R51" s="697" t="s">
        <v>1092</v>
      </c>
      <c r="S51" s="697" t="s">
        <v>1093</v>
      </c>
      <c r="T51" s="712" t="s">
        <v>1094</v>
      </c>
      <c r="U51" s="694"/>
      <c r="V51" s="697" t="s">
        <v>1095</v>
      </c>
      <c r="W51" s="697" t="s">
        <v>1096</v>
      </c>
      <c r="X51" s="697" t="s">
        <v>1097</v>
      </c>
      <c r="Y51" s="697" t="s">
        <v>1098</v>
      </c>
      <c r="Z51" s="712" t="s">
        <v>1099</v>
      </c>
      <c r="AA51" s="694"/>
      <c r="AB51" s="697" t="s">
        <v>1100</v>
      </c>
      <c r="AC51" s="697" t="s">
        <v>1101</v>
      </c>
      <c r="AD51" s="697" t="s">
        <v>1102</v>
      </c>
      <c r="AE51" s="697">
        <v>841</v>
      </c>
      <c r="AF51" s="712" t="s">
        <v>1103</v>
      </c>
      <c r="AG51" s="705" t="s">
        <v>859</v>
      </c>
      <c r="AH51" s="697" t="s">
        <v>1104</v>
      </c>
      <c r="AI51" s="697">
        <v>641</v>
      </c>
      <c r="AJ51" s="693" t="s">
        <v>859</v>
      </c>
      <c r="AK51" s="693" t="s">
        <v>859</v>
      </c>
      <c r="AL51" s="713" t="s">
        <v>859</v>
      </c>
      <c r="AM51" s="694"/>
      <c r="AN51" s="693" t="s">
        <v>859</v>
      </c>
      <c r="AO51" s="693" t="s">
        <v>859</v>
      </c>
      <c r="AP51" s="693" t="s">
        <v>859</v>
      </c>
      <c r="AQ51" s="693" t="s">
        <v>859</v>
      </c>
      <c r="AR51" s="713" t="s">
        <v>859</v>
      </c>
      <c r="AS51" s="694"/>
      <c r="AT51" s="713" t="s">
        <v>859</v>
      </c>
      <c r="AU51" s="695"/>
      <c r="AV51" s="713" t="s">
        <v>859</v>
      </c>
      <c r="AW51" s="695"/>
      <c r="AX51" s="713" t="s">
        <v>859</v>
      </c>
    </row>
    <row r="52" spans="1:51" ht="14.25" customHeight="1">
      <c r="A52" s="55"/>
      <c r="B52" s="205"/>
      <c r="D52" s="697" t="s">
        <v>859</v>
      </c>
      <c r="E52" s="697" t="s">
        <v>859</v>
      </c>
      <c r="F52" s="697" t="s">
        <v>859</v>
      </c>
      <c r="G52" s="697" t="s">
        <v>859</v>
      </c>
      <c r="H52" s="694"/>
      <c r="I52" s="694"/>
      <c r="J52" s="697" t="s">
        <v>859</v>
      </c>
      <c r="K52" s="697" t="s">
        <v>859</v>
      </c>
      <c r="L52" s="697" t="s">
        <v>859</v>
      </c>
      <c r="M52" s="697" t="s">
        <v>859</v>
      </c>
      <c r="N52" s="694"/>
      <c r="O52" s="694"/>
      <c r="P52" s="697" t="s">
        <v>859</v>
      </c>
      <c r="Q52" s="697" t="s">
        <v>859</v>
      </c>
      <c r="R52" s="697" t="s">
        <v>859</v>
      </c>
      <c r="S52" s="697" t="s">
        <v>859</v>
      </c>
      <c r="T52" s="694"/>
      <c r="U52" s="694"/>
      <c r="V52" s="697" t="s">
        <v>859</v>
      </c>
      <c r="W52" s="697" t="s">
        <v>859</v>
      </c>
      <c r="X52" s="697" t="s">
        <v>859</v>
      </c>
      <c r="Y52" s="697" t="s">
        <v>859</v>
      </c>
      <c r="Z52" s="694"/>
      <c r="AA52" s="694"/>
      <c r="AB52" s="697" t="s">
        <v>859</v>
      </c>
      <c r="AC52" s="697" t="s">
        <v>859</v>
      </c>
      <c r="AD52" s="697" t="s">
        <v>859</v>
      </c>
      <c r="AE52" s="697" t="s">
        <v>859</v>
      </c>
      <c r="AF52" s="694"/>
      <c r="AG52" s="705" t="s">
        <v>859</v>
      </c>
      <c r="AH52" s="697" t="s">
        <v>859</v>
      </c>
      <c r="AI52" s="697" t="s">
        <v>859</v>
      </c>
      <c r="AJ52" s="693" t="s">
        <v>859</v>
      </c>
      <c r="AK52" s="693" t="s">
        <v>859</v>
      </c>
      <c r="AL52" s="695"/>
      <c r="AM52" s="694"/>
      <c r="AN52" s="693" t="s">
        <v>859</v>
      </c>
      <c r="AO52" s="693" t="s">
        <v>859</v>
      </c>
      <c r="AP52" s="693" t="s">
        <v>859</v>
      </c>
      <c r="AQ52" s="693" t="s">
        <v>859</v>
      </c>
      <c r="AR52" s="695"/>
      <c r="AS52" s="694"/>
      <c r="AT52" s="695"/>
      <c r="AU52" s="695"/>
      <c r="AV52" s="695"/>
      <c r="AW52" s="695"/>
      <c r="AX52" s="695"/>
    </row>
    <row r="53" spans="1:51" ht="14.25" customHeight="1">
      <c r="A53" s="44" t="s">
        <v>41</v>
      </c>
      <c r="B53" s="65" t="s">
        <v>766</v>
      </c>
      <c r="D53" s="697" t="s">
        <v>859</v>
      </c>
      <c r="E53" s="697" t="s">
        <v>859</v>
      </c>
      <c r="F53" s="697" t="s">
        <v>859</v>
      </c>
      <c r="G53" s="697" t="s">
        <v>859</v>
      </c>
      <c r="H53" s="694"/>
      <c r="I53" s="694"/>
      <c r="J53" s="697" t="s">
        <v>859</v>
      </c>
      <c r="K53" s="697" t="s">
        <v>859</v>
      </c>
      <c r="L53" s="697" t="s">
        <v>859</v>
      </c>
      <c r="M53" s="697" t="s">
        <v>859</v>
      </c>
      <c r="N53" s="694"/>
      <c r="O53" s="694"/>
      <c r="P53" s="697" t="s">
        <v>859</v>
      </c>
      <c r="Q53" s="697" t="s">
        <v>859</v>
      </c>
      <c r="R53" s="697" t="s">
        <v>859</v>
      </c>
      <c r="S53" s="697" t="s">
        <v>859</v>
      </c>
      <c r="T53" s="694"/>
      <c r="U53" s="694"/>
      <c r="V53" s="697" t="s">
        <v>859</v>
      </c>
      <c r="W53" s="697" t="s">
        <v>859</v>
      </c>
      <c r="X53" s="697" t="s">
        <v>859</v>
      </c>
      <c r="Y53" s="697" t="s">
        <v>859</v>
      </c>
      <c r="Z53" s="694"/>
      <c r="AA53" s="694"/>
      <c r="AB53" s="697" t="s">
        <v>859</v>
      </c>
      <c r="AC53" s="697" t="s">
        <v>859</v>
      </c>
      <c r="AD53" s="697" t="s">
        <v>859</v>
      </c>
      <c r="AE53" s="697" t="s">
        <v>859</v>
      </c>
      <c r="AF53" s="694"/>
      <c r="AG53" s="705" t="s">
        <v>859</v>
      </c>
      <c r="AH53" s="697" t="s">
        <v>859</v>
      </c>
      <c r="AI53" s="697" t="s">
        <v>859</v>
      </c>
      <c r="AJ53" s="693" t="s">
        <v>859</v>
      </c>
      <c r="AK53" s="693" t="s">
        <v>859</v>
      </c>
      <c r="AL53" s="695"/>
      <c r="AM53" s="694"/>
      <c r="AN53" s="693" t="s">
        <v>859</v>
      </c>
      <c r="AO53" s="693" t="s">
        <v>859</v>
      </c>
      <c r="AP53" s="693" t="s">
        <v>859</v>
      </c>
      <c r="AQ53" s="693" t="s">
        <v>859</v>
      </c>
      <c r="AR53" s="695"/>
      <c r="AS53" s="694"/>
      <c r="AT53" s="695"/>
      <c r="AU53" s="695"/>
      <c r="AV53" s="695"/>
      <c r="AW53" s="695"/>
      <c r="AX53" s="695"/>
    </row>
    <row r="54" spans="1:51" ht="14.25" customHeight="1">
      <c r="A54" s="55"/>
      <c r="B54" s="76" t="s">
        <v>767</v>
      </c>
      <c r="D54" s="697" t="s">
        <v>1105</v>
      </c>
      <c r="E54" s="697" t="s">
        <v>1106</v>
      </c>
      <c r="F54" s="697" t="s">
        <v>1107</v>
      </c>
      <c r="G54" s="697" t="s">
        <v>1108</v>
      </c>
      <c r="H54" s="694" t="s">
        <v>1109</v>
      </c>
      <c r="I54" s="694"/>
      <c r="J54" s="697" t="s">
        <v>1110</v>
      </c>
      <c r="K54" s="697" t="s">
        <v>1111</v>
      </c>
      <c r="L54" s="697" t="s">
        <v>1110</v>
      </c>
      <c r="M54" s="697" t="s">
        <v>1112</v>
      </c>
      <c r="N54" s="694" t="s">
        <v>1113</v>
      </c>
      <c r="O54" s="694"/>
      <c r="P54" s="697" t="s">
        <v>1114</v>
      </c>
      <c r="Q54" s="697" t="s">
        <v>1115</v>
      </c>
      <c r="R54" s="697" t="s">
        <v>1116</v>
      </c>
      <c r="S54" s="697" t="s">
        <v>1117</v>
      </c>
      <c r="T54" s="694" t="s">
        <v>1118</v>
      </c>
      <c r="U54" s="694"/>
      <c r="V54" s="697" t="s">
        <v>1119</v>
      </c>
      <c r="W54" s="697" t="s">
        <v>1120</v>
      </c>
      <c r="X54" s="697" t="s">
        <v>1121</v>
      </c>
      <c r="Y54" s="697" t="s">
        <v>1122</v>
      </c>
      <c r="Z54" s="694" t="s">
        <v>1123</v>
      </c>
      <c r="AA54" s="694"/>
      <c r="AB54" s="697" t="s">
        <v>1124</v>
      </c>
      <c r="AC54" s="697" t="s">
        <v>1125</v>
      </c>
      <c r="AD54" s="697" t="s">
        <v>1126</v>
      </c>
      <c r="AE54" s="697" t="s">
        <v>1127</v>
      </c>
      <c r="AF54" s="694" t="s">
        <v>1128</v>
      </c>
      <c r="AG54" s="705" t="s">
        <v>859</v>
      </c>
      <c r="AH54" s="697" t="s">
        <v>1129</v>
      </c>
      <c r="AI54" s="697" t="s">
        <v>1130</v>
      </c>
      <c r="AJ54" s="693" t="s">
        <v>859</v>
      </c>
      <c r="AK54" s="693" t="s">
        <v>859</v>
      </c>
      <c r="AL54" s="695"/>
      <c r="AM54" s="694"/>
      <c r="AN54" s="693" t="s">
        <v>859</v>
      </c>
      <c r="AO54" s="693" t="s">
        <v>859</v>
      </c>
      <c r="AP54" s="693" t="s">
        <v>859</v>
      </c>
      <c r="AQ54" s="693" t="s">
        <v>859</v>
      </c>
      <c r="AR54" s="695"/>
      <c r="AS54" s="694"/>
      <c r="AT54" s="695"/>
      <c r="AU54" s="695"/>
      <c r="AV54" s="695"/>
      <c r="AW54" s="695"/>
      <c r="AX54" s="695"/>
    </row>
    <row r="55" spans="1:51" ht="14.25" customHeight="1">
      <c r="A55" s="73"/>
      <c r="B55" s="76" t="s">
        <v>768</v>
      </c>
      <c r="D55" s="697" t="s">
        <v>1131</v>
      </c>
      <c r="E55" s="697" t="s">
        <v>1132</v>
      </c>
      <c r="F55" s="697" t="s">
        <v>1133</v>
      </c>
      <c r="G55" s="697" t="s">
        <v>1134</v>
      </c>
      <c r="H55" s="694" t="s">
        <v>1135</v>
      </c>
      <c r="I55" s="694"/>
      <c r="J55" s="697" t="s">
        <v>1136</v>
      </c>
      <c r="K55" s="697" t="s">
        <v>1137</v>
      </c>
      <c r="L55" s="697" t="s">
        <v>1138</v>
      </c>
      <c r="M55" s="697" t="s">
        <v>1139</v>
      </c>
      <c r="N55" s="694" t="s">
        <v>1140</v>
      </c>
      <c r="O55" s="694"/>
      <c r="P55" s="697" t="s">
        <v>1141</v>
      </c>
      <c r="Q55" s="697" t="s">
        <v>1115</v>
      </c>
      <c r="R55" s="697" t="s">
        <v>1110</v>
      </c>
      <c r="S55" s="697" t="s">
        <v>1142</v>
      </c>
      <c r="T55" s="694" t="s">
        <v>1143</v>
      </c>
      <c r="U55" s="694"/>
      <c r="V55" s="697" t="s">
        <v>1144</v>
      </c>
      <c r="W55" s="697" t="s">
        <v>1138</v>
      </c>
      <c r="X55" s="697" t="s">
        <v>1145</v>
      </c>
      <c r="Y55" s="697" t="s">
        <v>1146</v>
      </c>
      <c r="Z55" s="694" t="s">
        <v>1147</v>
      </c>
      <c r="AA55" s="694"/>
      <c r="AB55" s="697" t="s">
        <v>1148</v>
      </c>
      <c r="AC55" s="697" t="s">
        <v>1149</v>
      </c>
      <c r="AD55" s="697" t="s">
        <v>1150</v>
      </c>
      <c r="AE55" s="697" t="s">
        <v>1151</v>
      </c>
      <c r="AF55" s="694" t="s">
        <v>1152</v>
      </c>
      <c r="AG55" s="705" t="s">
        <v>859</v>
      </c>
      <c r="AH55" s="697" t="s">
        <v>1153</v>
      </c>
      <c r="AI55" s="697" t="s">
        <v>1154</v>
      </c>
      <c r="AJ55" s="693" t="s">
        <v>859</v>
      </c>
      <c r="AK55" s="693" t="s">
        <v>859</v>
      </c>
      <c r="AL55" s="695"/>
      <c r="AM55" s="694"/>
      <c r="AN55" s="693" t="s">
        <v>859</v>
      </c>
      <c r="AO55" s="693" t="s">
        <v>859</v>
      </c>
      <c r="AP55" s="693" t="s">
        <v>859</v>
      </c>
      <c r="AQ55" s="693" t="s">
        <v>859</v>
      </c>
      <c r="AR55" s="695"/>
      <c r="AS55" s="694"/>
      <c r="AT55" s="695"/>
      <c r="AU55" s="695"/>
      <c r="AV55" s="695"/>
      <c r="AW55" s="695"/>
      <c r="AX55" s="695"/>
    </row>
    <row r="56" spans="1:51" ht="14.25" customHeight="1">
      <c r="A56" s="55"/>
      <c r="B56" s="205"/>
      <c r="D56" s="697" t="s">
        <v>859</v>
      </c>
      <c r="E56" s="697" t="s">
        <v>859</v>
      </c>
      <c r="F56" s="697" t="s">
        <v>859</v>
      </c>
      <c r="G56" s="697" t="s">
        <v>859</v>
      </c>
      <c r="H56" s="694"/>
      <c r="I56" s="694"/>
      <c r="J56" s="697" t="s">
        <v>859</v>
      </c>
      <c r="K56" s="697" t="s">
        <v>859</v>
      </c>
      <c r="L56" s="697" t="s">
        <v>859</v>
      </c>
      <c r="M56" s="697" t="s">
        <v>859</v>
      </c>
      <c r="N56" s="694"/>
      <c r="O56" s="694"/>
      <c r="P56" s="697" t="s">
        <v>859</v>
      </c>
      <c r="Q56" s="697" t="s">
        <v>859</v>
      </c>
      <c r="R56" s="697" t="s">
        <v>859</v>
      </c>
      <c r="S56" s="697" t="s">
        <v>859</v>
      </c>
      <c r="T56" s="694"/>
      <c r="U56" s="694"/>
      <c r="V56" s="697" t="s">
        <v>859</v>
      </c>
      <c r="W56" s="697" t="s">
        <v>859</v>
      </c>
      <c r="X56" s="697" t="s">
        <v>859</v>
      </c>
      <c r="Y56" s="697" t="s">
        <v>859</v>
      </c>
      <c r="Z56" s="694"/>
      <c r="AA56" s="694"/>
      <c r="AB56" s="697" t="s">
        <v>859</v>
      </c>
      <c r="AC56" s="697" t="s">
        <v>859</v>
      </c>
      <c r="AD56" s="697" t="s">
        <v>859</v>
      </c>
      <c r="AE56" s="697" t="s">
        <v>859</v>
      </c>
      <c r="AF56" s="694"/>
      <c r="AG56" s="705" t="s">
        <v>859</v>
      </c>
      <c r="AH56" s="697" t="s">
        <v>859</v>
      </c>
      <c r="AI56" s="697" t="s">
        <v>859</v>
      </c>
      <c r="AJ56" s="693" t="s">
        <v>859</v>
      </c>
      <c r="AK56" s="693" t="s">
        <v>859</v>
      </c>
      <c r="AL56" s="695"/>
      <c r="AM56" s="694"/>
      <c r="AN56" s="693" t="s">
        <v>859</v>
      </c>
      <c r="AO56" s="693" t="s">
        <v>859</v>
      </c>
      <c r="AP56" s="693" t="s">
        <v>859</v>
      </c>
      <c r="AQ56" s="693" t="s">
        <v>859</v>
      </c>
      <c r="AR56" s="695"/>
      <c r="AS56" s="694"/>
      <c r="AT56" s="695"/>
      <c r="AU56" s="695"/>
      <c r="AV56" s="695"/>
      <c r="AW56" s="695"/>
      <c r="AX56" s="695"/>
    </row>
    <row r="57" spans="1:51" ht="14.25" customHeight="1">
      <c r="A57" s="44" t="s">
        <v>41</v>
      </c>
      <c r="B57" s="65" t="s">
        <v>769</v>
      </c>
      <c r="D57" s="697" t="s">
        <v>859</v>
      </c>
      <c r="E57" s="697" t="s">
        <v>859</v>
      </c>
      <c r="F57" s="697" t="s">
        <v>859</v>
      </c>
      <c r="G57" s="697" t="s">
        <v>859</v>
      </c>
      <c r="H57" s="694"/>
      <c r="I57" s="694"/>
      <c r="J57" s="697" t="s">
        <v>859</v>
      </c>
      <c r="K57" s="697" t="s">
        <v>859</v>
      </c>
      <c r="L57" s="697" t="s">
        <v>859</v>
      </c>
      <c r="M57" s="697" t="s">
        <v>859</v>
      </c>
      <c r="N57" s="694"/>
      <c r="O57" s="694"/>
      <c r="P57" s="697" t="s">
        <v>859</v>
      </c>
      <c r="Q57" s="697" t="s">
        <v>859</v>
      </c>
      <c r="R57" s="697" t="s">
        <v>859</v>
      </c>
      <c r="S57" s="697" t="s">
        <v>859</v>
      </c>
      <c r="T57" s="694"/>
      <c r="U57" s="694"/>
      <c r="V57" s="697" t="s">
        <v>859</v>
      </c>
      <c r="W57" s="697" t="s">
        <v>859</v>
      </c>
      <c r="X57" s="697" t="s">
        <v>859</v>
      </c>
      <c r="Y57" s="697" t="s">
        <v>859</v>
      </c>
      <c r="Z57" s="694"/>
      <c r="AA57" s="694"/>
      <c r="AB57" s="697" t="s">
        <v>859</v>
      </c>
      <c r="AC57" s="697" t="s">
        <v>859</v>
      </c>
      <c r="AD57" s="697" t="s">
        <v>859</v>
      </c>
      <c r="AE57" s="697" t="s">
        <v>859</v>
      </c>
      <c r="AF57" s="694"/>
      <c r="AG57" s="705" t="s">
        <v>859</v>
      </c>
      <c r="AH57" s="697" t="s">
        <v>859</v>
      </c>
      <c r="AI57" s="697" t="s">
        <v>859</v>
      </c>
      <c r="AJ57" s="693" t="s">
        <v>859</v>
      </c>
      <c r="AK57" s="693" t="s">
        <v>859</v>
      </c>
      <c r="AL57" s="695"/>
      <c r="AM57" s="694"/>
      <c r="AN57" s="693" t="s">
        <v>859</v>
      </c>
      <c r="AO57" s="693" t="s">
        <v>859</v>
      </c>
      <c r="AP57" s="693" t="s">
        <v>859</v>
      </c>
      <c r="AQ57" s="693" t="s">
        <v>859</v>
      </c>
      <c r="AR57" s="695"/>
      <c r="AS57" s="694"/>
      <c r="AT57" s="695"/>
      <c r="AU57" s="695"/>
      <c r="AV57" s="695"/>
      <c r="AW57" s="695"/>
      <c r="AX57" s="695"/>
    </row>
    <row r="58" spans="1:51" ht="14.25" customHeight="1">
      <c r="B58" s="70" t="s">
        <v>770</v>
      </c>
      <c r="D58" s="697" t="s">
        <v>1155</v>
      </c>
      <c r="E58" s="697" t="s">
        <v>1156</v>
      </c>
      <c r="F58" s="697" t="s">
        <v>1157</v>
      </c>
      <c r="G58" s="697" t="s">
        <v>1158</v>
      </c>
      <c r="H58" s="694" t="s">
        <v>1159</v>
      </c>
      <c r="I58" s="694"/>
      <c r="J58" s="697" t="s">
        <v>1160</v>
      </c>
      <c r="K58" s="697" t="s">
        <v>1161</v>
      </c>
      <c r="L58" s="697" t="s">
        <v>1162</v>
      </c>
      <c r="M58" s="697" t="s">
        <v>1163</v>
      </c>
      <c r="N58" s="694" t="s">
        <v>1164</v>
      </c>
      <c r="O58" s="694"/>
      <c r="P58" s="697" t="s">
        <v>1165</v>
      </c>
      <c r="Q58" s="697" t="s">
        <v>1166</v>
      </c>
      <c r="R58" s="697" t="s">
        <v>1167</v>
      </c>
      <c r="S58" s="697" t="s">
        <v>1168</v>
      </c>
      <c r="T58" s="694" t="s">
        <v>1169</v>
      </c>
      <c r="U58" s="694"/>
      <c r="V58" s="697" t="s">
        <v>1170</v>
      </c>
      <c r="W58" s="697" t="s">
        <v>1171</v>
      </c>
      <c r="X58" s="697" t="s">
        <v>1172</v>
      </c>
      <c r="Y58" s="697" t="s">
        <v>1173</v>
      </c>
      <c r="Z58" s="694" t="s">
        <v>1174</v>
      </c>
      <c r="AA58" s="694"/>
      <c r="AB58" s="697" t="s">
        <v>1175</v>
      </c>
      <c r="AC58" s="697" t="s">
        <v>1176</v>
      </c>
      <c r="AD58" s="697" t="s">
        <v>1177</v>
      </c>
      <c r="AE58" s="697" t="s">
        <v>1178</v>
      </c>
      <c r="AF58" s="694" t="s">
        <v>1179</v>
      </c>
      <c r="AG58" s="705" t="s">
        <v>859</v>
      </c>
      <c r="AH58" s="697" t="s">
        <v>1180</v>
      </c>
      <c r="AI58" s="697" t="s">
        <v>1181</v>
      </c>
      <c r="AJ58" s="693" t="e">
        <v>#DIV/0!</v>
      </c>
      <c r="AK58" s="693" t="e">
        <v>#DIV/0!</v>
      </c>
      <c r="AL58" s="695" t="e">
        <v>#DIV/0!</v>
      </c>
      <c r="AM58" s="694"/>
      <c r="AN58" s="693" t="e">
        <v>#DIV/0!</v>
      </c>
      <c r="AO58" s="693" t="e">
        <v>#DIV/0!</v>
      </c>
      <c r="AP58" s="693" t="e">
        <v>#DIV/0!</v>
      </c>
      <c r="AQ58" s="693" t="e">
        <v>#DIV/0!</v>
      </c>
      <c r="AR58" s="695" t="e">
        <v>#DIV/0!</v>
      </c>
      <c r="AS58" s="694"/>
      <c r="AT58" s="695" t="e">
        <v>#DIV/0!</v>
      </c>
      <c r="AU58" s="695"/>
      <c r="AV58" s="695" t="e">
        <v>#DIV/0!</v>
      </c>
      <c r="AW58" s="695"/>
      <c r="AX58" s="695" t="e">
        <v>#DIV/0!</v>
      </c>
    </row>
    <row r="59" spans="1:51" ht="14.25" customHeight="1">
      <c r="B59" s="70" t="s">
        <v>771</v>
      </c>
      <c r="D59" s="697" t="s">
        <v>1182</v>
      </c>
      <c r="E59" s="697" t="s">
        <v>1183</v>
      </c>
      <c r="F59" s="697" t="s">
        <v>1184</v>
      </c>
      <c r="G59" s="697" t="s">
        <v>1185</v>
      </c>
      <c r="H59" s="694" t="s">
        <v>1186</v>
      </c>
      <c r="I59" s="694"/>
      <c r="J59" s="697" t="s">
        <v>1159</v>
      </c>
      <c r="K59" s="697" t="s">
        <v>1187</v>
      </c>
      <c r="L59" s="697" t="s">
        <v>1188</v>
      </c>
      <c r="M59" s="697" t="s">
        <v>1189</v>
      </c>
      <c r="N59" s="694" t="s">
        <v>1161</v>
      </c>
      <c r="O59" s="694"/>
      <c r="P59" s="697" t="s">
        <v>1190</v>
      </c>
      <c r="Q59" s="697" t="s">
        <v>1191</v>
      </c>
      <c r="R59" s="697" t="s">
        <v>1192</v>
      </c>
      <c r="S59" s="697" t="s">
        <v>1193</v>
      </c>
      <c r="T59" s="694" t="s">
        <v>1194</v>
      </c>
      <c r="U59" s="694"/>
      <c r="V59" s="697" t="s">
        <v>1195</v>
      </c>
      <c r="W59" s="697" t="s">
        <v>1196</v>
      </c>
      <c r="X59" s="697" t="s">
        <v>1197</v>
      </c>
      <c r="Y59" s="697" t="s">
        <v>1198</v>
      </c>
      <c r="Z59" s="694" t="s">
        <v>1199</v>
      </c>
      <c r="AA59" s="694"/>
      <c r="AB59" s="697" t="s">
        <v>1200</v>
      </c>
      <c r="AC59" s="697" t="s">
        <v>1201</v>
      </c>
      <c r="AD59" s="697" t="s">
        <v>1202</v>
      </c>
      <c r="AE59" s="697" t="s">
        <v>1203</v>
      </c>
      <c r="AF59" s="694" t="s">
        <v>1204</v>
      </c>
      <c r="AG59" s="705" t="s">
        <v>859</v>
      </c>
      <c r="AH59" s="697" t="s">
        <v>1205</v>
      </c>
      <c r="AI59" s="697" t="s">
        <v>1206</v>
      </c>
      <c r="AJ59" s="693" t="s">
        <v>1206</v>
      </c>
      <c r="AK59" s="693" t="s">
        <v>1206</v>
      </c>
      <c r="AL59" s="695" t="s">
        <v>1207</v>
      </c>
      <c r="AM59" s="694"/>
      <c r="AN59" s="693" t="s">
        <v>1206</v>
      </c>
      <c r="AO59" s="693" t="s">
        <v>1206</v>
      </c>
      <c r="AP59" s="693" t="s">
        <v>1206</v>
      </c>
      <c r="AQ59" s="693" t="s">
        <v>1206</v>
      </c>
      <c r="AR59" s="695" t="s">
        <v>1206</v>
      </c>
      <c r="AS59" s="694"/>
      <c r="AT59" s="695" t="s">
        <v>1206</v>
      </c>
      <c r="AU59" s="695"/>
      <c r="AV59" s="695" t="s">
        <v>1206</v>
      </c>
      <c r="AW59" s="695"/>
      <c r="AX59" s="695" t="s">
        <v>1206</v>
      </c>
    </row>
    <row r="60" spans="1:51" ht="14.25" customHeight="1">
      <c r="D60" s="704"/>
      <c r="E60" s="704"/>
      <c r="F60" s="704"/>
      <c r="G60" s="704"/>
      <c r="H60" s="704"/>
      <c r="I60" s="704"/>
      <c r="J60" s="704"/>
      <c r="K60" s="704"/>
      <c r="L60" s="704"/>
      <c r="M60" s="704"/>
      <c r="N60" s="704"/>
      <c r="O60" s="704"/>
      <c r="P60" s="704"/>
      <c r="Q60" s="704"/>
      <c r="R60" s="704"/>
      <c r="S60" s="704"/>
      <c r="T60" s="704"/>
      <c r="U60" s="704"/>
      <c r="V60" s="704"/>
      <c r="W60" s="704"/>
      <c r="X60" s="704"/>
      <c r="Y60" s="704"/>
      <c r="Z60" s="704"/>
      <c r="AA60" s="704"/>
      <c r="AB60" s="704"/>
      <c r="AC60" s="704"/>
      <c r="AD60" s="704"/>
      <c r="AE60" s="704"/>
      <c r="AF60" s="704"/>
      <c r="AG60" s="714" t="s">
        <v>859</v>
      </c>
      <c r="AH60" s="704"/>
      <c r="AI60" s="704"/>
      <c r="AJ60" s="704"/>
      <c r="AK60" s="704"/>
      <c r="AL60" s="704"/>
      <c r="AM60" s="704"/>
      <c r="AN60" s="704"/>
      <c r="AO60" s="704"/>
      <c r="AP60" s="704"/>
      <c r="AQ60" s="704"/>
      <c r="AR60" s="704"/>
      <c r="AS60" s="704"/>
      <c r="AT60" s="704"/>
      <c r="AU60" s="704"/>
      <c r="AV60" s="711"/>
      <c r="AW60" s="704"/>
      <c r="AX60" s="704"/>
    </row>
    <row r="61" spans="1:51" s="41" customFormat="1" ht="15" customHeight="1">
      <c r="B61" s="161" t="s">
        <v>1208</v>
      </c>
      <c r="C61" s="18"/>
      <c r="D61" s="715"/>
      <c r="E61" s="715"/>
      <c r="F61" s="715"/>
      <c r="G61" s="715"/>
      <c r="H61" s="715"/>
      <c r="I61" s="715"/>
      <c r="J61" s="715"/>
      <c r="K61" s="715"/>
      <c r="L61" s="715"/>
      <c r="M61" s="715"/>
      <c r="N61" s="715"/>
      <c r="O61" s="715"/>
      <c r="P61" s="715"/>
      <c r="Q61" s="715"/>
      <c r="R61" s="715"/>
      <c r="S61" s="715"/>
      <c r="T61" s="715"/>
      <c r="U61" s="715"/>
      <c r="V61" s="715"/>
      <c r="W61" s="715"/>
      <c r="X61" s="715"/>
      <c r="Y61" s="715"/>
      <c r="Z61" s="715"/>
      <c r="AA61" s="715"/>
      <c r="AB61" s="715"/>
      <c r="AC61" s="715"/>
      <c r="AD61" s="715"/>
      <c r="AE61" s="715"/>
      <c r="AF61" s="715"/>
      <c r="AG61" s="716" t="s">
        <v>859</v>
      </c>
      <c r="AH61" s="715"/>
      <c r="AI61" s="715"/>
      <c r="AJ61" s="715"/>
      <c r="AK61" s="715"/>
      <c r="AL61" s="715"/>
      <c r="AM61" s="715"/>
      <c r="AN61" s="715"/>
      <c r="AO61" s="715"/>
      <c r="AP61" s="715"/>
      <c r="AQ61" s="715"/>
      <c r="AR61" s="704"/>
      <c r="AS61" s="704"/>
      <c r="AT61" s="704"/>
      <c r="AU61" s="704"/>
      <c r="AV61" s="711"/>
      <c r="AW61" s="704"/>
      <c r="AX61" s="704"/>
    </row>
    <row r="62" spans="1:51" s="41" customFormat="1" ht="15" customHeight="1">
      <c r="B62" s="164"/>
      <c r="C62" s="18"/>
      <c r="D62" s="715"/>
      <c r="E62" s="715"/>
      <c r="F62" s="715"/>
      <c r="G62" s="715"/>
      <c r="H62" s="715"/>
      <c r="I62" s="715"/>
      <c r="J62" s="715"/>
      <c r="K62" s="715"/>
      <c r="L62" s="715"/>
      <c r="M62" s="715"/>
      <c r="N62" s="715"/>
      <c r="O62" s="715"/>
      <c r="P62" s="715"/>
      <c r="Q62" s="715"/>
      <c r="R62" s="715"/>
      <c r="S62" s="715"/>
      <c r="T62" s="715"/>
      <c r="U62" s="715"/>
      <c r="V62" s="715"/>
      <c r="W62" s="715"/>
      <c r="X62" s="715"/>
      <c r="Y62" s="715"/>
      <c r="Z62" s="715"/>
      <c r="AA62" s="715"/>
      <c r="AB62" s="715"/>
      <c r="AC62" s="715"/>
      <c r="AD62" s="715"/>
      <c r="AE62" s="715"/>
      <c r="AF62" s="715"/>
      <c r="AG62" s="716" t="s">
        <v>859</v>
      </c>
      <c r="AH62" s="715"/>
      <c r="AI62" s="715"/>
      <c r="AJ62" s="715"/>
      <c r="AK62" s="715"/>
      <c r="AL62" s="715"/>
      <c r="AM62" s="715"/>
      <c r="AN62" s="715"/>
      <c r="AO62" s="715"/>
      <c r="AP62" s="715"/>
      <c r="AQ62" s="715"/>
      <c r="AR62" s="704"/>
      <c r="AS62" s="704"/>
      <c r="AT62" s="704"/>
      <c r="AU62" s="704"/>
      <c r="AV62" s="711"/>
      <c r="AW62" s="704"/>
      <c r="AX62" s="704"/>
    </row>
    <row r="63" spans="1:51" s="41" customFormat="1" ht="14.25" customHeight="1">
      <c r="B63" s="164"/>
      <c r="C63" s="18"/>
      <c r="D63" s="717"/>
      <c r="E63" s="717"/>
      <c r="F63" s="717"/>
      <c r="G63" s="717"/>
      <c r="H63" s="717"/>
      <c r="I63" s="718"/>
      <c r="J63" s="717"/>
      <c r="K63" s="717"/>
      <c r="L63" s="717"/>
      <c r="M63" s="717"/>
      <c r="N63" s="717"/>
      <c r="O63" s="718"/>
      <c r="P63" s="717"/>
      <c r="Q63" s="717"/>
      <c r="R63" s="717"/>
      <c r="S63" s="717"/>
      <c r="T63" s="717"/>
      <c r="U63" s="718"/>
      <c r="V63" s="717"/>
      <c r="W63" s="717"/>
      <c r="X63" s="717"/>
      <c r="Y63" s="717"/>
      <c r="Z63" s="717"/>
      <c r="AA63" s="718"/>
      <c r="AB63" s="717"/>
      <c r="AC63" s="717"/>
      <c r="AD63" s="717"/>
      <c r="AE63" s="717"/>
      <c r="AF63" s="717"/>
      <c r="AG63" s="719"/>
      <c r="AH63" s="717"/>
      <c r="AI63" s="717"/>
      <c r="AJ63" s="717"/>
      <c r="AK63" s="717"/>
      <c r="AL63" s="717"/>
      <c r="AM63" s="718"/>
      <c r="AN63" s="717"/>
      <c r="AO63" s="717"/>
      <c r="AP63" s="717"/>
      <c r="AQ63" s="717"/>
      <c r="AR63" s="720"/>
      <c r="AS63" s="720"/>
      <c r="AT63" s="720"/>
      <c r="AU63" s="720"/>
      <c r="AV63" s="721"/>
      <c r="AW63" s="720"/>
      <c r="AX63" s="720"/>
      <c r="AY63" s="722"/>
    </row>
    <row r="66" spans="1:50" ht="14.25" customHeight="1">
      <c r="A66" s="44" t="s">
        <v>41</v>
      </c>
      <c r="B66" s="65" t="s">
        <v>734</v>
      </c>
      <c r="D66" s="46"/>
      <c r="E66" s="46"/>
      <c r="F66" s="46"/>
      <c r="G66" s="46"/>
      <c r="H66" s="47"/>
      <c r="I66" s="48"/>
      <c r="J66" s="46"/>
      <c r="K66" s="46"/>
      <c r="L66" s="46"/>
      <c r="M66" s="46"/>
      <c r="N66" s="47"/>
      <c r="O66" s="47"/>
      <c r="P66" s="46"/>
      <c r="Q66" s="46"/>
      <c r="R66" s="46"/>
      <c r="S66" s="46"/>
      <c r="T66" s="47"/>
      <c r="U66" s="47"/>
      <c r="V66" s="46"/>
      <c r="W66" s="46"/>
      <c r="X66" s="46"/>
      <c r="Y66" s="46"/>
      <c r="Z66" s="47"/>
      <c r="AA66" s="47"/>
      <c r="AB66" s="46"/>
      <c r="AC66" s="46"/>
      <c r="AD66" s="46"/>
      <c r="AE66" s="46"/>
      <c r="AF66" s="47"/>
      <c r="AG66" s="49"/>
      <c r="AH66" s="46"/>
      <c r="AI66" s="46"/>
      <c r="AJ66" s="50"/>
      <c r="AK66" s="50"/>
      <c r="AL66" s="47"/>
      <c r="AM66" s="51"/>
      <c r="AN66" s="50"/>
      <c r="AO66" s="50"/>
      <c r="AP66" s="50"/>
      <c r="AQ66" s="50"/>
      <c r="AR66" s="47"/>
      <c r="AS66" s="51"/>
      <c r="AT66" s="52"/>
      <c r="AU66" s="53"/>
      <c r="AV66" s="52"/>
      <c r="AW66" s="53"/>
      <c r="AX66" s="52"/>
    </row>
    <row r="67" spans="1:50" ht="14.25" customHeight="1">
      <c r="A67" s="55"/>
      <c r="B67" s="76" t="s">
        <v>316</v>
      </c>
      <c r="D67" s="215" t="str">
        <f>IF(ROUND(SUM(IS!D13:D16),0)=IS!D17,"OK","ERROR")</f>
        <v>ERROR</v>
      </c>
      <c r="E67" s="215" t="str">
        <f>IF(ROUND(SUM(IS!E13:E16),0)=IS!E17,"OK","ERROR")</f>
        <v>ERROR</v>
      </c>
      <c r="F67" s="215" t="str">
        <f>IF(ROUND(SUM(IS!F13:F16),0)=IS!F17,"OK","ERROR")</f>
        <v>ERROR</v>
      </c>
      <c r="G67" s="215" t="str">
        <f>IF(ROUND(SUM(IS!G13:G16),0)=IS!G17,"OK","ERROR")</f>
        <v>ERROR</v>
      </c>
      <c r="H67" s="216" t="str">
        <f>IF(ROUND(SUM(IS!H13:H16),0)=IS!H17,"OK","ERROR")</f>
        <v>ERROR</v>
      </c>
      <c r="I67" s="208"/>
      <c r="J67" s="215" t="str">
        <f>IF(ROUND(SUM(IS!J13:J16),0)=IS!J17,"OK","ERROR")</f>
        <v>ERROR</v>
      </c>
      <c r="K67" s="215" t="str">
        <f>IF(ROUND(SUM(IS!K13:K16),0)=IS!K17,"OK","ERROR")</f>
        <v>ERROR</v>
      </c>
      <c r="L67" s="215" t="str">
        <f>IF(ROUND(SUM(IS!L13:L16),0)=IS!L17,"OK","ERROR")</f>
        <v>ERROR</v>
      </c>
      <c r="M67" s="215" t="str">
        <f>IF(ROUND(SUM(IS!M13:M16),0)=IS!M17,"OK","ERROR")</f>
        <v>ERROR</v>
      </c>
      <c r="N67" s="216" t="str">
        <f>IF(ROUND(SUM(IS!N13:N16),0)=IS!N17,"OK","ERROR")</f>
        <v>ERROR</v>
      </c>
      <c r="O67" s="207"/>
      <c r="P67" s="215" t="str">
        <f>IF(ROUND(SUM(IS!P13:P16),0)=IS!P17,"OK","ERROR")</f>
        <v>ERROR</v>
      </c>
      <c r="Q67" s="215" t="str">
        <f>IF(ROUND(SUM(IS!Q13:Q16),0)=IS!Q17,"OK","ERROR")</f>
        <v>ERROR</v>
      </c>
      <c r="R67" s="215" t="str">
        <f>IF(ROUND(SUM(IS!R13:R16),0)=IS!R17,"OK","ERROR")</f>
        <v>ERROR</v>
      </c>
      <c r="S67" s="215" t="str">
        <f>IF(ROUND(SUM(IS!S13:S16),0)=IS!S17,"OK","ERROR")</f>
        <v>ERROR</v>
      </c>
      <c r="T67" s="216" t="str">
        <f>IF(ROUND(SUM(IS!T13:T16),0)=IS!T17,"OK","ERROR")</f>
        <v>ERROR</v>
      </c>
      <c r="U67" s="207"/>
      <c r="V67" s="215" t="str">
        <f>IF(ROUND(SUM(IS!V13:V16),0)=IS!V17,"OK","ERROR")</f>
        <v>ERROR</v>
      </c>
      <c r="W67" s="215" t="str">
        <f>IF(ROUND(SUM(IS!W13:W16),0)=IS!W17,"OK","ERROR")</f>
        <v>ERROR</v>
      </c>
      <c r="X67" s="215" t="str">
        <f>IF(ROUND(SUM(IS!X13:X16),0)=IS!X17,"OK","ERROR")</f>
        <v>ERROR</v>
      </c>
      <c r="Y67" s="215" t="str">
        <f>IF(ROUND(SUM(IS!Y13:Y16),0)=IS!Y17,"OK","ERROR")</f>
        <v>ERROR</v>
      </c>
      <c r="Z67" s="216" t="str">
        <f>IF(ROUND(SUM(IS!Z13:Z16),0)=IS!Z17,"OK","ERROR")</f>
        <v>ERROR</v>
      </c>
      <c r="AA67" s="207"/>
      <c r="AB67" s="215" t="str">
        <f>IF(ROUND(SUM(IS!AB13:AB16),0)=IS!AB17,"OK","ERROR")</f>
        <v>ERROR</v>
      </c>
      <c r="AC67" s="215" t="str">
        <f>IF(ROUND(SUM(IS!AC13:AC16),0)=IS!AC17,"OK","ERROR")</f>
        <v>ERROR</v>
      </c>
      <c r="AD67" s="215" t="str">
        <f>IF(ROUND(SUM(IS!AD13:AD16),0)=IS!AD17,"OK","ERROR")</f>
        <v>ERROR</v>
      </c>
      <c r="AE67" s="215" t="str">
        <f>IF(ROUND(SUM(IS!AE13:AE16),0)=IS!AE17,"OK","ERROR")</f>
        <v>ERROR</v>
      </c>
      <c r="AF67" s="216" t="str">
        <f>IF(ROUND(SUM(IS!AF13:AF16),0)=IS!AF17,"OK","ERROR")</f>
        <v>OK</v>
      </c>
      <c r="AG67" s="209"/>
      <c r="AH67" s="215" t="str">
        <f>IF(ROUND(SUM(IS!AH13:AH16),0)=IS!AH17,"OK","ERROR")</f>
        <v>ERROR</v>
      </c>
      <c r="AI67" s="215" t="str">
        <f>IF(ROUND(SUM(IS!AI13:AI16),0)=IS!AI17,"OK","ERROR")</f>
        <v>ERROR</v>
      </c>
      <c r="AJ67" s="215" t="str">
        <f>IF(ROUND(SUM(IS!AJ13:AJ16),0)=IS!AJ17,"OK","ERROR")</f>
        <v>ERROR</v>
      </c>
      <c r="AK67" s="215" t="str">
        <f>IF(ROUND(SUM(IS!AK13:AK16),0)=IS!AK17,"OK","ERROR")</f>
        <v>ERROR</v>
      </c>
      <c r="AL67" s="216" t="str">
        <f>IF(ROUND(SUM(IS!AL13:AL16),0)=IS!AL17,"OK","ERROR")</f>
        <v>ERROR</v>
      </c>
      <c r="AM67" s="211"/>
      <c r="AN67" s="215" t="str">
        <f>IF(ROUND(SUM(IS!AN13:AN16),0)=IS!AN17,"OK","ERROR")</f>
        <v>ERROR</v>
      </c>
      <c r="AO67" s="215" t="str">
        <f>IF(ROUND(SUM(IS!AO13:AO16),0)=IS!AO17,"OK","ERROR")</f>
        <v>ERROR</v>
      </c>
      <c r="AP67" s="215" t="str">
        <f>IF(ROUND(SUM(IS!AP13:AP16),0)=IS!AP17,"OK","ERROR")</f>
        <v>ERROR</v>
      </c>
      <c r="AQ67" s="215" t="str">
        <f>IF(ROUND(SUM(IS!AQ13:AQ16),0)=IS!AQ17,"OK","ERROR")</f>
        <v>ERROR</v>
      </c>
      <c r="AR67" s="216" t="str">
        <f>IF(ROUND(SUM(IS!AR13:AR16),0)=IS!AR17,"OK","ERROR")</f>
        <v>ERROR</v>
      </c>
      <c r="AS67" s="211"/>
      <c r="AT67" s="216" t="str">
        <f>IF(ROUND(SUM(IS!AT13:AT16),0)=IS!AT17,"OK","ERROR")</f>
        <v>ERROR</v>
      </c>
      <c r="AU67" s="213"/>
      <c r="AV67" s="216" t="str">
        <f>IF(ROUND(SUM(IS!AV13:AV16),0)=IS!AV17,"OK","ERROR")</f>
        <v>ERROR</v>
      </c>
      <c r="AW67" s="213"/>
      <c r="AX67" s="216" t="str">
        <f>IF(ROUND(SUM(IS!AX13:AX16),0)=IS!AX17,"OK","ERROR")</f>
        <v>ERROR</v>
      </c>
    </row>
    <row r="68" spans="1:50" ht="14.25" customHeight="1">
      <c r="A68" s="55"/>
      <c r="B68" s="64"/>
      <c r="D68" s="206"/>
      <c r="E68" s="206"/>
      <c r="F68" s="206"/>
      <c r="G68" s="206"/>
      <c r="H68" s="207"/>
      <c r="I68" s="208"/>
      <c r="J68" s="206"/>
      <c r="K68" s="206"/>
      <c r="L68" s="206"/>
      <c r="M68" s="206"/>
      <c r="N68" s="207"/>
      <c r="O68" s="207"/>
      <c r="P68" s="206"/>
      <c r="Q68" s="206"/>
      <c r="R68" s="206"/>
      <c r="S68" s="206"/>
      <c r="T68" s="207"/>
      <c r="U68" s="207"/>
      <c r="V68" s="206"/>
      <c r="W68" s="206"/>
      <c r="X68" s="206"/>
      <c r="Y68" s="206"/>
      <c r="Z68" s="207"/>
      <c r="AA68" s="207"/>
      <c r="AB68" s="206"/>
      <c r="AC68" s="206"/>
      <c r="AD68" s="206"/>
      <c r="AE68" s="206"/>
      <c r="AF68" s="207"/>
      <c r="AG68" s="209"/>
      <c r="AH68" s="206"/>
      <c r="AI68" s="206"/>
      <c r="AJ68" s="206"/>
      <c r="AK68" s="206"/>
      <c r="AL68" s="207"/>
      <c r="AM68" s="211"/>
      <c r="AN68" s="206"/>
      <c r="AO68" s="206"/>
      <c r="AP68" s="206"/>
      <c r="AQ68" s="206"/>
      <c r="AR68" s="207"/>
      <c r="AS68" s="211"/>
      <c r="AT68" s="207"/>
      <c r="AU68" s="213"/>
      <c r="AV68" s="207"/>
      <c r="AW68" s="213"/>
      <c r="AX68" s="207"/>
    </row>
    <row r="69" spans="1:50" ht="14.25" customHeight="1">
      <c r="A69" s="44" t="s">
        <v>41</v>
      </c>
      <c r="B69" s="65" t="s">
        <v>740</v>
      </c>
      <c r="D69" s="206"/>
      <c r="E69" s="206"/>
      <c r="F69" s="206"/>
      <c r="G69" s="206"/>
      <c r="H69" s="217"/>
      <c r="I69" s="208"/>
      <c r="J69" s="206"/>
      <c r="K69" s="206"/>
      <c r="L69" s="206"/>
      <c r="M69" s="206"/>
      <c r="N69" s="217"/>
      <c r="O69" s="208"/>
      <c r="P69" s="206"/>
      <c r="Q69" s="206"/>
      <c r="R69" s="206"/>
      <c r="S69" s="206"/>
      <c r="T69" s="217"/>
      <c r="U69" s="208"/>
      <c r="V69" s="206"/>
      <c r="W69" s="206"/>
      <c r="X69" s="206"/>
      <c r="Y69" s="206"/>
      <c r="Z69" s="217"/>
      <c r="AA69" s="211"/>
      <c r="AB69" s="206"/>
      <c r="AC69" s="206"/>
      <c r="AD69" s="206"/>
      <c r="AE69" s="206"/>
      <c r="AF69" s="217"/>
      <c r="AG69" s="209"/>
      <c r="AH69" s="206"/>
      <c r="AI69" s="206"/>
      <c r="AJ69" s="206"/>
      <c r="AK69" s="206"/>
      <c r="AL69" s="217"/>
      <c r="AM69" s="218"/>
      <c r="AN69" s="206"/>
      <c r="AO69" s="206"/>
      <c r="AP69" s="206"/>
      <c r="AQ69" s="206"/>
      <c r="AR69" s="217"/>
      <c r="AS69" s="218"/>
      <c r="AT69" s="217"/>
      <c r="AU69" s="220"/>
      <c r="AV69" s="217"/>
      <c r="AW69" s="220"/>
      <c r="AX69" s="217"/>
    </row>
    <row r="70" spans="1:50" ht="14.25" customHeight="1">
      <c r="A70" s="73"/>
      <c r="B70" s="79" t="s">
        <v>391</v>
      </c>
      <c r="D70" s="206" t="str">
        <f>IF(ROUND(IS!D17,0)-ROUND(SUM(IS!D20:D21),0)=ROUND(IS!D23,0),"OK","ERROR")</f>
        <v>OK</v>
      </c>
      <c r="E70" s="206" t="str">
        <f>IF(ROUND(IS!E17,0)-ROUND(SUM(IS!E20:E21),0)=ROUND(IS!E23,0),"OK","ERROR")</f>
        <v>OK</v>
      </c>
      <c r="F70" s="206" t="str">
        <f>IF(ROUND(IS!F17,0)-ROUND(SUM(IS!F20:F21),0)=ROUND(IS!F23,0),"OK","ERROR")</f>
        <v>OK</v>
      </c>
      <c r="G70" s="206" t="str">
        <f>IF(ROUND(IS!G17,0)-ROUND(SUM(IS!G20:G21),0)=ROUND(IS!G23,0),"OK","ERROR")</f>
        <v>OK</v>
      </c>
      <c r="H70" s="224" t="str">
        <f>IF(ROUND(IS!H17,0)-ROUND(SUM(IS!H20:H21),0)=ROUND(IS!H23,0),"OK","ERROR")</f>
        <v>OK</v>
      </c>
      <c r="I70" s="208"/>
      <c r="J70" s="206" t="str">
        <f>IF(ROUND(IS!J17,0)-ROUND(SUM(IS!J20:J21),0)=ROUND(IS!J23,0),"OK","ERROR")</f>
        <v>OK</v>
      </c>
      <c r="K70" s="206" t="str">
        <f>IF(ROUND(IS!K17,0)-ROUND(SUM(IS!K20:K21),0)=ROUND(IS!K23,0),"OK","ERROR")</f>
        <v>OK</v>
      </c>
      <c r="L70" s="206" t="str">
        <f>IF(ROUND(IS!L17,0)-ROUND(SUM(IS!L20:L21),0)=ROUND(IS!L23,0),"OK","ERROR")</f>
        <v>OK</v>
      </c>
      <c r="M70" s="206" t="str">
        <f>IF(ROUND(IS!M17,0)-ROUND(SUM(IS!M20:M21),0)=ROUND(IS!M23,0),"OK","ERROR")</f>
        <v>OK</v>
      </c>
      <c r="N70" s="224" t="str">
        <f>IF(ROUND(IS!N17,0)-ROUND(SUM(IS!N20:N21),0)=ROUND(IS!N23,0),"OK","ERROR")</f>
        <v>OK</v>
      </c>
      <c r="O70" s="208"/>
      <c r="P70" s="206" t="str">
        <f>IF(ROUND(IS!P17,0)-ROUND(SUM(IS!P20:P21),0)=ROUND(IS!P23,0),"OK","ERROR")</f>
        <v>OK</v>
      </c>
      <c r="Q70" s="206" t="str">
        <f>IF(ROUND(IS!Q17,0)-ROUND(SUM(IS!Q20:Q21),0)=ROUND(IS!Q23,0),"OK","ERROR")</f>
        <v>OK</v>
      </c>
      <c r="R70" s="206" t="str">
        <f>IF(ROUND(IS!R17,0)-ROUND(SUM(IS!R20:R21),0)=ROUND(IS!R23,0),"OK","ERROR")</f>
        <v>OK</v>
      </c>
      <c r="S70" s="206" t="str">
        <f>IF(ROUND(IS!S17,0)-ROUND(SUM(IS!S20:S21),0)=ROUND(IS!S23,0),"OK","ERROR")</f>
        <v>OK</v>
      </c>
      <c r="T70" s="224" t="str">
        <f>IF(ROUND(IS!T17,0)-ROUND(SUM(IS!T20:T21),0)=ROUND(IS!T23,0),"OK","ERROR")</f>
        <v>OK</v>
      </c>
      <c r="U70" s="208"/>
      <c r="V70" s="206" t="str">
        <f>IF(ROUND(IS!V17,0)-ROUND(SUM(IS!V20:V21),0)=ROUND(IS!V23,0),"OK","ERROR")</f>
        <v>OK</v>
      </c>
      <c r="W70" s="206" t="str">
        <f>IF(ROUND(IS!W17,0)-ROUND(SUM(IS!W20:W21),0)=ROUND(IS!W23,0),"OK","ERROR")</f>
        <v>OK</v>
      </c>
      <c r="X70" s="206" t="str">
        <f>IF(ROUND(IS!X17,0)-ROUND(SUM(IS!X20:X21),0)=ROUND(IS!X23,0),"OK","ERROR")</f>
        <v>OK</v>
      </c>
      <c r="Y70" s="206" t="str">
        <f>IF(ROUND(IS!Y17,0)-ROUND(SUM(IS!Y20:Y21),0)=ROUND(IS!Y23,0),"OK","ERROR")</f>
        <v>OK</v>
      </c>
      <c r="Z70" s="224" t="str">
        <f>IF(ROUND(IS!Z17,0)-ROUND(SUM(IS!Z20:Z21),0)=ROUND(IS!Z23,0),"OK","ERROR")</f>
        <v>OK</v>
      </c>
      <c r="AA70" s="211"/>
      <c r="AB70" s="206" t="str">
        <f>IF(ROUND(IS!AB17,0)-ROUND(SUM(IS!AB20:AB21),0)=ROUND(IS!AB23,0),"OK","ERROR")</f>
        <v>OK</v>
      </c>
      <c r="AC70" s="206" t="str">
        <f>IF(ROUND(IS!AC17,0)-ROUND(SUM(IS!AC20:AC21),0)=ROUND(IS!AC23,0),"OK","ERROR")</f>
        <v>OK</v>
      </c>
      <c r="AD70" s="206" t="str">
        <f>IF(ROUND(IS!AD17,0)-ROUND(SUM(IS!AD20:AD21),0)=ROUND(IS!AD23,0),"OK","ERROR")</f>
        <v>OK</v>
      </c>
      <c r="AE70" s="206" t="str">
        <f>IF(ROUND(IS!AE17,0)-ROUND(SUM(IS!AE20:AE21),0)=ROUND(IS!AE23,0),"OK","ERROR")</f>
        <v>OK</v>
      </c>
      <c r="AF70" s="224" t="str">
        <f>IF(ROUND(IS!AF17,0)-ROUND(SUM(IS!AF20:AF21),0)=ROUND(IS!AF23,0),"OK","ERROR")</f>
        <v>OK</v>
      </c>
      <c r="AG70" s="209"/>
      <c r="AH70" s="206" t="str">
        <f>IF(ROUND(IS!AH17,0)-ROUND(SUM(IS!AH20:AH21),0)=ROUND(IS!AH23,0),"OK","ERROR")</f>
        <v>OK</v>
      </c>
      <c r="AI70" s="206" t="str">
        <f>IF(ROUND(IS!AI17,0)-ROUND(SUM(IS!AI20:AI21),0)=ROUND(IS!AI23,0),"OK","ERROR")</f>
        <v>OK</v>
      </c>
      <c r="AJ70" s="206" t="str">
        <f>IF(ROUND(IS!AJ17,0)-ROUND(SUM(IS!AJ20:AJ21),0)=ROUND(IS!AJ23,0),"OK","ERROR")</f>
        <v>OK</v>
      </c>
      <c r="AK70" s="206" t="str">
        <f>IF(ROUND(IS!AK17,0)-ROUND(SUM(IS!AK20:AK21),0)=ROUND(IS!AK23,0),"OK","ERROR")</f>
        <v>OK</v>
      </c>
      <c r="AL70" s="224" t="str">
        <f>IF(ROUND(IS!AL17,0)-ROUND(SUM(IS!AL20:AL21),0)=ROUND(IS!AL23,0),"OK","ERROR")</f>
        <v>OK</v>
      </c>
      <c r="AM70" s="221"/>
      <c r="AN70" s="206" t="str">
        <f>IF(ROUND(IS!AN17,0)-ROUND(SUM(IS!AN20:AN21),0)=ROUND(IS!AN23,0),"OK","ERROR")</f>
        <v>OK</v>
      </c>
      <c r="AO70" s="206" t="str">
        <f>IF(ROUND(IS!AO17,0)-ROUND(SUM(IS!AO20:AO21),0)=ROUND(IS!AO23,0),"OK","ERROR")</f>
        <v>OK</v>
      </c>
      <c r="AP70" s="206" t="str">
        <f>IF(ROUND(IS!AP17,0)-ROUND(SUM(IS!AP20:AP21),0)=ROUND(IS!AP23,0),"OK","ERROR")</f>
        <v>OK</v>
      </c>
      <c r="AQ70" s="206" t="str">
        <f>IF(ROUND(IS!AQ17,0)-ROUND(SUM(IS!AQ20:AQ21),0)=ROUND(IS!AQ23,0),"OK","ERROR")</f>
        <v>OK</v>
      </c>
      <c r="AR70" s="224" t="str">
        <f>IF(ROUND(IS!AR17,0)-ROUND(SUM(IS!AR20:AR21),0)=ROUND(IS!AR23,0),"OK","ERROR")</f>
        <v>OK</v>
      </c>
      <c r="AS70" s="221"/>
      <c r="AT70" s="224" t="str">
        <f>IF(ROUND(IS!AT17,0)-ROUND(SUM(IS!AT20:AT21),0)=ROUND(IS!AT23,0),"OK","ERROR")</f>
        <v>OK</v>
      </c>
      <c r="AU70" s="222"/>
      <c r="AV70" s="224" t="str">
        <f>IF(ROUND(IS!AV17,0)-ROUND(SUM(IS!AV20:AV21),0)=ROUND(IS!AV23,0),"OK","ERROR")</f>
        <v>OK</v>
      </c>
      <c r="AW70" s="222"/>
      <c r="AX70" s="224" t="str">
        <f>IF(ROUND(IS!AX17,0)-ROUND(SUM(IS!AX20:AX21),0)=ROUND(IS!AX23,0),"OK","ERROR")</f>
        <v>OK</v>
      </c>
    </row>
    <row r="71" spans="1:50" ht="14.25" customHeight="1">
      <c r="A71" s="55"/>
      <c r="B71" s="80"/>
      <c r="D71" s="206"/>
      <c r="E71" s="206"/>
      <c r="F71" s="206"/>
      <c r="G71" s="206"/>
      <c r="H71" s="217"/>
      <c r="I71" s="208"/>
      <c r="J71" s="206"/>
      <c r="K71" s="206"/>
      <c r="L71" s="206"/>
      <c r="M71" s="206"/>
      <c r="N71" s="217"/>
      <c r="O71" s="208"/>
      <c r="P71" s="206"/>
      <c r="Q71" s="206"/>
      <c r="R71" s="206"/>
      <c r="S71" s="206"/>
      <c r="T71" s="217"/>
      <c r="U71" s="208"/>
      <c r="V71" s="206"/>
      <c r="W71" s="206"/>
      <c r="X71" s="206"/>
      <c r="Y71" s="206"/>
      <c r="Z71" s="217"/>
      <c r="AA71" s="211"/>
      <c r="AB71" s="206"/>
      <c r="AC71" s="206"/>
      <c r="AD71" s="206"/>
      <c r="AE71" s="206"/>
      <c r="AF71" s="217"/>
      <c r="AG71" s="209"/>
      <c r="AH71" s="206"/>
      <c r="AI71" s="206"/>
      <c r="AJ71" s="206"/>
      <c r="AK71" s="206"/>
      <c r="AL71" s="217"/>
      <c r="AM71" s="221"/>
      <c r="AN71" s="206"/>
      <c r="AO71" s="206"/>
      <c r="AP71" s="206"/>
      <c r="AQ71" s="206"/>
      <c r="AR71" s="217"/>
      <c r="AS71" s="221"/>
      <c r="AT71" s="217"/>
      <c r="AU71" s="222"/>
      <c r="AV71" s="217"/>
      <c r="AW71" s="222"/>
      <c r="AX71" s="217"/>
    </row>
    <row r="72" spans="1:50" ht="14.25" customHeight="1">
      <c r="A72" s="44" t="s">
        <v>41</v>
      </c>
      <c r="B72" s="65" t="s">
        <v>744</v>
      </c>
      <c r="D72" s="206"/>
      <c r="E72" s="206"/>
      <c r="F72" s="206"/>
      <c r="G72" s="206"/>
      <c r="H72" s="217"/>
      <c r="I72" s="208"/>
      <c r="J72" s="206"/>
      <c r="K72" s="206"/>
      <c r="L72" s="206"/>
      <c r="M72" s="206"/>
      <c r="N72" s="217"/>
      <c r="O72" s="208"/>
      <c r="P72" s="206"/>
      <c r="Q72" s="206"/>
      <c r="R72" s="206"/>
      <c r="S72" s="206"/>
      <c r="T72" s="217"/>
      <c r="U72" s="208"/>
      <c r="V72" s="206"/>
      <c r="W72" s="206"/>
      <c r="X72" s="206"/>
      <c r="Y72" s="206"/>
      <c r="Z72" s="217"/>
      <c r="AA72" s="225"/>
      <c r="AB72" s="206"/>
      <c r="AC72" s="206"/>
      <c r="AD72" s="206"/>
      <c r="AE72" s="206"/>
      <c r="AF72" s="217"/>
      <c r="AG72" s="226"/>
      <c r="AH72" s="206"/>
      <c r="AI72" s="206"/>
      <c r="AJ72" s="206"/>
      <c r="AK72" s="206"/>
      <c r="AL72" s="217"/>
      <c r="AM72" s="225"/>
      <c r="AN72" s="206"/>
      <c r="AO72" s="206"/>
      <c r="AP72" s="206"/>
      <c r="AQ72" s="206"/>
      <c r="AR72" s="217"/>
      <c r="AS72" s="225"/>
      <c r="AT72" s="217"/>
      <c r="AU72" s="227"/>
      <c r="AV72" s="217"/>
      <c r="AW72" s="227"/>
      <c r="AX72" s="217"/>
    </row>
    <row r="73" spans="1:50" ht="14.25" customHeight="1">
      <c r="A73" s="55"/>
      <c r="B73" s="79" t="s">
        <v>751</v>
      </c>
      <c r="D73" s="206" t="str">
        <f>IF(ROUND(IS!D23,0)-ROUND(SUM(IS!D30:D31),0)=ROUND(IS!D32,0),"OK","ERROR")</f>
        <v>OK</v>
      </c>
      <c r="E73" s="206" t="str">
        <f>IF(ROUND(IS!E23,0)-ROUND(SUM(IS!E30:E31),0)=ROUND(IS!E32,0),"OK","ERROR")</f>
        <v>OK</v>
      </c>
      <c r="F73" s="206" t="str">
        <f>IF(ROUND(IS!F23,0)-ROUND(SUM(IS!F30:F31),0)=ROUND(IS!F32,0),"OK","ERROR")</f>
        <v>OK</v>
      </c>
      <c r="G73" s="206" t="str">
        <f>IF(ROUND(IS!G23,0)-ROUND(SUM(IS!G30:G31),0)=ROUND(IS!G32,0),"OK","ERROR")</f>
        <v>OK</v>
      </c>
      <c r="H73" s="223" t="str">
        <f>IF(ROUND(IS!H23,0)-ROUND(SUM(IS!H30:H31),0)=ROUND(IS!H32,0),"OK","ERROR")</f>
        <v>OK</v>
      </c>
      <c r="I73" s="208"/>
      <c r="J73" s="206" t="str">
        <f>IF(ROUND(IS!J23,0)-ROUND(SUM(IS!J30:J31),0)=ROUND(IS!J32,0),"OK","ERROR")</f>
        <v>OK</v>
      </c>
      <c r="K73" s="206" t="str">
        <f>IF(ROUND(IS!K23,0)-ROUND(SUM(IS!K30:K31),0)=ROUND(IS!K32,0),"OK","ERROR")</f>
        <v>OK</v>
      </c>
      <c r="L73" s="206" t="str">
        <f>IF(ROUND(IS!L23,0)-ROUND(SUM(IS!L30:L31),0)=ROUND(IS!L32,0),"OK","ERROR")</f>
        <v>OK</v>
      </c>
      <c r="M73" s="206" t="str">
        <f>IF(ROUND(IS!M23,0)-ROUND(SUM(IS!M30:M31),0)=ROUND(IS!M32,0),"OK","ERROR")</f>
        <v>OK</v>
      </c>
      <c r="N73" s="223" t="str">
        <f>IF(ROUND(IS!N23,0)-ROUND(SUM(IS!N30:N31),0)=ROUND(IS!N32,0),"OK","ERROR")</f>
        <v>OK</v>
      </c>
      <c r="O73" s="208"/>
      <c r="P73" s="206" t="str">
        <f>IF(ROUND(IS!P23,0)-ROUND(SUM(IS!P30:P31),0)=ROUND(IS!P32,0),"OK","ERROR")</f>
        <v>OK</v>
      </c>
      <c r="Q73" s="206" t="str">
        <f>IF(ROUND(IS!Q23,0)-ROUND(SUM(IS!Q30:Q31),0)=ROUND(IS!Q32,0),"OK","ERROR")</f>
        <v>OK</v>
      </c>
      <c r="R73" s="206" t="str">
        <f>IF(ROUND(IS!R23,0)-ROUND(SUM(IS!R30:R31),0)=ROUND(IS!R32,0),"OK","ERROR")</f>
        <v>OK</v>
      </c>
      <c r="S73" s="206" t="str">
        <f>IF(ROUND(IS!S23,0)-ROUND(SUM(IS!S30:S31),0)=ROUND(IS!S32,0),"OK","ERROR")</f>
        <v>OK</v>
      </c>
      <c r="T73" s="223" t="str">
        <f>IF(ROUND(IS!T23,0)-ROUND(SUM(IS!T30:T31),0)=ROUND(IS!T32,0),"OK","ERROR")</f>
        <v>OK</v>
      </c>
      <c r="U73" s="208"/>
      <c r="V73" s="206" t="str">
        <f>IF(ROUND(IS!V23,0)-ROUND(SUM(IS!V30:V31),0)=ROUND(IS!V32,0),"OK","ERROR")</f>
        <v>OK</v>
      </c>
      <c r="W73" s="206" t="str">
        <f>IF(ROUND(IS!W23,0)-ROUND(SUM(IS!W30:W31),0)=ROUND(IS!W32,0),"OK","ERROR")</f>
        <v>ERROR</v>
      </c>
      <c r="X73" s="206" t="str">
        <f>IF(ROUND(IS!X23,0)-ROUND(SUM(IS!X30:X31),0)=ROUND(IS!X32,0),"OK","ERROR")</f>
        <v>OK</v>
      </c>
      <c r="Y73" s="206" t="str">
        <f>IF(ROUND(IS!Y23,0)-ROUND(SUM(IS!Y30:Y31),0)=ROUND(IS!Y32,0),"OK","ERROR")</f>
        <v>OK</v>
      </c>
      <c r="Z73" s="223" t="str">
        <f>IF(ROUND(IS!Z23,0)-ROUND(SUM(IS!Z30:Z31),0)=ROUND(IS!Z32,0),"OK","ERROR")</f>
        <v>OK</v>
      </c>
      <c r="AA73" s="211"/>
      <c r="AB73" s="206" t="str">
        <f>IF(ROUND(IS!AB23,0)-ROUND(SUM(IS!AB30:AB31),0)=ROUND(IS!AB32,0),"OK","ERROR")</f>
        <v>OK</v>
      </c>
      <c r="AC73" s="206" t="str">
        <f>IF(ROUND(IS!AC23,0)-ROUND(SUM(IS!AC30:AC31),0)=ROUND(IS!AC32,0),"OK","ERROR")</f>
        <v>ERROR</v>
      </c>
      <c r="AD73" s="206" t="str">
        <f>IF(ROUND(IS!AD23,0)-ROUND(SUM(IS!AD30:AD31),0)=ROUND(IS!AD32,0),"OK","ERROR")</f>
        <v>OK</v>
      </c>
      <c r="AE73" s="206" t="str">
        <f>IF(ROUND(IS!AE23,0)-ROUND(SUM(IS!AE30:AE31),0)=ROUND(IS!AE32,0),"OK","ERROR")</f>
        <v>OK</v>
      </c>
      <c r="AF73" s="223" t="str">
        <f>IF(ROUND(IS!AF23,0)-ROUND(SUM(IS!AF30:AF31),0)=ROUND(IS!AF32,0),"OK","ERROR")</f>
        <v>OK</v>
      </c>
      <c r="AG73" s="209"/>
      <c r="AH73" s="206" t="str">
        <f>IF(ROUND(IS!AH23,0)-ROUND(SUM(IS!AH30:AH31),0)=ROUND(IS!AH32,0),"OK","ERROR")</f>
        <v>OK</v>
      </c>
      <c r="AI73" s="206" t="str">
        <f>IF(ROUND(IS!AI23,0)-ROUND(SUM(IS!AI30:AI31),0)=ROUND(IS!AI32,0),"OK","ERROR")</f>
        <v>ERROR</v>
      </c>
      <c r="AJ73" s="206" t="str">
        <f>IF(ROUND(IS!AJ23,0)-ROUND(SUM(IS!AJ30:AJ31),0)=ROUND(IS!AJ32,0),"OK","ERROR")</f>
        <v>OK</v>
      </c>
      <c r="AK73" s="206" t="str">
        <f>IF(ROUND(IS!AK23,0)-ROUND(SUM(IS!AK30:AK31),0)=ROUND(IS!AK32,0),"OK","ERROR")</f>
        <v>OK</v>
      </c>
      <c r="AL73" s="223" t="str">
        <f>IF(ROUND(IS!AL23,0)-ROUND(SUM(IS!AL30:AL31),0)=ROUND(IS!AL32,0),"OK","ERROR")</f>
        <v>ERROR</v>
      </c>
      <c r="AM73" s="221"/>
      <c r="AN73" s="206" t="str">
        <f>IF(ROUND(IS!AN23,0)-ROUND(SUM(IS!AN30:AN31),0)=ROUND(IS!AN32,0),"OK","ERROR")</f>
        <v>OK</v>
      </c>
      <c r="AO73" s="206" t="str">
        <f>IF(ROUND(IS!AO23,0)-ROUND(SUM(IS!AO30:AO31),0)=ROUND(IS!AO32,0),"OK","ERROR")</f>
        <v>OK</v>
      </c>
      <c r="AP73" s="206" t="str">
        <f>IF(ROUND(IS!AP23,0)-ROUND(SUM(IS!AP30:AP31),0)=ROUND(IS!AP32,0),"OK","ERROR")</f>
        <v>OK</v>
      </c>
      <c r="AQ73" s="206" t="str">
        <f>IF(ROUND(IS!AQ23,0)-ROUND(SUM(IS!AQ30:AQ31),0)=ROUND(IS!AQ32,0),"OK","ERROR")</f>
        <v>OK</v>
      </c>
      <c r="AR73" s="223" t="str">
        <f>IF(ROUND(IS!AR23,0)-ROUND(SUM(IS!AR30:AR31),0)=ROUND(IS!AR32,0),"OK","ERROR")</f>
        <v>OK</v>
      </c>
      <c r="AS73" s="221"/>
      <c r="AT73" s="223" t="str">
        <f>IF(ROUND(IS!AT23,0)-ROUND(SUM(IS!AT30:AT31),0)=ROUND(IS!AT32,0),"OK","ERROR")</f>
        <v>OK</v>
      </c>
      <c r="AU73" s="222"/>
      <c r="AV73" s="223" t="str">
        <f>IF(ROUND(IS!AV23,0)-ROUND(SUM(IS!AV30:AV31),0)=ROUND(IS!AV32,0),"OK","ERROR")</f>
        <v>OK</v>
      </c>
      <c r="AW73" s="222"/>
      <c r="AX73" s="223" t="str">
        <f>IF(ROUND(IS!AX23,0)-ROUND(SUM(IS!AX30:AX31),0)=ROUND(IS!AX32,0),"OK","ERROR")</f>
        <v>OK</v>
      </c>
    </row>
    <row r="74" spans="1:50" ht="14.25" customHeight="1">
      <c r="A74" s="73"/>
      <c r="B74" s="73"/>
      <c r="D74" s="206"/>
      <c r="E74" s="206"/>
      <c r="F74" s="206"/>
      <c r="G74" s="206"/>
      <c r="H74" s="217"/>
      <c r="I74" s="208"/>
      <c r="J74" s="206"/>
      <c r="K74" s="206"/>
      <c r="L74" s="206"/>
      <c r="M74" s="206"/>
      <c r="N74" s="217"/>
      <c r="O74" s="208"/>
      <c r="P74" s="206"/>
      <c r="Q74" s="206"/>
      <c r="R74" s="206"/>
      <c r="S74" s="206"/>
      <c r="T74" s="217"/>
      <c r="U74" s="208"/>
      <c r="V74" s="206"/>
      <c r="W74" s="206"/>
      <c r="X74" s="206"/>
      <c r="Y74" s="206"/>
      <c r="Z74" s="217"/>
      <c r="AA74" s="225"/>
      <c r="AB74" s="206"/>
      <c r="AC74" s="206"/>
      <c r="AD74" s="206"/>
      <c r="AE74" s="206"/>
      <c r="AF74" s="217"/>
      <c r="AG74" s="226"/>
      <c r="AH74" s="206"/>
      <c r="AI74" s="206"/>
      <c r="AJ74" s="206"/>
      <c r="AK74" s="206"/>
      <c r="AL74" s="217"/>
      <c r="AM74" s="229"/>
      <c r="AN74" s="206"/>
      <c r="AO74" s="206"/>
      <c r="AP74" s="206"/>
      <c r="AQ74" s="206"/>
      <c r="AR74" s="217"/>
      <c r="AS74" s="229"/>
      <c r="AT74" s="217"/>
      <c r="AU74" s="230"/>
      <c r="AV74" s="217"/>
      <c r="AW74" s="230"/>
      <c r="AX74" s="217"/>
    </row>
    <row r="75" spans="1:50" ht="14.25" customHeight="1">
      <c r="A75" s="44" t="s">
        <v>41</v>
      </c>
      <c r="B75" s="65" t="s">
        <v>752</v>
      </c>
      <c r="D75" s="206"/>
      <c r="E75" s="206"/>
      <c r="F75" s="206"/>
      <c r="G75" s="206"/>
      <c r="H75" s="217"/>
      <c r="I75" s="208"/>
      <c r="J75" s="206"/>
      <c r="K75" s="206"/>
      <c r="L75" s="206"/>
      <c r="M75" s="206"/>
      <c r="N75" s="217"/>
      <c r="O75" s="208"/>
      <c r="P75" s="206"/>
      <c r="Q75" s="206"/>
      <c r="R75" s="206"/>
      <c r="S75" s="206"/>
      <c r="T75" s="217"/>
      <c r="U75" s="208"/>
      <c r="V75" s="206"/>
      <c r="W75" s="206"/>
      <c r="X75" s="206"/>
      <c r="Y75" s="206"/>
      <c r="Z75" s="217"/>
      <c r="AA75" s="211"/>
      <c r="AB75" s="206"/>
      <c r="AC75" s="206"/>
      <c r="AD75" s="206"/>
      <c r="AE75" s="206"/>
      <c r="AF75" s="217"/>
      <c r="AG75" s="209"/>
      <c r="AH75" s="206"/>
      <c r="AI75" s="206"/>
      <c r="AJ75" s="206"/>
      <c r="AK75" s="206"/>
      <c r="AL75" s="217"/>
      <c r="AM75" s="221"/>
      <c r="AN75" s="206"/>
      <c r="AO75" s="206"/>
      <c r="AP75" s="206"/>
      <c r="AQ75" s="206"/>
      <c r="AR75" s="217"/>
      <c r="AS75" s="221"/>
      <c r="AT75" s="217"/>
      <c r="AU75" s="222"/>
      <c r="AV75" s="217"/>
      <c r="AW75" s="222"/>
      <c r="AX75" s="217"/>
    </row>
    <row r="76" spans="1:50" ht="14.25" customHeight="1">
      <c r="A76" s="84"/>
      <c r="B76" s="90" t="s">
        <v>690</v>
      </c>
      <c r="D76" s="206" t="str">
        <f>IF(ROUND(IS!D32,0)-ROUND(IS!D40,0)=ROUND(IS!D41,0),"OK","ERROR")</f>
        <v>OK</v>
      </c>
      <c r="E76" s="206" t="str">
        <f>IF(ROUND(IS!E32,0)-ROUND(IS!E40,0)=ROUND(IS!E41,0),"OK","ERROR")</f>
        <v>OK</v>
      </c>
      <c r="F76" s="206" t="str">
        <f>IF(ROUND(IS!F32,0)-ROUND(IS!F40,0)=ROUND(IS!F41,0),"OK","ERROR")</f>
        <v>OK</v>
      </c>
      <c r="G76" s="206" t="str">
        <f>IF(ROUND(IS!G32,0)-ROUND(IS!G40,0)=ROUND(IS!G41,0),"OK","ERROR")</f>
        <v>OK</v>
      </c>
      <c r="H76" s="224" t="str">
        <f>IF(ROUND(IS!H32,0)-ROUND(IS!H40,0)=ROUND(IS!H41,0),"OK","ERROR")</f>
        <v>OK</v>
      </c>
      <c r="I76" s="208"/>
      <c r="J76" s="206" t="str">
        <f>IF(ROUND(IS!J32,0)-ROUND(IS!J40,0)=ROUND(IS!J41,0),"OK","ERROR")</f>
        <v>OK</v>
      </c>
      <c r="K76" s="206" t="str">
        <f>IF(ROUND(IS!K32,0)-ROUND(IS!K40,0)=ROUND(IS!K41,0),"OK","ERROR")</f>
        <v>OK</v>
      </c>
      <c r="L76" s="206" t="str">
        <f>IF(ROUND(IS!L32,0)-ROUND(IS!L40,0)=ROUND(IS!L41,0),"OK","ERROR")</f>
        <v>OK</v>
      </c>
      <c r="M76" s="206" t="str">
        <f>IF(ROUND(IS!M32,0)-ROUND(IS!M40,0)=ROUND(IS!M41,0),"OK","ERROR")</f>
        <v>OK</v>
      </c>
      <c r="N76" s="224" t="str">
        <f>IF(ROUND(IS!N32,0)-ROUND(IS!N40,0)=ROUND(IS!N41,0),"OK","ERROR")</f>
        <v>OK</v>
      </c>
      <c r="O76" s="208"/>
      <c r="P76" s="206" t="str">
        <f>IF(ROUND(IS!P32,0)-ROUND(IS!P40,0)=ROUND(IS!P41,0),"OK","ERROR")</f>
        <v>OK</v>
      </c>
      <c r="Q76" s="206" t="str">
        <f>IF(ROUND(IS!Q32,0)-ROUND(IS!Q40,0)=ROUND(IS!Q41,0),"OK","ERROR")</f>
        <v>OK</v>
      </c>
      <c r="R76" s="206" t="str">
        <f>IF(ROUND(IS!R32,0)-ROUND(IS!R40,0)=ROUND(IS!R41,0),"OK","ERROR")</f>
        <v>OK</v>
      </c>
      <c r="S76" s="206" t="str">
        <f>IF(ROUND(IS!S32,0)-ROUND(IS!S40,0)=ROUND(IS!S41,0),"OK","ERROR")</f>
        <v>OK</v>
      </c>
      <c r="T76" s="224" t="str">
        <f>IF(ROUND(IS!T32,0)-ROUND(IS!T40,0)=ROUND(IS!T41,0),"OK","ERROR")</f>
        <v>OK</v>
      </c>
      <c r="U76" s="208"/>
      <c r="V76" s="206" t="str">
        <f>IF(ROUND(IS!V32,0)-ROUND(IS!V40,0)=ROUND(IS!V41,0),"OK","ERROR")</f>
        <v>OK</v>
      </c>
      <c r="W76" s="206" t="str">
        <f>IF(ROUND(IS!W32,0)-ROUND(IS!W40,0)=ROUND(IS!W41,0),"OK","ERROR")</f>
        <v>OK</v>
      </c>
      <c r="X76" s="206" t="str">
        <f>IF(ROUND(IS!X32,0)-ROUND(IS!X40,0)=ROUND(IS!X41,0),"OK","ERROR")</f>
        <v>OK</v>
      </c>
      <c r="Y76" s="206" t="str">
        <f>IF(ROUND(IS!Y32,0)-ROUND(IS!Y40,0)=ROUND(IS!Y41,0),"OK","ERROR")</f>
        <v>OK</v>
      </c>
      <c r="Z76" s="224" t="str">
        <f>IF(ROUND(IS!Z32,0)-ROUND(IS!Z40,0)=ROUND(IS!Z41,0),"OK","ERROR")</f>
        <v>OK</v>
      </c>
      <c r="AA76" s="211"/>
      <c r="AB76" s="206" t="str">
        <f>IF(ROUND(IS!AB32,0)-ROUND(IS!AB40,0)=ROUND(IS!AB41,0),"OK","ERROR")</f>
        <v>OK</v>
      </c>
      <c r="AC76" s="206" t="str">
        <f>IF(ROUND(IS!AC32,0)-ROUND(IS!AC40,0)=ROUND(IS!AC41,0),"OK","ERROR")</f>
        <v>OK</v>
      </c>
      <c r="AD76" s="206" t="str">
        <f>IF(ROUND(IS!AD32,0)-ROUND(IS!AD40,0)=ROUND(IS!AD41,0),"OK","ERROR")</f>
        <v>OK</v>
      </c>
      <c r="AE76" s="206" t="str">
        <f>IF(ROUND(IS!AE32,0)-ROUND(IS!AE40,0)=ROUND(IS!AE41,0),"OK","ERROR")</f>
        <v>OK</v>
      </c>
      <c r="AF76" s="224" t="str">
        <f>IF(ROUND(IS!AF32,0)-ROUND(IS!AF40,0)=ROUND(IS!AF41,0),"OK","ERROR")</f>
        <v>OK</v>
      </c>
      <c r="AG76" s="209"/>
      <c r="AH76" s="206" t="str">
        <f>IF(ROUND(IS!AH32,0)-ROUND(IS!AH40,0)=ROUND(IS!AH41,0),"OK","ERROR")</f>
        <v>OK</v>
      </c>
      <c r="AI76" s="206" t="str">
        <f>IF(ROUND(IS!AI32,0)-ROUND(IS!AI40,0)=ROUND(IS!AI41,0),"OK","ERROR")</f>
        <v>OK</v>
      </c>
      <c r="AJ76" s="206" t="str">
        <f>IF(ROUND(IS!AJ32,0)-ROUND(IS!AJ40,0)=ROUND(IS!AJ41,0),"OK","ERROR")</f>
        <v>ERROR</v>
      </c>
      <c r="AK76" s="206" t="str">
        <f>IF(ROUND(IS!AK32,0)-ROUND(IS!AK40,0)=ROUND(IS!AK41,0),"OK","ERROR")</f>
        <v>ERROR</v>
      </c>
      <c r="AL76" s="224" t="str">
        <f>IF(ROUND(IS!AL32,0)-ROUND(IS!AL40,0)=ROUND(IS!AL41,0),"OK","ERROR")</f>
        <v>ERROR</v>
      </c>
      <c r="AM76" s="211"/>
      <c r="AN76" s="206" t="str">
        <f>IF(ROUND(IS!AN32,0)-ROUND(IS!AN40,0)=ROUND(IS!AN41,0),"OK","ERROR")</f>
        <v>ERROR</v>
      </c>
      <c r="AO76" s="206" t="str">
        <f>IF(ROUND(IS!AO32,0)-ROUND(IS!AO40,0)=ROUND(IS!AO41,0),"OK","ERROR")</f>
        <v>ERROR</v>
      </c>
      <c r="AP76" s="206" t="str">
        <f>IF(ROUND(IS!AP32,0)-ROUND(IS!AP40,0)=ROUND(IS!AP41,0),"OK","ERROR")</f>
        <v>ERROR</v>
      </c>
      <c r="AQ76" s="206" t="str">
        <f>IF(ROUND(IS!AQ32,0)-ROUND(IS!AQ40,0)=ROUND(IS!AQ41,0),"OK","ERROR")</f>
        <v>ERROR</v>
      </c>
      <c r="AR76" s="224" t="str">
        <f>IF(ROUND(IS!AR32,0)-ROUND(IS!AR40,0)=ROUND(IS!AR41,0),"OK","ERROR")</f>
        <v>ERROR</v>
      </c>
      <c r="AS76" s="211"/>
      <c r="AT76" s="224" t="str">
        <f>IF(ROUND(IS!AT32,0)-ROUND(IS!AT40,0)=ROUND(IS!AT41,0),"OK","ERROR")</f>
        <v>ERROR</v>
      </c>
      <c r="AU76" s="213"/>
      <c r="AV76" s="224" t="str">
        <f>IF(ROUND(IS!AV32,0)-ROUND(IS!AV40,0)=ROUND(IS!AV41,0),"OK","ERROR")</f>
        <v>ERROR</v>
      </c>
      <c r="AW76" s="213"/>
      <c r="AX76" s="224" t="str">
        <f>IF(ROUND(IS!AX32,0)-ROUND(IS!AX40,0)=ROUND(IS!AX41,0),"OK","ERROR")</f>
        <v>ERROR</v>
      </c>
    </row>
    <row r="77" spans="1:50" ht="14.25" customHeight="1">
      <c r="A77" s="73"/>
      <c r="B77" s="76"/>
      <c r="D77" s="206"/>
      <c r="E77" s="206"/>
      <c r="F77" s="206"/>
      <c r="G77" s="206"/>
      <c r="H77" s="217"/>
      <c r="I77" s="208"/>
      <c r="J77" s="206"/>
      <c r="K77" s="206"/>
      <c r="L77" s="206"/>
      <c r="M77" s="206"/>
      <c r="N77" s="217"/>
      <c r="O77" s="208"/>
      <c r="P77" s="206"/>
      <c r="Q77" s="206"/>
      <c r="R77" s="206"/>
      <c r="S77" s="206"/>
      <c r="T77" s="217"/>
      <c r="U77" s="208"/>
      <c r="V77" s="206"/>
      <c r="W77" s="206"/>
      <c r="X77" s="206"/>
      <c r="Y77" s="206"/>
      <c r="Z77" s="217"/>
      <c r="AA77" s="211"/>
      <c r="AB77" s="206"/>
      <c r="AC77" s="206"/>
      <c r="AD77" s="206"/>
      <c r="AE77" s="206"/>
      <c r="AF77" s="217"/>
      <c r="AG77" s="209"/>
      <c r="AH77" s="206"/>
      <c r="AI77" s="206"/>
      <c r="AJ77" s="206"/>
      <c r="AK77" s="206"/>
      <c r="AL77" s="217"/>
      <c r="AM77" s="211"/>
      <c r="AN77" s="206"/>
      <c r="AO77" s="206"/>
      <c r="AP77" s="206"/>
      <c r="AQ77" s="206"/>
      <c r="AR77" s="217"/>
      <c r="AS77" s="211"/>
      <c r="AT77" s="217"/>
      <c r="AU77" s="213"/>
      <c r="AV77" s="217"/>
      <c r="AW77" s="213"/>
      <c r="AX77" s="217"/>
    </row>
    <row r="78" spans="1:50" ht="14.25" customHeight="1">
      <c r="A78" s="44" t="s">
        <v>41</v>
      </c>
      <c r="B78" s="65" t="s">
        <v>759</v>
      </c>
      <c r="D78" s="206"/>
      <c r="E78" s="206"/>
      <c r="F78" s="206"/>
      <c r="G78" s="206"/>
      <c r="H78" s="217"/>
      <c r="I78" s="208"/>
      <c r="J78" s="206"/>
      <c r="K78" s="206"/>
      <c r="L78" s="206"/>
      <c r="M78" s="206"/>
      <c r="N78" s="217"/>
      <c r="O78" s="208"/>
      <c r="P78" s="206"/>
      <c r="Q78" s="206"/>
      <c r="R78" s="206"/>
      <c r="S78" s="206"/>
      <c r="T78" s="217"/>
      <c r="U78" s="208"/>
      <c r="V78" s="206"/>
      <c r="W78" s="206"/>
      <c r="X78" s="206"/>
      <c r="Y78" s="206"/>
      <c r="Z78" s="217"/>
      <c r="AA78" s="211"/>
      <c r="AB78" s="206"/>
      <c r="AC78" s="206"/>
      <c r="AD78" s="206"/>
      <c r="AE78" s="206"/>
      <c r="AF78" s="217"/>
      <c r="AG78" s="209"/>
      <c r="AH78" s="206"/>
      <c r="AI78" s="206"/>
      <c r="AJ78" s="206"/>
      <c r="AK78" s="206"/>
      <c r="AL78" s="217"/>
      <c r="AM78" s="211"/>
      <c r="AN78" s="206"/>
      <c r="AO78" s="206"/>
      <c r="AP78" s="206"/>
      <c r="AQ78" s="206"/>
      <c r="AR78" s="217"/>
      <c r="AS78" s="211"/>
      <c r="AT78" s="217"/>
      <c r="AU78" s="213"/>
      <c r="AV78" s="217"/>
      <c r="AW78" s="213"/>
      <c r="AX78" s="217"/>
    </row>
    <row r="79" spans="1:50" ht="14.25" customHeight="1" thickBot="1">
      <c r="A79" s="73"/>
      <c r="B79" s="70" t="s">
        <v>761</v>
      </c>
      <c r="D79" s="206" t="str">
        <f>IF(ROUND(IS!D41,0)-ROUND(SUM(IS!D44:D45),0)=ROUND(IS!D46,0),"OK","ERROR")</f>
        <v>OK</v>
      </c>
      <c r="E79" s="206" t="str">
        <f>IF(ROUND(IS!E41,0)-ROUND(SUM(IS!E44:E45),0)=ROUND(IS!E46,0),"OK","ERROR")</f>
        <v>OK</v>
      </c>
      <c r="F79" s="206" t="str">
        <f>IF(ROUND(IS!F41,0)-ROUND(SUM(IS!F44:F45),0)=ROUND(IS!F46,0),"OK","ERROR")</f>
        <v>OK</v>
      </c>
      <c r="G79" s="206" t="str">
        <f>IF(ROUND(IS!G41,0)-ROUND(SUM(IS!G44:G45),0)=ROUND(IS!G46,0),"OK","ERROR")</f>
        <v>OK</v>
      </c>
      <c r="H79" s="232" t="str">
        <f>IF(ROUND(IS!H41,0)-ROUND(SUM(IS!H44:H45),0)=ROUND(IS!H46,0),"OK","ERROR")</f>
        <v>OK</v>
      </c>
      <c r="I79" s="208"/>
      <c r="J79" s="206" t="str">
        <f>IF(ROUND(IS!J41,0)-ROUND(SUM(IS!J44:J45),0)=ROUND(IS!J46,0),"OK","ERROR")</f>
        <v>OK</v>
      </c>
      <c r="K79" s="206" t="str">
        <f>IF(ROUND(IS!K41,0)-ROUND(SUM(IS!K44:K45),0)=ROUND(IS!K46,0),"OK","ERROR")</f>
        <v>OK</v>
      </c>
      <c r="L79" s="206" t="str">
        <f>IF(ROUND(IS!L41,0)-ROUND(SUM(IS!L44:L45),0)=ROUND(IS!L46,0),"OK","ERROR")</f>
        <v>OK</v>
      </c>
      <c r="M79" s="206" t="str">
        <f>IF(ROUND(IS!M41,0)-ROUND(SUM(IS!M44:M45),0)=ROUND(IS!M46,0),"OK","ERROR")</f>
        <v>OK</v>
      </c>
      <c r="N79" s="232" t="str">
        <f>IF(ROUND(IS!N41,0)-ROUND(SUM(IS!N44:N45),0)=ROUND(IS!N46,0),"OK","ERROR")</f>
        <v>OK</v>
      </c>
      <c r="O79" s="208"/>
      <c r="P79" s="206" t="str">
        <f>IF(ROUND(IS!P41,0)-ROUND(SUM(IS!P44:P45),0)=ROUND(IS!P46,0),"OK","ERROR")</f>
        <v>OK</v>
      </c>
      <c r="Q79" s="206" t="str">
        <f>IF(ROUND(IS!Q41,0)-ROUND(SUM(IS!Q44:Q45),0)=ROUND(IS!Q46,0),"OK","ERROR")</f>
        <v>OK</v>
      </c>
      <c r="R79" s="206" t="str">
        <f>IF(ROUND(IS!R41,0)-ROUND(SUM(IS!R44:R45),0)=ROUND(IS!R46,0),"OK","ERROR")</f>
        <v>OK</v>
      </c>
      <c r="S79" s="206" t="str">
        <f>IF(ROUND(IS!S41,0)-ROUND(SUM(IS!S44:S45),0)=ROUND(IS!S46,0),"OK","ERROR")</f>
        <v>OK</v>
      </c>
      <c r="T79" s="232" t="str">
        <f>IF(ROUND(IS!T41,0)-ROUND(SUM(IS!T44:T45),0)=ROUND(IS!T46,0),"OK","ERROR")</f>
        <v>OK</v>
      </c>
      <c r="U79" s="208"/>
      <c r="V79" s="206" t="str">
        <f>IF(ROUND(IS!V41,0)-ROUND(SUM(IS!V44:V45),0)=ROUND(IS!V46,0),"OK","ERROR")</f>
        <v>OK</v>
      </c>
      <c r="W79" s="206" t="str">
        <f>IF(ROUND(IS!W41,0)-ROUND(SUM(IS!W44:W45),0)=ROUND(IS!W46,0),"OK","ERROR")</f>
        <v>OK</v>
      </c>
      <c r="X79" s="206" t="str">
        <f>IF(ROUND(IS!X41,0)-ROUND(SUM(IS!X44:X45),0)=ROUND(IS!X46,0),"OK","ERROR")</f>
        <v>OK</v>
      </c>
      <c r="Y79" s="206" t="str">
        <f>IF(ROUND(IS!Y41,0)-ROUND(SUM(IS!Y44:Y45),0)=ROUND(IS!Y46,0),"OK","ERROR")</f>
        <v>OK</v>
      </c>
      <c r="Z79" s="232" t="str">
        <f>IF(ROUND(IS!Z41,0)-ROUND(SUM(IS!Z44:Z45),0)=ROUND(IS!Z46,0),"OK","ERROR")</f>
        <v>OK</v>
      </c>
      <c r="AA79" s="211"/>
      <c r="AB79" s="206" t="str">
        <f>IF(ROUND(IS!AB41,0)-ROUND(SUM(IS!AB44:AB45),0)=ROUND(IS!AB46,0),"OK","ERROR")</f>
        <v>OK</v>
      </c>
      <c r="AC79" s="206" t="str">
        <f>IF(ROUND(IS!AC41,0)-ROUND(SUM(IS!AC44:AC45),0)=ROUND(IS!AC46,0),"OK","ERROR")</f>
        <v>OK</v>
      </c>
      <c r="AD79" s="206" t="str">
        <f>IF(ROUND(IS!AD41,0)-ROUND(SUM(IS!AD44:AD45),0)=ROUND(IS!AD46,0),"OK","ERROR")</f>
        <v>OK</v>
      </c>
      <c r="AE79" s="206" t="str">
        <f>IF(ROUND(IS!AE41,0)-ROUND(SUM(IS!AE44:AE45),0)=ROUND(IS!AE46,0),"OK","ERROR")</f>
        <v>OK</v>
      </c>
      <c r="AF79" s="232" t="str">
        <f>IF(ROUND(IS!AF41,0)-ROUND(SUM(IS!AF44:AF45),0)=ROUND(IS!AF46,0),"OK","ERROR")</f>
        <v>OK</v>
      </c>
      <c r="AG79" s="209"/>
      <c r="AH79" s="206" t="str">
        <f>IF(ROUND(IS!AH41,0)-ROUND(SUM(IS!AH44:AH45),0)=ROUND(IS!AH46,0),"OK","ERROR")</f>
        <v>OK</v>
      </c>
      <c r="AI79" s="206" t="str">
        <f>IF(ROUND(IS!AI41,0)-ROUND(SUM(IS!AI44:AI45),0)=ROUND(IS!AI46,0),"OK","ERROR")</f>
        <v>OK</v>
      </c>
      <c r="AJ79" s="206" t="str">
        <f>IF(ROUND(IS!AJ41,0)-ROUND(SUM(IS!AJ44:AJ45),0)=ROUND(IS!AJ46,0),"OK","ERROR")</f>
        <v>OK</v>
      </c>
      <c r="AK79" s="206" t="str">
        <f>IF(ROUND(IS!AK41,0)-ROUND(SUM(IS!AK44:AK45),0)=ROUND(IS!AK46,0),"OK","ERROR")</f>
        <v>OK</v>
      </c>
      <c r="AL79" s="232" t="str">
        <f>IF(ROUND(IS!AL41,0)-ROUND(SUM(IS!AL44:AL45),0)=ROUND(IS!AL46,0),"OK","ERROR")</f>
        <v>OK</v>
      </c>
      <c r="AM79" s="231"/>
      <c r="AN79" s="206" t="str">
        <f>IF(ROUND(IS!AN41,0)-ROUND(SUM(IS!AN44:AN45),0)=ROUND(IS!AN46,0),"OK","ERROR")</f>
        <v>OK</v>
      </c>
      <c r="AO79" s="206" t="str">
        <f>IF(ROUND(IS!AO41,0)-ROUND(SUM(IS!AO44:AO45),0)=ROUND(IS!AO46,0),"OK","ERROR")</f>
        <v>OK</v>
      </c>
      <c r="AP79" s="206" t="str">
        <f>IF(ROUND(IS!AP41,0)-ROUND(SUM(IS!AP44:AP45),0)=ROUND(IS!AP46,0),"OK","ERROR")</f>
        <v>OK</v>
      </c>
      <c r="AQ79" s="206" t="str">
        <f>IF(ROUND(IS!AQ41,0)-ROUND(SUM(IS!AQ44:AQ45),0)=ROUND(IS!AQ46,0),"OK","ERROR")</f>
        <v>OK</v>
      </c>
      <c r="AR79" s="232" t="str">
        <f>IF(ROUND(IS!AR41,0)-ROUND(SUM(IS!AR44:AR45),0)=ROUND(IS!AR46,0),"OK","ERROR")</f>
        <v>OK</v>
      </c>
      <c r="AS79" s="211"/>
      <c r="AT79" s="232" t="str">
        <f>IF(ROUND(IS!AT41,0)-ROUND(SUM(IS!AT44:AT45),0)=ROUND(IS!AT46,0),"OK","ERROR")</f>
        <v>OK</v>
      </c>
      <c r="AU79" s="213"/>
      <c r="AV79" s="232" t="str">
        <f>IF(ROUND(IS!AV41,0)-ROUND(SUM(IS!AV44:AV45),0)=ROUND(IS!AV46,0),"OK","ERROR")</f>
        <v>OK</v>
      </c>
      <c r="AW79" s="213"/>
      <c r="AX79" s="232" t="str">
        <f>IF(ROUND(IS!AX41,0)-ROUND(SUM(IS!AX44:AX45),0)=ROUND(IS!AX46,0),"OK","ERROR")</f>
        <v>OK</v>
      </c>
    </row>
    <row r="81" spans="1:50" ht="14.25" customHeight="1">
      <c r="A81" s="44" t="s">
        <v>41</v>
      </c>
      <c r="B81" s="65" t="s">
        <v>762</v>
      </c>
      <c r="D81" s="206"/>
      <c r="E81" s="206"/>
      <c r="F81" s="206"/>
      <c r="G81" s="206"/>
      <c r="H81" s="217"/>
      <c r="I81" s="208"/>
      <c r="J81" s="206"/>
      <c r="K81" s="206"/>
      <c r="L81" s="206"/>
      <c r="M81" s="206"/>
      <c r="N81" s="217"/>
      <c r="O81" s="208"/>
      <c r="P81" s="206"/>
      <c r="Q81" s="206"/>
      <c r="R81" s="206"/>
      <c r="S81" s="206"/>
      <c r="T81" s="217"/>
      <c r="U81" s="208"/>
      <c r="V81" s="206"/>
      <c r="W81" s="206"/>
      <c r="X81" s="206"/>
      <c r="Y81" s="206"/>
      <c r="Z81" s="217"/>
      <c r="AA81" s="208"/>
      <c r="AB81" s="206"/>
      <c r="AC81" s="206"/>
      <c r="AD81" s="206"/>
      <c r="AE81" s="206"/>
      <c r="AF81" s="217"/>
      <c r="AG81" s="233"/>
      <c r="AH81" s="206"/>
      <c r="AI81" s="206"/>
      <c r="AJ81" s="206"/>
      <c r="AK81" s="206"/>
      <c r="AL81" s="217"/>
      <c r="AM81" s="208"/>
      <c r="AN81" s="206"/>
      <c r="AO81" s="206"/>
      <c r="AP81" s="206"/>
      <c r="AQ81" s="206"/>
      <c r="AR81" s="217"/>
      <c r="AS81" s="208"/>
      <c r="AT81" s="217"/>
      <c r="AU81" s="234"/>
      <c r="AV81" s="217"/>
      <c r="AW81" s="234"/>
      <c r="AX81" s="217"/>
    </row>
    <row r="82" spans="1:50" ht="14.25" customHeight="1" thickBot="1">
      <c r="A82" s="73"/>
      <c r="B82" s="76" t="s">
        <v>765</v>
      </c>
      <c r="D82" s="206" t="str">
        <f>IF(ROUND(IS!D46,0)-ROUND(SUM(IS!D49:D50),0)=ROUND(IS!D51,0),"OK","ERROR")</f>
        <v>OK</v>
      </c>
      <c r="E82" s="206" t="str">
        <f>IF(ROUND(IS!E46,0)-ROUND(SUM(IS!E49:E50),0)=ROUND(IS!E51,0),"OK","ERROR")</f>
        <v>OK</v>
      </c>
      <c r="F82" s="206" t="str">
        <f>IF(ROUND(IS!F46,0)-ROUND(SUM(IS!F49:F50),0)=ROUND(IS!F51,0),"OK","ERROR")</f>
        <v>OK</v>
      </c>
      <c r="G82" s="206" t="str">
        <f>IF(ROUND(IS!G46,0)-ROUND(SUM(IS!G49:G50),0)=ROUND(IS!G51,0),"OK","ERROR")</f>
        <v>OK</v>
      </c>
      <c r="H82" s="232" t="str">
        <f>IF(ROUND(IS!H46,0)-ROUND(SUM(IS!H49:H50),0)=ROUND(IS!H51,0),"OK","ERROR")</f>
        <v>OK</v>
      </c>
      <c r="I82" s="208"/>
      <c r="J82" s="206" t="str">
        <f>IF(ROUND(IS!J46,0)-ROUND(SUM(IS!J49:J50),0)=ROUND(IS!J51,0),"OK","ERROR")</f>
        <v>OK</v>
      </c>
      <c r="K82" s="206" t="str">
        <f>IF(ROUND(IS!K46,0)-ROUND(SUM(IS!K49:K50),0)=ROUND(IS!K51,0),"OK","ERROR")</f>
        <v>OK</v>
      </c>
      <c r="L82" s="206" t="str">
        <f>IF(ROUND(IS!L46,0)-ROUND(SUM(IS!L49:L50),0)=ROUND(IS!L51,0),"OK","ERROR")</f>
        <v>OK</v>
      </c>
      <c r="M82" s="206" t="str">
        <f>IF(ROUND(IS!M46,0)-ROUND(SUM(IS!M49:M50),0)=ROUND(IS!M51,0),"OK","ERROR")</f>
        <v>OK</v>
      </c>
      <c r="N82" s="232" t="str">
        <f>IF(ROUND(IS!N46,0)-ROUND(SUM(IS!N49:N50),0)=ROUND(IS!N51,0),"OK","ERROR")</f>
        <v>OK</v>
      </c>
      <c r="O82" s="208"/>
      <c r="P82" s="206" t="str">
        <f>IF(ROUND(IS!P46,0)-ROUND(SUM(IS!P49:P50),0)=ROUND(IS!P51,0),"OK","ERROR")</f>
        <v>OK</v>
      </c>
      <c r="Q82" s="206" t="str">
        <f>IF(ROUND(IS!Q46,0)-ROUND(SUM(IS!Q49:Q50),0)=ROUND(IS!Q51,0),"OK","ERROR")</f>
        <v>OK</v>
      </c>
      <c r="R82" s="206" t="str">
        <f>IF(ROUND(IS!R46,0)-ROUND(SUM(IS!R49:R50),0)=ROUND(IS!R51,0),"OK","ERROR")</f>
        <v>OK</v>
      </c>
      <c r="S82" s="206" t="str">
        <f>IF(ROUND(IS!S46,0)-ROUND(SUM(IS!S49:S50),0)=ROUND(IS!S51,0),"OK","ERROR")</f>
        <v>OK</v>
      </c>
      <c r="T82" s="232" t="str">
        <f>IF(ROUND(IS!T46,0)-ROUND(SUM(IS!T49:T50),0)=ROUND(IS!T51,0),"OK","ERROR")</f>
        <v>OK</v>
      </c>
      <c r="U82" s="208"/>
      <c r="V82" s="206" t="str">
        <f>IF(ROUND(IS!V46,0)-ROUND(SUM(IS!V49:V50),0)=ROUND(IS!V51,0),"OK","ERROR")</f>
        <v>OK</v>
      </c>
      <c r="W82" s="206" t="str">
        <f>IF(ROUND(IS!W46,0)-ROUND(SUM(IS!W49:W50),0)=ROUND(IS!W51,0),"OK","ERROR")</f>
        <v>OK</v>
      </c>
      <c r="X82" s="206" t="str">
        <f>IF(ROUND(IS!X46,0)-ROUND(SUM(IS!X49:X50),0)=ROUND(IS!X51,0),"OK","ERROR")</f>
        <v>OK</v>
      </c>
      <c r="Y82" s="206" t="str">
        <f>IF(ROUND(IS!Y46,0)-ROUND(SUM(IS!Y49:Y50),0)=ROUND(IS!Y51,0),"OK","ERROR")</f>
        <v>OK</v>
      </c>
      <c r="Z82" s="232" t="str">
        <f>IF(ROUND(IS!Z46,0)-ROUND(SUM(IS!Z49:Z50),0)=ROUND(IS!Z51,0),"OK","ERROR")</f>
        <v>OK</v>
      </c>
      <c r="AA82" s="208"/>
      <c r="AB82" s="206" t="str">
        <f>IF(ROUND(IS!AB46,0)-ROUND(SUM(IS!AB49:AB50),0)=ROUND(IS!AB51,0),"OK","ERROR")</f>
        <v>OK</v>
      </c>
      <c r="AC82" s="206" t="str">
        <f>IF(ROUND(IS!AC46,0)-ROUND(SUM(IS!AC49:AC50),0)=ROUND(IS!AC51,0),"OK","ERROR")</f>
        <v>OK</v>
      </c>
      <c r="AD82" s="206" t="str">
        <f>IF(ROUND(IS!AD46,0)-ROUND(SUM(IS!AD49:AD50),0)=ROUND(IS!AD51,0),"OK","ERROR")</f>
        <v>OK</v>
      </c>
      <c r="AE82" s="206" t="str">
        <f>IF(ROUND(IS!AE46,0)-ROUND(SUM(IS!AE49:AE50),0)=ROUND(IS!AE51,0),"OK","ERROR")</f>
        <v>OK</v>
      </c>
      <c r="AF82" s="232" t="str">
        <f>IF(ROUND(IS!AF46,0)-ROUND(SUM(IS!AF49:AF50),0)=ROUND(IS!AF51,0),"OK","ERROR")</f>
        <v>OK</v>
      </c>
      <c r="AG82" s="233"/>
      <c r="AH82" s="206" t="str">
        <f>IF(ROUND(IS!AH46,0)-ROUND(SUM(IS!AH49:AH50),0)=ROUND(IS!AH51,0),"OK","ERROR")</f>
        <v>OK</v>
      </c>
      <c r="AI82" s="206" t="str">
        <f>IF(ROUND(IS!AI46,0)-ROUND(SUM(IS!AI49:AI50),0)=ROUND(IS!AI51,0),"OK","ERROR")</f>
        <v>OK</v>
      </c>
      <c r="AJ82" s="206" t="str">
        <f>IF(ROUND(IS!AJ46,0)-ROUND(SUM(IS!AJ49:AJ50),0)=ROUND(IS!AJ51,0),"OK","ERROR")</f>
        <v>OK</v>
      </c>
      <c r="AK82" s="206" t="str">
        <f>IF(ROUND(IS!AK46,0)-ROUND(SUM(IS!AK49:AK50),0)=ROUND(IS!AK51,0),"OK","ERROR")</f>
        <v>OK</v>
      </c>
      <c r="AL82" s="232" t="str">
        <f>IF(ROUND(IS!AL46,0)-ROUND(SUM(IS!AL49:AL50),0)=ROUND(IS!AL51,0),"OK","ERROR")</f>
        <v>OK</v>
      </c>
      <c r="AM82" s="208"/>
      <c r="AN82" s="206" t="str">
        <f>IF(ROUND(IS!AN46,0)-ROUND(SUM(IS!AN49:AN50),0)=ROUND(IS!AN51,0),"OK","ERROR")</f>
        <v>OK</v>
      </c>
      <c r="AO82" s="206" t="str">
        <f>IF(ROUND(IS!AO46,0)-ROUND(SUM(IS!AO49:AO50),0)=ROUND(IS!AO51,0),"OK","ERROR")</f>
        <v>OK</v>
      </c>
      <c r="AP82" s="206" t="str">
        <f>IF(ROUND(IS!AP46,0)-ROUND(SUM(IS!AP49:AP50),0)=ROUND(IS!AP51,0),"OK","ERROR")</f>
        <v>OK</v>
      </c>
      <c r="AQ82" s="206" t="str">
        <f>IF(ROUND(IS!AQ46,0)-ROUND(SUM(IS!AQ49:AQ50),0)=ROUND(IS!AQ51,0),"OK","ERROR")</f>
        <v>OK</v>
      </c>
      <c r="AR82" s="232" t="str">
        <f>IF(ROUND(IS!AR46,0)-ROUND(SUM(IS!AR49:AR50),0)=ROUND(IS!AR51,0),"OK","ERROR")</f>
        <v>OK</v>
      </c>
      <c r="AS82" s="208"/>
      <c r="AT82" s="232" t="str">
        <f>IF(ROUND(IS!AT46,0)-ROUND(SUM(IS!AT49:AT50),0)=ROUND(IS!AT51,0),"OK","ERROR")</f>
        <v>OK</v>
      </c>
      <c r="AU82" s="234"/>
      <c r="AV82" s="232" t="str">
        <f>IF(ROUND(IS!AV46,0)-ROUND(SUM(IS!AV49:AV50),0)=ROUND(IS!AV51,0),"OK","ERROR")</f>
        <v>OK</v>
      </c>
      <c r="AW82" s="234"/>
      <c r="AX82" s="232" t="str">
        <f>IF(ROUND(IS!AX46,0)-ROUND(SUM(IS!AX49:AX50),0)=ROUND(IS!AX51,0),"OK","ERROR")</f>
        <v>OK</v>
      </c>
    </row>
    <row r="83" spans="1:50" ht="14.25" customHeight="1" thickTop="1">
      <c r="A83" s="55"/>
      <c r="D83" s="206"/>
      <c r="E83" s="206"/>
      <c r="F83" s="206"/>
      <c r="G83" s="206"/>
      <c r="H83" s="217"/>
      <c r="I83" s="208"/>
      <c r="J83" s="206"/>
      <c r="K83" s="206"/>
      <c r="L83" s="206"/>
      <c r="M83" s="206"/>
      <c r="N83" s="217"/>
      <c r="O83" s="208"/>
      <c r="P83" s="206"/>
      <c r="Q83" s="206"/>
      <c r="R83" s="206"/>
      <c r="S83" s="206"/>
      <c r="T83" s="217"/>
      <c r="U83" s="208"/>
      <c r="V83" s="206"/>
      <c r="W83" s="206"/>
      <c r="X83" s="206"/>
      <c r="Y83" s="206"/>
      <c r="Z83" s="217"/>
      <c r="AA83" s="208"/>
      <c r="AB83" s="206"/>
      <c r="AC83" s="206"/>
      <c r="AD83" s="206"/>
      <c r="AE83" s="206"/>
      <c r="AF83" s="217"/>
      <c r="AG83" s="233"/>
      <c r="AH83" s="206"/>
      <c r="AI83" s="206"/>
      <c r="AJ83" s="206"/>
      <c r="AK83" s="206"/>
      <c r="AL83" s="217"/>
      <c r="AM83" s="208"/>
      <c r="AN83" s="206"/>
      <c r="AO83" s="206"/>
      <c r="AP83" s="206"/>
      <c r="AQ83" s="206"/>
      <c r="AR83" s="217"/>
      <c r="AS83" s="208"/>
      <c r="AT83" s="217"/>
      <c r="AU83" s="234"/>
      <c r="AV83" s="217"/>
      <c r="AW83" s="234"/>
      <c r="AX83" s="217"/>
    </row>
    <row r="84" spans="1:50" ht="14.25" customHeight="1">
      <c r="A84" s="44" t="s">
        <v>41</v>
      </c>
      <c r="B84" s="65" t="s">
        <v>766</v>
      </c>
      <c r="D84" s="206"/>
      <c r="E84" s="206"/>
      <c r="F84" s="206"/>
      <c r="G84" s="206"/>
      <c r="H84" s="217"/>
      <c r="I84" s="208"/>
      <c r="J84" s="206"/>
      <c r="K84" s="206"/>
      <c r="L84" s="206"/>
      <c r="M84" s="206"/>
      <c r="N84" s="217"/>
      <c r="O84" s="208"/>
      <c r="P84" s="206"/>
      <c r="Q84" s="206"/>
      <c r="R84" s="206"/>
      <c r="S84" s="206"/>
      <c r="T84" s="217"/>
      <c r="U84" s="208"/>
      <c r="V84" s="206"/>
      <c r="W84" s="206"/>
      <c r="X84" s="206"/>
      <c r="Y84" s="206"/>
      <c r="Z84" s="217"/>
      <c r="AA84" s="208"/>
      <c r="AB84" s="206"/>
      <c r="AC84" s="206"/>
      <c r="AD84" s="206"/>
      <c r="AE84" s="206"/>
      <c r="AF84" s="217"/>
      <c r="AG84" s="233"/>
      <c r="AH84" s="206"/>
      <c r="AI84" s="206"/>
      <c r="AJ84" s="206"/>
      <c r="AK84" s="206"/>
      <c r="AL84" s="217"/>
      <c r="AM84" s="208"/>
      <c r="AN84" s="206"/>
      <c r="AO84" s="206"/>
      <c r="AP84" s="206"/>
      <c r="AQ84" s="206"/>
      <c r="AR84" s="217"/>
      <c r="AS84" s="208"/>
      <c r="AT84" s="217"/>
      <c r="AU84" s="234"/>
      <c r="AV84" s="217"/>
      <c r="AW84" s="234"/>
      <c r="AX84" s="217"/>
    </row>
    <row r="85" spans="1:50" ht="14.25" customHeight="1">
      <c r="A85" s="55"/>
      <c r="B85" s="76" t="s">
        <v>767</v>
      </c>
      <c r="D85" s="235" t="str">
        <f>IF(ROUND(IS!D51/IS!D58,1)=ROUND(IS!D54,1),"OK","ERROR")</f>
        <v>OK</v>
      </c>
      <c r="E85" s="235" t="str">
        <f>IF(ROUND(IS!E51/IS!E58,1)=ROUND(IS!E54,1),"OK","ERROR")</f>
        <v>OK</v>
      </c>
      <c r="F85" s="235" t="str">
        <f>IF(ROUND(IS!F51/IS!F58,1)=ROUND(IS!F54,1),"OK","ERROR")</f>
        <v>OK</v>
      </c>
      <c r="G85" s="235" t="str">
        <f>IF(ROUND(IS!G51/IS!G58,1)=ROUND(IS!G54,1),"OK","ERROR")</f>
        <v>OK</v>
      </c>
      <c r="H85" s="236" t="str">
        <f>IF(ROUND(IS!H51/IS!H58,1)=ROUND(IS!H54,1),"OK","ERROR")</f>
        <v>OK</v>
      </c>
      <c r="I85" s="237"/>
      <c r="J85" s="235" t="str">
        <f>IF(ROUND(IS!J51/IS!J58,1)=ROUND(IS!J54,1),"OK","ERROR")</f>
        <v>OK</v>
      </c>
      <c r="K85" s="235" t="str">
        <f>IF(ROUND(IS!K51/IS!K58,1)=ROUND(IS!K54,1),"OK","ERROR")</f>
        <v>OK</v>
      </c>
      <c r="L85" s="235" t="str">
        <f>IF(ROUND(IS!L51/IS!L58,1)=ROUND(IS!L54,1),"OK","ERROR")</f>
        <v>OK</v>
      </c>
      <c r="M85" s="235" t="str">
        <f>IF(ROUND(IS!M51/IS!M58,1)=ROUND(IS!M54,1),"OK","ERROR")</f>
        <v>OK</v>
      </c>
      <c r="N85" s="236" t="str">
        <f>IF(ROUND(IS!N51/IS!N58,1)=ROUND(IS!N54,1),"OK","ERROR")</f>
        <v>OK</v>
      </c>
      <c r="O85" s="237"/>
      <c r="P85" s="235" t="str">
        <f>IF(ROUND(IS!P51/IS!P58,1)=ROUND(IS!P54,1),"OK","ERROR")</f>
        <v>OK</v>
      </c>
      <c r="Q85" s="235" t="str">
        <f>IF(ROUND(IS!Q51/IS!Q58,1)=ROUND(IS!Q54,1),"OK","ERROR")</f>
        <v>OK</v>
      </c>
      <c r="R85" s="235" t="str">
        <f>IF(ROUND(IS!R51/IS!R58,1)=ROUND(IS!R54,1),"OK","ERROR")</f>
        <v>OK</v>
      </c>
      <c r="S85" s="235" t="str">
        <f>IF(ROUND(IS!S51/IS!S58,1)=ROUND(IS!S54,1),"OK","ERROR")</f>
        <v>OK</v>
      </c>
      <c r="T85" s="236" t="str">
        <f>IF(ROUND(IS!T51/IS!T58,1)=ROUND(IS!T54,1),"OK","ERROR")</f>
        <v>OK</v>
      </c>
      <c r="U85" s="237"/>
      <c r="V85" s="235" t="str">
        <f>IF(ROUND(IS!V51/IS!V58,1)=ROUND(IS!V54,1),"OK","ERROR")</f>
        <v>OK</v>
      </c>
      <c r="W85" s="235" t="str">
        <f>IF(ROUND(IS!W51/IS!W58,1)=ROUND(IS!W54,1),"OK","ERROR")</f>
        <v>OK</v>
      </c>
      <c r="X85" s="235" t="str">
        <f>IF(ROUND(IS!X51/IS!X58,1)=ROUND(IS!X54,1),"OK","ERROR")</f>
        <v>OK</v>
      </c>
      <c r="Y85" s="235" t="str">
        <f>IF(ROUND(IS!Y51/IS!Y58,1)=ROUND(IS!Y54,1),"OK","ERROR")</f>
        <v>OK</v>
      </c>
      <c r="Z85" s="236" t="str">
        <f>IF(ROUND(IS!Z51/IS!Z58,1)=ROUND(IS!Z54,1),"OK","ERROR")</f>
        <v>OK</v>
      </c>
      <c r="AA85" s="237"/>
      <c r="AB85" s="235" t="str">
        <f>IF(ROUND(IS!AB51/IS!AB58,1)=ROUND(IS!AB54,1),"OK","ERROR")</f>
        <v>OK</v>
      </c>
      <c r="AC85" s="235" t="str">
        <f>IF(ROUND(IS!AC51/IS!AC58,1)=ROUND(IS!AC54,1),"OK","ERROR")</f>
        <v>OK</v>
      </c>
      <c r="AD85" s="235" t="str">
        <f>IF(ROUND(IS!AD51/IS!AD58,1)=ROUND(IS!AD54,1),"OK","ERROR")</f>
        <v>OK</v>
      </c>
      <c r="AE85" s="235" t="str">
        <f>IF(ROUND(IS!AE51/IS!AE58,1)=ROUND(IS!AE54,1),"OK","ERROR")</f>
        <v>OK</v>
      </c>
      <c r="AF85" s="236" t="str">
        <f>IF(ROUND(IS!AF51/IS!AF58,1)=ROUND(IS!AF54,1),"OK","ERROR")</f>
        <v>OK</v>
      </c>
      <c r="AG85" s="238"/>
      <c r="AH85" s="235" t="str">
        <f>IF(ROUND(IS!AH51/IS!AH58,1)=ROUND(IS!AH54,1),"OK","ERROR")</f>
        <v>OK</v>
      </c>
      <c r="AI85" s="235" t="str">
        <f>IF(ROUND(IS!AI51/IS!AI58,1)=ROUND(IS!AI54,1),"OK","ERROR")</f>
        <v>OK</v>
      </c>
      <c r="AJ85" s="235" t="e">
        <f>IF(ROUND(IS!AJ51/IS!AJ58,1)=ROUND(IS!AJ54,1),"OK","ERROR")</f>
        <v>#DIV/0!</v>
      </c>
      <c r="AK85" s="235" t="e">
        <f>IF(ROUND(IS!AK51/IS!AK58,1)=ROUND(IS!AK54,1),"OK","ERROR")</f>
        <v>#DIV/0!</v>
      </c>
      <c r="AL85" s="236" t="e">
        <f>IF(ROUND(IS!AL51/IS!AL58,1)=ROUND(IS!AL54,1),"OK","ERROR")</f>
        <v>#DIV/0!</v>
      </c>
      <c r="AM85" s="237"/>
      <c r="AN85" s="235" t="e">
        <f>IF(ROUND(IS!AN51/IS!AN58,1)=ROUND(IS!AN54,1),"OK","ERROR")</f>
        <v>#DIV/0!</v>
      </c>
      <c r="AO85" s="235" t="e">
        <f>IF(ROUND(IS!AO51/IS!AO58,1)=ROUND(IS!AO54,1),"OK","ERROR")</f>
        <v>#DIV/0!</v>
      </c>
      <c r="AP85" s="235" t="e">
        <f>IF(ROUND(IS!AP51/IS!AP58,1)=ROUND(IS!AP54,1),"OK","ERROR")</f>
        <v>#DIV/0!</v>
      </c>
      <c r="AQ85" s="235" t="e">
        <f>IF(ROUND(IS!AQ51/IS!AQ58,1)=ROUND(IS!AQ54,1),"OK","ERROR")</f>
        <v>#DIV/0!</v>
      </c>
      <c r="AR85" s="236" t="e">
        <f>IF(ROUND(IS!AR51/IS!AR58,1)=ROUND(IS!AR54,1),"OK","ERROR")</f>
        <v>#DIV/0!</v>
      </c>
      <c r="AS85" s="237"/>
      <c r="AT85" s="236" t="e">
        <f>IF(ROUND(IS!AT51/IS!AT58,1)=ROUND(IS!AT54,1),"OK","ERROR")</f>
        <v>#DIV/0!</v>
      </c>
      <c r="AU85" s="239"/>
      <c r="AV85" s="236" t="e">
        <f>IF(ROUND(IS!AV51/IS!AV58,1)=ROUND(IS!AV54,1),"OK","ERROR")</f>
        <v>#DIV/0!</v>
      </c>
      <c r="AW85" s="239"/>
      <c r="AX85" s="236" t="e">
        <f>IF(ROUND(IS!AX51/IS!AX58,1)=ROUND(IS!AX54,1),"OK","ERROR")</f>
        <v>#DIV/0!</v>
      </c>
    </row>
    <row r="86" spans="1:50" ht="14.25" customHeight="1">
      <c r="A86" s="73"/>
      <c r="B86" s="76" t="s">
        <v>768</v>
      </c>
      <c r="D86" s="235" t="str">
        <f>IF(ROUND(IS!D51/IS!D59,1)=ROUND(IS!D55,1),"OK","ERROR")</f>
        <v>OK</v>
      </c>
      <c r="E86" s="235" t="str">
        <f>IF(ROUND(IS!E51/IS!E59,1)=ROUND(IS!E55,1),"OK","ERROR")</f>
        <v>OK</v>
      </c>
      <c r="F86" s="235" t="str">
        <f>IF(ROUND(IS!F51/IS!F59,1)=ROUND(IS!F55,1),"OK","ERROR")</f>
        <v>OK</v>
      </c>
      <c r="G86" s="235" t="str">
        <f>IF(ROUND(IS!G51/IS!G59,1)=ROUND(IS!G55,1),"OK","ERROR")</f>
        <v>OK</v>
      </c>
      <c r="H86" s="236" t="str">
        <f>IF(ROUND(IS!H51/IS!H59,1)=ROUND(IS!H55,1),"OK","ERROR")</f>
        <v>OK</v>
      </c>
      <c r="I86" s="237"/>
      <c r="J86" s="235" t="str">
        <f>IF(ROUND(IS!J51/IS!J59,1)=ROUND(IS!J55,1),"OK","ERROR")</f>
        <v>OK</v>
      </c>
      <c r="K86" s="235" t="str">
        <f>IF(ROUND(IS!K51/IS!K59,1)=ROUND(IS!K55,1),"OK","ERROR")</f>
        <v>OK</v>
      </c>
      <c r="L86" s="235" t="str">
        <f>IF(ROUND(IS!L51/IS!L59,1)=ROUND(IS!L55,1),"OK","ERROR")</f>
        <v>OK</v>
      </c>
      <c r="M86" s="235" t="str">
        <f>IF(ROUND(IS!M51/IS!M59,1)=ROUND(IS!M55,1),"OK","ERROR")</f>
        <v>OK</v>
      </c>
      <c r="N86" s="236" t="str">
        <f>IF(ROUND(IS!N51/IS!N59,1)=ROUND(IS!N55,1),"OK","ERROR")</f>
        <v>OK</v>
      </c>
      <c r="O86" s="237"/>
      <c r="P86" s="235" t="str">
        <f>IF(ROUND(IS!P51/IS!P59,1)=ROUND(IS!P55,1),"OK","ERROR")</f>
        <v>OK</v>
      </c>
      <c r="Q86" s="235" t="str">
        <f>IF(ROUND(IS!Q51/IS!Q59,1)=ROUND(IS!Q55,1),"OK","ERROR")</f>
        <v>OK</v>
      </c>
      <c r="R86" s="235" t="str">
        <f>IF(ROUND(IS!R51/IS!R59,1)=ROUND(IS!R55,1),"OK","ERROR")</f>
        <v>OK</v>
      </c>
      <c r="S86" s="235" t="str">
        <f>IF(ROUND(IS!S51/IS!S59,1)=ROUND(IS!S55,1),"OK","ERROR")</f>
        <v>OK</v>
      </c>
      <c r="T86" s="236" t="str">
        <f>IF(ROUND(IS!T51/IS!T59,1)=ROUND(IS!T55,1),"OK","ERROR")</f>
        <v>OK</v>
      </c>
      <c r="U86" s="237"/>
      <c r="V86" s="235" t="str">
        <f>IF(ROUND(IS!V51/IS!V59,1)=ROUND(IS!V55,1),"OK","ERROR")</f>
        <v>OK</v>
      </c>
      <c r="W86" s="235" t="str">
        <f>IF(ROUND(IS!W51/IS!W59,1)=ROUND(IS!W55,1),"OK","ERROR")</f>
        <v>OK</v>
      </c>
      <c r="X86" s="235" t="str">
        <f>IF(ROUND(IS!X51/IS!X59,1)=ROUND(IS!X55,1),"OK","ERROR")</f>
        <v>OK</v>
      </c>
      <c r="Y86" s="235" t="str">
        <f>IF(ROUND(IS!Y51/IS!Y59,1)=ROUND(IS!Y55,1),"OK","ERROR")</f>
        <v>OK</v>
      </c>
      <c r="Z86" s="236" t="str">
        <f>IF(ROUND(IS!Z51/IS!Z59,1)=ROUND(IS!Z55,1),"OK","ERROR")</f>
        <v>OK</v>
      </c>
      <c r="AA86" s="237"/>
      <c r="AB86" s="235" t="str">
        <f>IF(ROUND(IS!AB51/IS!AB59,1)=ROUND(IS!AB55,1),"OK","ERROR")</f>
        <v>OK</v>
      </c>
      <c r="AC86" s="235" t="str">
        <f>IF(ROUND(IS!AC51/IS!AC59,1)=ROUND(IS!AC55,1),"OK","ERROR")</f>
        <v>OK</v>
      </c>
      <c r="AD86" s="235" t="str">
        <f>IF(ROUND(IS!AD51/IS!AD59,1)=ROUND(IS!AD55,1),"OK","ERROR")</f>
        <v>OK</v>
      </c>
      <c r="AE86" s="235" t="str">
        <f>IF(ROUND(IS!AE51/IS!AE59,1)=ROUND(IS!AE55,1),"OK","ERROR")</f>
        <v>OK</v>
      </c>
      <c r="AF86" s="236" t="str">
        <f>IF(ROUND(IS!AF51/IS!AF59,1)=ROUND(IS!AF55,1),"OK","ERROR")</f>
        <v>OK</v>
      </c>
      <c r="AG86" s="238"/>
      <c r="AH86" s="235" t="str">
        <f>IF(ROUND(IS!AH51/IS!AH59,1)=ROUND(IS!AH55,1),"OK","ERROR")</f>
        <v>ERROR</v>
      </c>
      <c r="AI86" s="235" t="str">
        <f>IF(ROUND(IS!AI51/IS!AI59,1)=ROUND(IS!AI55,1),"OK","ERROR")</f>
        <v>OK</v>
      </c>
      <c r="AJ86" s="235" t="str">
        <f>IF(ROUND(IS!AJ51/IS!AJ59,1)=ROUND(IS!AJ55,1),"OK","ERROR")</f>
        <v>OK</v>
      </c>
      <c r="AK86" s="235" t="str">
        <f>IF(ROUND(IS!AK51/IS!AK59,1)=ROUND(IS!AK55,1),"OK","ERROR")</f>
        <v>OK</v>
      </c>
      <c r="AL86" s="236" t="str">
        <f>IF(ROUND(IS!AL51/IS!AL59,1)=ROUND(IS!AL55,1),"OK","ERROR")</f>
        <v>OK</v>
      </c>
      <c r="AM86" s="237"/>
      <c r="AN86" s="235" t="str">
        <f>IF(ROUND(IS!AN51/IS!AN59,1)=ROUND(IS!AN55,1),"OK","ERROR")</f>
        <v>OK</v>
      </c>
      <c r="AO86" s="235" t="str">
        <f>IF(ROUND(IS!AO51/IS!AO59,1)=ROUND(IS!AO55,1),"OK","ERROR")</f>
        <v>OK</v>
      </c>
      <c r="AP86" s="235" t="str">
        <f>IF(ROUND(IS!AP51/IS!AP59,1)=ROUND(IS!AP55,1),"OK","ERROR")</f>
        <v>OK</v>
      </c>
      <c r="AQ86" s="235" t="str">
        <f>IF(ROUND(IS!AQ51/IS!AQ59,1)=ROUND(IS!AQ55,1),"OK","ERROR")</f>
        <v>OK</v>
      </c>
      <c r="AR86" s="236" t="str">
        <f>IF(ROUND(IS!AR51/IS!AR59,1)=ROUND(IS!AR55,1),"OK","ERROR")</f>
        <v>OK</v>
      </c>
      <c r="AS86" s="237"/>
      <c r="AT86" s="236" t="str">
        <f>IF(ROUND(IS!AT51/IS!AT59,1)=ROUND(IS!AT55,1),"OK","ERROR")</f>
        <v>OK</v>
      </c>
      <c r="AU86" s="239"/>
      <c r="AV86" s="236" t="str">
        <f>IF(ROUND(IS!AV51/IS!AV59,1)=ROUND(IS!AV55,1),"OK","ERROR")</f>
        <v>OK</v>
      </c>
      <c r="AW86" s="239"/>
      <c r="AX86" s="236" t="str">
        <f>IF(ROUND(IS!AX51/IS!AX59,1)=ROUND(IS!AX55,1),"OK","ERROR")</f>
        <v>OK</v>
      </c>
    </row>
    <row r="88" spans="1:50" s="41" customFormat="1" ht="15" customHeight="1">
      <c r="B88" s="161" t="s">
        <v>1209</v>
      </c>
      <c r="C88" s="18"/>
      <c r="D88" s="200">
        <f>F88</f>
        <v>2020</v>
      </c>
      <c r="E88" s="200">
        <f>F88</f>
        <v>2020</v>
      </c>
      <c r="F88" s="200">
        <v>2020</v>
      </c>
      <c r="G88" s="200">
        <f>F88</f>
        <v>2020</v>
      </c>
      <c r="H88" s="200">
        <f>F88</f>
        <v>2020</v>
      </c>
      <c r="I88" s="18"/>
      <c r="J88" s="200">
        <f>L88</f>
        <v>2021</v>
      </c>
      <c r="K88" s="200">
        <f>L88</f>
        <v>2021</v>
      </c>
      <c r="L88" s="200">
        <v>2021</v>
      </c>
      <c r="M88" s="200">
        <f>L88</f>
        <v>2021</v>
      </c>
      <c r="N88" s="200">
        <f>L88</f>
        <v>2021</v>
      </c>
      <c r="O88" s="169"/>
      <c r="P88" s="200">
        <f>R88</f>
        <v>2022</v>
      </c>
      <c r="Q88" s="200">
        <f>R88</f>
        <v>2022</v>
      </c>
      <c r="R88" s="200">
        <v>2022</v>
      </c>
      <c r="S88" s="200">
        <f>R88</f>
        <v>2022</v>
      </c>
      <c r="T88" s="200">
        <f>R88</f>
        <v>2022</v>
      </c>
      <c r="U88" s="169"/>
      <c r="V88" s="200">
        <f>X88</f>
        <v>2023</v>
      </c>
      <c r="W88" s="200">
        <f>X88</f>
        <v>2023</v>
      </c>
      <c r="X88" s="200">
        <v>2023</v>
      </c>
      <c r="Y88" s="200">
        <f>X88</f>
        <v>2023</v>
      </c>
      <c r="Z88" s="200">
        <f>X88</f>
        <v>2023</v>
      </c>
      <c r="AA88" s="170"/>
      <c r="AB88" s="200">
        <f>AD88</f>
        <v>2024</v>
      </c>
      <c r="AC88" s="200">
        <f>AD88</f>
        <v>2024</v>
      </c>
      <c r="AD88" s="200">
        <v>2024</v>
      </c>
      <c r="AE88" s="200">
        <f>AD88</f>
        <v>2024</v>
      </c>
      <c r="AF88" s="200">
        <f>AD88</f>
        <v>2024</v>
      </c>
      <c r="AG88" s="170"/>
      <c r="AH88" s="200">
        <f>AJ88</f>
        <v>2025</v>
      </c>
      <c r="AI88" s="200">
        <f>AJ88</f>
        <v>2025</v>
      </c>
      <c r="AJ88" s="201">
        <v>2025</v>
      </c>
      <c r="AK88" s="200">
        <f>AJ88</f>
        <v>2025</v>
      </c>
      <c r="AL88" s="200">
        <f>AJ88</f>
        <v>2025</v>
      </c>
      <c r="AM88" s="171"/>
      <c r="AN88" s="200">
        <f>AP88</f>
        <v>2025</v>
      </c>
      <c r="AO88" s="200">
        <f>AP88</f>
        <v>2025</v>
      </c>
      <c r="AP88" s="201">
        <v>2025</v>
      </c>
      <c r="AQ88" s="200">
        <f>AP88</f>
        <v>2025</v>
      </c>
      <c r="AR88" s="200">
        <f>AP88</f>
        <v>2025</v>
      </c>
      <c r="AS88" s="18"/>
      <c r="AT88" s="162"/>
      <c r="AU88" s="18"/>
      <c r="AV88" s="163"/>
      <c r="AW88" s="18"/>
      <c r="AX88" s="163"/>
    </row>
    <row r="89" spans="1:50" s="41" customFormat="1" ht="15" customHeight="1">
      <c r="B89" s="164"/>
      <c r="C89" s="18"/>
      <c r="D89" s="893">
        <v>2020</v>
      </c>
      <c r="E89" s="893"/>
      <c r="F89" s="893"/>
      <c r="G89" s="893"/>
      <c r="H89" s="893"/>
      <c r="I89" s="169"/>
      <c r="J89" s="893">
        <f>D89+1</f>
        <v>2021</v>
      </c>
      <c r="K89" s="893"/>
      <c r="L89" s="893"/>
      <c r="M89" s="893"/>
      <c r="N89" s="893"/>
      <c r="O89" s="169"/>
      <c r="P89" s="893">
        <f>J89+1</f>
        <v>2022</v>
      </c>
      <c r="Q89" s="893"/>
      <c r="R89" s="893"/>
      <c r="S89" s="893"/>
      <c r="T89" s="893"/>
      <c r="U89" s="169"/>
      <c r="V89" s="893">
        <f>P89+1</f>
        <v>2023</v>
      </c>
      <c r="W89" s="893"/>
      <c r="X89" s="893"/>
      <c r="Y89" s="893"/>
      <c r="Z89" s="893"/>
      <c r="AA89" s="169"/>
      <c r="AB89" s="893">
        <f>V89+1</f>
        <v>2024</v>
      </c>
      <c r="AC89" s="893"/>
      <c r="AD89" s="893"/>
      <c r="AE89" s="893"/>
      <c r="AF89" s="893"/>
      <c r="AG89" s="169"/>
      <c r="AH89" s="892">
        <f>AB89+1</f>
        <v>2025</v>
      </c>
      <c r="AI89" s="892"/>
      <c r="AJ89" s="892"/>
      <c r="AK89" s="892"/>
      <c r="AL89" s="892"/>
      <c r="AM89" s="169"/>
      <c r="AN89" s="892">
        <f>AH89+1</f>
        <v>2026</v>
      </c>
      <c r="AO89" s="892"/>
      <c r="AP89" s="892"/>
      <c r="AQ89" s="892"/>
      <c r="AR89" s="892"/>
      <c r="AS89" s="171"/>
      <c r="AT89" s="166">
        <f>AN89+1</f>
        <v>2027</v>
      </c>
      <c r="AU89" s="167"/>
      <c r="AV89" s="166">
        <f>+AT89+1</f>
        <v>2028</v>
      </c>
      <c r="AW89" s="167"/>
      <c r="AX89" s="166">
        <f>+AV89+1</f>
        <v>2029</v>
      </c>
    </row>
    <row r="90" spans="1:50" s="41" customFormat="1" ht="15" customHeight="1">
      <c r="B90" s="164"/>
      <c r="C90" s="18"/>
      <c r="D90" s="168" t="s">
        <v>292</v>
      </c>
      <c r="E90" s="168" t="s">
        <v>293</v>
      </c>
      <c r="F90" s="168" t="s">
        <v>294</v>
      </c>
      <c r="G90" s="168" t="s">
        <v>295</v>
      </c>
      <c r="H90" s="168" t="s">
        <v>296</v>
      </c>
      <c r="I90" s="18"/>
      <c r="J90" s="168" t="s">
        <v>292</v>
      </c>
      <c r="K90" s="168" t="s">
        <v>293</v>
      </c>
      <c r="L90" s="168" t="s">
        <v>294</v>
      </c>
      <c r="M90" s="168" t="s">
        <v>295</v>
      </c>
      <c r="N90" s="168" t="s">
        <v>296</v>
      </c>
      <c r="O90" s="165"/>
      <c r="P90" s="168" t="s">
        <v>292</v>
      </c>
      <c r="Q90" s="168" t="s">
        <v>293</v>
      </c>
      <c r="R90" s="168" t="s">
        <v>294</v>
      </c>
      <c r="S90" s="168" t="s">
        <v>295</v>
      </c>
      <c r="T90" s="168" t="s">
        <v>296</v>
      </c>
      <c r="U90" s="165"/>
      <c r="V90" s="168" t="s">
        <v>292</v>
      </c>
      <c r="W90" s="168" t="s">
        <v>293</v>
      </c>
      <c r="X90" s="168" t="s">
        <v>294</v>
      </c>
      <c r="Y90" s="168" t="s">
        <v>295</v>
      </c>
      <c r="Z90" s="168" t="s">
        <v>296</v>
      </c>
      <c r="AA90" s="165"/>
      <c r="AB90" s="168" t="s">
        <v>292</v>
      </c>
      <c r="AC90" s="168" t="s">
        <v>293</v>
      </c>
      <c r="AD90" s="168" t="s">
        <v>294</v>
      </c>
      <c r="AE90" s="168" t="s">
        <v>295</v>
      </c>
      <c r="AF90" s="168" t="s">
        <v>296</v>
      </c>
      <c r="AG90" s="165"/>
      <c r="AH90" s="168" t="s">
        <v>292</v>
      </c>
      <c r="AI90" s="168" t="s">
        <v>293</v>
      </c>
      <c r="AJ90" s="168" t="s">
        <v>294</v>
      </c>
      <c r="AK90" s="168" t="s">
        <v>295</v>
      </c>
      <c r="AL90" s="168" t="s">
        <v>296</v>
      </c>
      <c r="AM90" s="165"/>
      <c r="AN90" s="168" t="s">
        <v>292</v>
      </c>
      <c r="AO90" s="168" t="s">
        <v>293</v>
      </c>
      <c r="AP90" s="168" t="s">
        <v>294</v>
      </c>
      <c r="AQ90" s="168" t="s">
        <v>295</v>
      </c>
      <c r="AR90" s="168" t="s">
        <v>296</v>
      </c>
      <c r="AS90" s="165"/>
      <c r="AT90" s="168" t="s">
        <v>296</v>
      </c>
      <c r="AU90" s="165"/>
      <c r="AV90" s="168" t="s">
        <v>296</v>
      </c>
      <c r="AW90" s="165"/>
      <c r="AX90" s="168" t="s">
        <v>296</v>
      </c>
    </row>
    <row r="91" spans="1:50" s="41" customFormat="1" ht="3.95" customHeight="1">
      <c r="A91" s="43"/>
      <c r="B91" s="176"/>
      <c r="C91" s="35"/>
      <c r="D91" s="177"/>
      <c r="E91" s="177"/>
      <c r="F91" s="177"/>
      <c r="G91" s="177"/>
      <c r="H91" s="177"/>
      <c r="I91" s="35"/>
      <c r="J91" s="177"/>
      <c r="K91" s="177"/>
      <c r="L91" s="177"/>
      <c r="M91" s="177"/>
      <c r="N91" s="177"/>
      <c r="O91" s="178"/>
      <c r="P91" s="177"/>
      <c r="Q91" s="177"/>
      <c r="R91" s="177"/>
      <c r="S91" s="177"/>
      <c r="T91" s="177"/>
      <c r="U91" s="178"/>
      <c r="V91" s="177"/>
      <c r="W91" s="177"/>
      <c r="X91" s="177"/>
      <c r="Y91" s="177"/>
      <c r="Z91" s="177"/>
      <c r="AA91" s="178"/>
      <c r="AB91" s="177"/>
      <c r="AC91" s="177"/>
      <c r="AD91" s="177"/>
      <c r="AE91" s="177"/>
      <c r="AF91" s="177"/>
      <c r="AG91" s="178"/>
      <c r="AH91" s="177"/>
      <c r="AI91" s="177"/>
      <c r="AJ91" s="177"/>
      <c r="AK91" s="177"/>
      <c r="AL91" s="179"/>
      <c r="AM91" s="180"/>
      <c r="AN91" s="179"/>
      <c r="AO91" s="179"/>
      <c r="AP91" s="179"/>
      <c r="AQ91" s="179"/>
      <c r="AR91" s="179"/>
      <c r="AS91" s="180"/>
      <c r="AT91" s="179"/>
      <c r="AU91" s="180"/>
      <c r="AV91" s="179"/>
      <c r="AW91" s="180"/>
      <c r="AX91" s="179"/>
    </row>
    <row r="92" spans="1:50" s="41" customFormat="1" ht="3.95" customHeight="1">
      <c r="A92" s="43"/>
      <c r="B92" s="172"/>
      <c r="C92" s="19"/>
      <c r="D92" s="173"/>
      <c r="E92" s="173"/>
      <c r="F92" s="173"/>
      <c r="G92" s="173"/>
      <c r="H92" s="173"/>
      <c r="I92" s="19"/>
      <c r="J92" s="173"/>
      <c r="K92" s="173"/>
      <c r="L92" s="173"/>
      <c r="M92" s="173"/>
      <c r="N92" s="173"/>
      <c r="O92" s="174"/>
      <c r="P92" s="173"/>
      <c r="Q92" s="173"/>
      <c r="R92" s="173"/>
      <c r="S92" s="173"/>
      <c r="T92" s="173"/>
      <c r="U92" s="174"/>
      <c r="V92" s="173"/>
      <c r="W92" s="173"/>
      <c r="X92" s="173"/>
      <c r="Y92" s="173"/>
      <c r="Z92" s="173"/>
      <c r="AA92" s="174"/>
      <c r="AB92" s="173"/>
      <c r="AC92" s="173"/>
      <c r="AD92" s="173"/>
      <c r="AE92" s="173"/>
      <c r="AF92" s="173"/>
      <c r="AG92" s="202"/>
      <c r="AH92" s="173"/>
      <c r="AI92" s="173"/>
      <c r="AJ92" s="173"/>
      <c r="AK92" s="173"/>
      <c r="AL92" s="175"/>
      <c r="AM92" s="34"/>
      <c r="AN92" s="175"/>
      <c r="AO92" s="175"/>
      <c r="AP92" s="175"/>
      <c r="AQ92" s="175"/>
      <c r="AR92" s="175"/>
      <c r="AS92" s="34"/>
      <c r="AT92" s="175"/>
      <c r="AU92" s="34"/>
      <c r="AV92" s="175"/>
      <c r="AW92" s="34"/>
      <c r="AX92" s="175"/>
    </row>
    <row r="93" spans="1:50" s="41" customFormat="1" ht="15" customHeight="1">
      <c r="A93" s="44"/>
      <c r="B93" s="106" t="s">
        <v>775</v>
      </c>
      <c r="C93" s="17"/>
      <c r="D93" s="206"/>
      <c r="E93" s="206"/>
      <c r="F93" s="206"/>
      <c r="G93" s="206"/>
      <c r="H93" s="214"/>
      <c r="I93" s="242"/>
      <c r="J93" s="243"/>
      <c r="K93" s="243"/>
      <c r="L93" s="243"/>
      <c r="M93" s="243"/>
      <c r="N93" s="244"/>
      <c r="O93" s="244"/>
      <c r="P93" s="243"/>
      <c r="Q93" s="243"/>
      <c r="R93" s="243"/>
      <c r="S93" s="243"/>
      <c r="T93" s="244"/>
      <c r="U93" s="244"/>
      <c r="V93" s="243"/>
      <c r="W93" s="243"/>
      <c r="X93" s="243"/>
      <c r="Y93" s="243"/>
      <c r="Z93" s="244"/>
      <c r="AA93" s="244"/>
      <c r="AB93" s="245"/>
      <c r="AC93" s="245"/>
      <c r="AD93" s="245"/>
      <c r="AE93" s="245"/>
      <c r="AF93" s="244"/>
      <c r="AG93" s="246"/>
      <c r="AH93" s="247"/>
      <c r="AI93" s="247"/>
      <c r="AJ93" s="247"/>
      <c r="AK93" s="247"/>
      <c r="AL93" s="244"/>
      <c r="AM93" s="248"/>
      <c r="AN93" s="247"/>
      <c r="AO93" s="247"/>
      <c r="AP93" s="247"/>
      <c r="AQ93" s="247"/>
      <c r="AR93" s="244"/>
      <c r="AS93" s="248"/>
      <c r="AT93" s="244"/>
      <c r="AU93" s="248"/>
      <c r="AV93" s="244"/>
      <c r="AW93" s="249"/>
      <c r="AX93" s="249"/>
    </row>
    <row r="94" spans="1:50" s="113" customFormat="1" ht="15" customHeight="1">
      <c r="B94" s="114"/>
      <c r="C94" s="115"/>
      <c r="D94" s="206"/>
      <c r="E94" s="206"/>
      <c r="F94" s="206"/>
      <c r="G94" s="206"/>
      <c r="H94" s="214"/>
      <c r="I94" s="250"/>
      <c r="J94" s="243"/>
      <c r="K94" s="243"/>
      <c r="L94" s="243"/>
      <c r="M94" s="243"/>
      <c r="N94" s="244"/>
      <c r="O94" s="250"/>
      <c r="P94" s="243"/>
      <c r="Q94" s="243"/>
      <c r="R94" s="243"/>
      <c r="S94" s="243"/>
      <c r="T94" s="244"/>
      <c r="U94" s="250"/>
      <c r="V94" s="243"/>
      <c r="W94" s="243"/>
      <c r="X94" s="243"/>
      <c r="Y94" s="243"/>
      <c r="Z94" s="244"/>
      <c r="AA94" s="251"/>
      <c r="AB94" s="245"/>
      <c r="AC94" s="245"/>
      <c r="AD94" s="245"/>
      <c r="AE94" s="245"/>
      <c r="AF94" s="244"/>
      <c r="AG94" s="252"/>
      <c r="AH94" s="253"/>
      <c r="AI94" s="253"/>
      <c r="AJ94" s="253"/>
      <c r="AK94" s="253"/>
      <c r="AL94" s="244"/>
      <c r="AM94" s="254"/>
      <c r="AN94" s="253"/>
      <c r="AO94" s="253"/>
      <c r="AP94" s="253"/>
      <c r="AQ94" s="253"/>
      <c r="AR94" s="244"/>
      <c r="AS94" s="254"/>
      <c r="AT94" s="244"/>
      <c r="AU94" s="254"/>
      <c r="AV94" s="244"/>
      <c r="AW94" s="255"/>
      <c r="AX94" s="255"/>
    </row>
    <row r="95" spans="1:50" s="41" customFormat="1" ht="15" customHeight="1">
      <c r="A95" s="44" t="s">
        <v>41</v>
      </c>
      <c r="B95" s="114" t="s">
        <v>776</v>
      </c>
      <c r="C95" s="17"/>
      <c r="D95" s="206"/>
      <c r="E95" s="206"/>
      <c r="F95" s="206"/>
      <c r="G95" s="206"/>
      <c r="H95" s="217"/>
      <c r="I95" s="242"/>
      <c r="J95" s="256"/>
      <c r="K95" s="256"/>
      <c r="L95" s="256"/>
      <c r="M95" s="256"/>
      <c r="N95" s="244"/>
      <c r="O95" s="242"/>
      <c r="P95" s="256"/>
      <c r="Q95" s="256"/>
      <c r="R95" s="256"/>
      <c r="S95" s="256"/>
      <c r="T95" s="244"/>
      <c r="U95" s="242"/>
      <c r="V95" s="256"/>
      <c r="W95" s="256"/>
      <c r="X95" s="256"/>
      <c r="Y95" s="256"/>
      <c r="Z95" s="244"/>
      <c r="AA95" s="257"/>
      <c r="AB95" s="258"/>
      <c r="AC95" s="258"/>
      <c r="AD95" s="258"/>
      <c r="AE95" s="258"/>
      <c r="AF95" s="244"/>
      <c r="AG95" s="259"/>
      <c r="AH95" s="260"/>
      <c r="AI95" s="260"/>
      <c r="AJ95" s="260"/>
      <c r="AK95" s="260"/>
      <c r="AL95" s="244"/>
      <c r="AM95" s="261"/>
      <c r="AN95" s="260"/>
      <c r="AO95" s="260"/>
      <c r="AP95" s="260"/>
      <c r="AQ95" s="260"/>
      <c r="AR95" s="244"/>
      <c r="AS95" s="261"/>
      <c r="AT95" s="244"/>
      <c r="AU95" s="261"/>
      <c r="AV95" s="244"/>
      <c r="AW95" s="249"/>
      <c r="AX95" s="249"/>
    </row>
    <row r="96" spans="1:50" s="41" customFormat="1" ht="15" customHeight="1">
      <c r="A96" s="44"/>
      <c r="B96" s="127" t="s">
        <v>777</v>
      </c>
      <c r="C96" s="17"/>
      <c r="D96" s="206" t="str">
        <f>IF(ROUND(BS!D15,0)=ROUND(SUM(BS!D16:D17),0),"OK","ERROR")</f>
        <v>OK</v>
      </c>
      <c r="E96" s="206" t="str">
        <f>IF(ROUND(BS!E15,0)=ROUND(SUM(BS!E16:E17),0),"OK","ERROR")</f>
        <v>OK</v>
      </c>
      <c r="F96" s="206" t="str">
        <f>IF(ROUND(BS!F15,0)=ROUND(SUM(BS!F16:F17),0),"OK","ERROR")</f>
        <v>OK</v>
      </c>
      <c r="G96" s="206" t="str">
        <f>IF(ROUND(BS!G15,0)=ROUND(SUM(BS!G16:G17),0),"OK","ERROR")</f>
        <v>OK</v>
      </c>
      <c r="H96" s="217" t="str">
        <f>IF(ROUND(BS!H15,0)=ROUND(SUM(BS!H16:H17),0),"OK","ERROR")</f>
        <v>OK</v>
      </c>
      <c r="I96" s="242"/>
      <c r="J96" s="206" t="str">
        <f>IF(ROUND(BS!J15,0)=ROUND(SUM(BS!J16:J17),0),"OK","ERROR")</f>
        <v>OK</v>
      </c>
      <c r="K96" s="206" t="str">
        <f>IF(ROUND(BS!K15,0)=ROUND(SUM(BS!K16:K17),0),"OK","ERROR")</f>
        <v>OK</v>
      </c>
      <c r="L96" s="206" t="str">
        <f>IF(ROUND(BS!L15,0)=ROUND(SUM(BS!L16:L17),0),"OK","ERROR")</f>
        <v>OK</v>
      </c>
      <c r="M96" s="206" t="str">
        <f>IF(ROUND(BS!M15,0)=ROUND(SUM(BS!M16:M17),0),"OK","ERROR")</f>
        <v>OK</v>
      </c>
      <c r="N96" s="217" t="str">
        <f>IF(ROUND(BS!N15,0)=ROUND(SUM(BS!N16:N17),0),"OK","ERROR")</f>
        <v>OK</v>
      </c>
      <c r="O96" s="242"/>
      <c r="P96" s="206" t="str">
        <f>IF(ROUND(BS!P15,0)=ROUND(SUM(BS!P16:P17),0),"OK","ERROR")</f>
        <v>OK</v>
      </c>
      <c r="Q96" s="206" t="str">
        <f>IF(ROUND(BS!Q15,0)=ROUND(SUM(BS!Q16:Q17),0),"OK","ERROR")</f>
        <v>OK</v>
      </c>
      <c r="R96" s="206" t="str">
        <f>IF(ROUND(BS!R15,0)=ROUND(SUM(BS!R16:R17),0),"OK","ERROR")</f>
        <v>OK</v>
      </c>
      <c r="S96" s="206" t="str">
        <f>IF(ROUND(BS!S15,0)=ROUND(SUM(BS!S16:S17),0),"OK","ERROR")</f>
        <v>OK</v>
      </c>
      <c r="T96" s="217" t="str">
        <f>IF(ROUND(BS!T15,0)=ROUND(SUM(BS!T16:T17),0),"OK","ERROR")</f>
        <v>OK</v>
      </c>
      <c r="U96" s="242"/>
      <c r="V96" s="206" t="str">
        <f>IF(ROUND(BS!V15,0)=ROUND(SUM(BS!V16:V17),0),"OK","ERROR")</f>
        <v>OK</v>
      </c>
      <c r="W96" s="206" t="str">
        <f>IF(ROUND(BS!W15,0)=ROUND(SUM(BS!W16:W17),0),"OK","ERROR")</f>
        <v>OK</v>
      </c>
      <c r="X96" s="206" t="str">
        <f>IF(ROUND(BS!X15,0)=ROUND(SUM(BS!X16:X17),0),"OK","ERROR")</f>
        <v>OK</v>
      </c>
      <c r="Y96" s="206" t="str">
        <f>IF(ROUND(BS!Y15,0)=ROUND(SUM(BS!Y16:Y17),0),"OK","ERROR")</f>
        <v>OK</v>
      </c>
      <c r="Z96" s="217" t="str">
        <f>IF(ROUND(BS!Z15,0)=ROUND(SUM(BS!Z16:Z17),0),"OK","ERROR")</f>
        <v>OK</v>
      </c>
      <c r="AA96" s="257"/>
      <c r="AB96" s="206" t="str">
        <f>IF(ROUND(BS!AB15,0)=ROUND(SUM(BS!AB16:AB17),0),"OK","ERROR")</f>
        <v>OK</v>
      </c>
      <c r="AC96" s="206" t="str">
        <f>IF(ROUND(BS!AC15,0)=ROUND(SUM(BS!AC16:AC17),0),"OK","ERROR")</f>
        <v>OK</v>
      </c>
      <c r="AD96" s="206" t="str">
        <f>IF(ROUND(BS!AD15,0)=ROUND(SUM(BS!AD16:AD17),0),"OK","ERROR")</f>
        <v>OK</v>
      </c>
      <c r="AE96" s="206" t="str">
        <f>IF(ROUND(BS!AE15,0)=ROUND(SUM(BS!AE16:AE17),0),"OK","ERROR")</f>
        <v>OK</v>
      </c>
      <c r="AF96" s="217" t="str">
        <f>IF(ROUND(BS!AF15,0)=ROUND(SUM(BS!AF16:AF17),0),"OK","ERROR")</f>
        <v>OK</v>
      </c>
      <c r="AG96" s="259"/>
      <c r="AH96" s="206" t="str">
        <f>IF(ROUND(BS!AH15,0)=ROUND(SUM(BS!AH16:AH17),0),"OK","ERROR")</f>
        <v>OK</v>
      </c>
      <c r="AI96" s="206" t="str">
        <f>IF(ROUND(BS!AI15,0)=ROUND(SUM(BS!AI16:AI17),0),"OK","ERROR")</f>
        <v>OK</v>
      </c>
      <c r="AJ96" s="206" t="str">
        <f>IF(ROUND(BS!AJ15,0)=ROUND(SUM(BS!AJ16:AJ17),0),"OK","ERROR")</f>
        <v>OK</v>
      </c>
      <c r="AK96" s="206" t="str">
        <f>IF(ROUND(BS!AK15,0)=ROUND(SUM(BS!AK16:AK17),0),"OK","ERROR")</f>
        <v>OK</v>
      </c>
      <c r="AL96" s="217" t="str">
        <f>IF(ROUND(BS!AL15,0)=ROUND(SUM(BS!AL16:AL17),0),"OK","ERROR")</f>
        <v>OK</v>
      </c>
      <c r="AM96" s="261"/>
      <c r="AN96" s="206" t="str">
        <f>IF(ROUND(BS!AN15,0)=ROUND(SUM(BS!AN16:AN17),0),"OK","ERROR")</f>
        <v>OK</v>
      </c>
      <c r="AO96" s="206" t="str">
        <f>IF(ROUND(BS!AO15,0)=ROUND(SUM(BS!AO16:AO17),0),"OK","ERROR")</f>
        <v>OK</v>
      </c>
      <c r="AP96" s="206" t="str">
        <f>IF(ROUND(BS!AP15,0)=ROUND(SUM(BS!AP16:AP17),0),"OK","ERROR")</f>
        <v>OK</v>
      </c>
      <c r="AQ96" s="206" t="str">
        <f>IF(ROUND(BS!AQ15,0)=ROUND(SUM(BS!AQ16:AQ17),0),"OK","ERROR")</f>
        <v>OK</v>
      </c>
      <c r="AR96" s="217" t="str">
        <f>IF(ROUND(BS!AR15,0)=ROUND(SUM(BS!AR16:AR17),0),"OK","ERROR")</f>
        <v>OK</v>
      </c>
      <c r="AS96" s="261"/>
      <c r="AT96" s="217" t="str">
        <f>IF(ROUND(BS!AT15,0)=ROUND(SUM(BS!AT16:AT17),0),"OK","ERROR")</f>
        <v>OK</v>
      </c>
      <c r="AU96" s="261"/>
      <c r="AV96" s="217" t="str">
        <f>IF(ROUND(BS!AV15,0)=ROUND(SUM(BS!AV16:AV17),0),"OK","ERROR")</f>
        <v>OK</v>
      </c>
      <c r="AW96" s="249"/>
      <c r="AX96" s="217" t="str">
        <f>IF(ROUND(BS!AX15,0)=ROUND(SUM(BS!AX16:AX17),0),"OK","ERROR")</f>
        <v>OK</v>
      </c>
    </row>
    <row r="97" spans="1:50" s="135" customFormat="1" ht="15" customHeight="1">
      <c r="A97" s="84"/>
      <c r="B97" s="59" t="s">
        <v>782</v>
      </c>
      <c r="C97" s="26"/>
      <c r="D97" s="215" t="str">
        <f>IF(ROUND(BS!D21,0)=ROUND(SUM(BS!D16:D20),0),"OK","ERROR")</f>
        <v>OK</v>
      </c>
      <c r="E97" s="215" t="str">
        <f>IF(ROUND(BS!E21,0)=ROUND(SUM(BS!E16:E20),0),"OK","ERROR")</f>
        <v>OK</v>
      </c>
      <c r="F97" s="215" t="str">
        <f>IF(ROUND(BS!F21,0)=ROUND(SUM(BS!F16:F20),0),"OK","ERROR")</f>
        <v>OK</v>
      </c>
      <c r="G97" s="215" t="str">
        <f>IF(ROUND(BS!G21,0)=ROUND(SUM(BS!G16:G20),0),"OK","ERROR")</f>
        <v>OK</v>
      </c>
      <c r="H97" s="224" t="str">
        <f>IF(ROUND(BS!H21,0)=ROUND(SUM(BS!H16:H20),0),"OK","ERROR")</f>
        <v>OK</v>
      </c>
      <c r="I97" s="262"/>
      <c r="J97" s="215" t="str">
        <f>IF(ROUND(BS!J21,0)=ROUND(SUM(BS!J16:J20),0),"OK","ERROR")</f>
        <v>OK</v>
      </c>
      <c r="K97" s="215" t="str">
        <f>IF(ROUND(BS!K21,0)=ROUND(SUM(BS!K16:K20),0),"OK","ERROR")</f>
        <v>OK</v>
      </c>
      <c r="L97" s="215" t="str">
        <f>IF(ROUND(BS!L21,0)=ROUND(SUM(BS!L16:L20),0),"OK","ERROR")</f>
        <v>OK</v>
      </c>
      <c r="M97" s="215" t="str">
        <f>IF(ROUND(BS!M21,0)=ROUND(SUM(BS!M16:M20),0),"OK","ERROR")</f>
        <v>OK</v>
      </c>
      <c r="N97" s="224" t="str">
        <f>IF(ROUND(BS!N21,0)=ROUND(SUM(BS!N16:N20),0),"OK","ERROR")</f>
        <v>OK</v>
      </c>
      <c r="O97" s="262"/>
      <c r="P97" s="215" t="str">
        <f>IF(ROUND(BS!P21,0)=ROUND(SUM(BS!P16:P20),0),"OK","ERROR")</f>
        <v>OK</v>
      </c>
      <c r="Q97" s="215" t="str">
        <f>IF(ROUND(BS!Q21,0)=ROUND(SUM(BS!Q16:Q20),0),"OK","ERROR")</f>
        <v>OK</v>
      </c>
      <c r="R97" s="215" t="str">
        <f>IF(ROUND(BS!R21,0)=ROUND(SUM(BS!R16:R20),0),"OK","ERROR")</f>
        <v>OK</v>
      </c>
      <c r="S97" s="215" t="str">
        <f>IF(ROUND(BS!S21,0)=ROUND(SUM(BS!S16:S20),0),"OK","ERROR")</f>
        <v>OK</v>
      </c>
      <c r="T97" s="224" t="str">
        <f>IF(ROUND(BS!T21,0)=ROUND(SUM(BS!T16:T20),0),"OK","ERROR")</f>
        <v>OK</v>
      </c>
      <c r="U97" s="262"/>
      <c r="V97" s="215" t="str">
        <f>IF(ROUND(BS!V21,0)=ROUND(SUM(BS!V16:V20),0),"OK","ERROR")</f>
        <v>OK</v>
      </c>
      <c r="W97" s="215" t="str">
        <f>IF(ROUND(BS!W21,0)=ROUND(SUM(BS!W16:W20),0),"OK","ERROR")</f>
        <v>OK</v>
      </c>
      <c r="X97" s="215" t="str">
        <f>IF(ROUND(BS!X21,0)=ROUND(SUM(BS!X16:X20),0),"OK","ERROR")</f>
        <v>OK</v>
      </c>
      <c r="Y97" s="215" t="str">
        <f>IF(ROUND(BS!Y21,0)=ROUND(SUM(BS!Y16:Y20),0),"OK","ERROR")</f>
        <v>OK</v>
      </c>
      <c r="Z97" s="224" t="str">
        <f>IF(ROUND(BS!Z21,0)=ROUND(SUM(BS!Z16:Z20),0),"OK","ERROR")</f>
        <v>OK</v>
      </c>
      <c r="AA97" s="263"/>
      <c r="AB97" s="215" t="str">
        <f>IF(ROUND(BS!AB21,0)=ROUND(SUM(BS!AB16:AB20),0),"OK","ERROR")</f>
        <v>OK</v>
      </c>
      <c r="AC97" s="215" t="str">
        <f>IF(ROUND(BS!AC21,0)=ROUND(SUM(BS!AC16:AC20),0),"OK","ERROR")</f>
        <v>OK</v>
      </c>
      <c r="AD97" s="215" t="str">
        <f>IF(ROUND(BS!AD21,0)=ROUND(SUM(BS!AD16:AD20),0),"OK","ERROR")</f>
        <v>OK</v>
      </c>
      <c r="AE97" s="215" t="str">
        <f>IF(ROUND(BS!AE21,0)=ROUND(SUM(BS!AE16:AE20),0),"OK","ERROR")</f>
        <v>OK</v>
      </c>
      <c r="AF97" s="224" t="str">
        <f>IF(ROUND(BS!AF21,0)=ROUND(SUM(BS!AF16:AF20),0),"OK","ERROR")</f>
        <v>OK</v>
      </c>
      <c r="AG97" s="264"/>
      <c r="AH97" s="215" t="str">
        <f>IF(ROUND(BS!AH21,0)=ROUND(SUM(BS!AH16:AH20),0),"OK","ERROR")</f>
        <v>OK</v>
      </c>
      <c r="AI97" s="215" t="str">
        <f>IF(ROUND(BS!AI21,0)=ROUND(SUM(BS!AI16:AI20),0),"OK","ERROR")</f>
        <v>OK</v>
      </c>
      <c r="AJ97" s="215" t="str">
        <f>IF(ROUND(BS!AJ21,0)=ROUND(SUM(BS!AJ16:AJ20),0),"OK","ERROR")</f>
        <v>OK</v>
      </c>
      <c r="AK97" s="215" t="str">
        <f>IF(ROUND(BS!AK21,0)=ROUND(SUM(BS!AK16:AK20),0),"OK","ERROR")</f>
        <v>OK</v>
      </c>
      <c r="AL97" s="224" t="str">
        <f>IF(ROUND(BS!AL21,0)=ROUND(SUM(BS!AL16:AL20),0),"OK","ERROR")</f>
        <v>OK</v>
      </c>
      <c r="AM97" s="265"/>
      <c r="AN97" s="215" t="str">
        <f>IF(ROUND(BS!AN21,0)=ROUND(SUM(BS!AN16:AN20),0),"OK","ERROR")</f>
        <v>OK</v>
      </c>
      <c r="AO97" s="215" t="str">
        <f>IF(ROUND(BS!AO21,0)=ROUND(SUM(BS!AO16:AO20),0),"OK","ERROR")</f>
        <v>OK</v>
      </c>
      <c r="AP97" s="215" t="str">
        <f>IF(ROUND(BS!AP21,0)=ROUND(SUM(BS!AP16:AP20),0),"OK","ERROR")</f>
        <v>OK</v>
      </c>
      <c r="AQ97" s="215" t="str">
        <f>IF(ROUND(BS!AQ21,0)=ROUND(SUM(BS!AQ16:AQ20),0),"OK","ERROR")</f>
        <v>OK</v>
      </c>
      <c r="AR97" s="224" t="str">
        <f>IF(ROUND(BS!AR21,0)=ROUND(SUM(BS!AR16:AR20),0),"OK","ERROR")</f>
        <v>OK</v>
      </c>
      <c r="AS97" s="265"/>
      <c r="AT97" s="224" t="str">
        <f>IF(ROUND(BS!AT21,0)=ROUND(SUM(BS!AT16:AT20),0),"OK","ERROR")</f>
        <v>OK</v>
      </c>
      <c r="AU97" s="265"/>
      <c r="AV97" s="224" t="str">
        <f>IF(ROUND(BS!AV21,0)=ROUND(SUM(BS!AV16:AV20),0),"OK","ERROR")</f>
        <v>OK</v>
      </c>
      <c r="AW97" s="266"/>
      <c r="AX97" s="224" t="str">
        <f>IF(ROUND(BS!AX21,0)=ROUND(SUM(BS!AX16:AX20),0),"OK","ERROR")</f>
        <v>OK</v>
      </c>
    </row>
    <row r="98" spans="1:50" s="41" customFormat="1" ht="15" customHeight="1">
      <c r="A98" s="43"/>
      <c r="B98" s="136"/>
      <c r="C98" s="17"/>
      <c r="D98" s="206"/>
      <c r="E98" s="206"/>
      <c r="F98" s="206"/>
      <c r="G98" s="206"/>
      <c r="H98" s="217"/>
      <c r="I98" s="242"/>
      <c r="J98" s="206"/>
      <c r="K98" s="206"/>
      <c r="L98" s="206"/>
      <c r="M98" s="206"/>
      <c r="N98" s="217"/>
      <c r="O98" s="242"/>
      <c r="P98" s="206"/>
      <c r="Q98" s="206"/>
      <c r="R98" s="206"/>
      <c r="S98" s="206"/>
      <c r="T98" s="217"/>
      <c r="U98" s="242"/>
      <c r="V98" s="206"/>
      <c r="W98" s="206"/>
      <c r="X98" s="206"/>
      <c r="Y98" s="206"/>
      <c r="Z98" s="217"/>
      <c r="AA98" s="257"/>
      <c r="AB98" s="206"/>
      <c r="AC98" s="206"/>
      <c r="AD98" s="206"/>
      <c r="AE98" s="206"/>
      <c r="AF98" s="217"/>
      <c r="AG98" s="259"/>
      <c r="AH98" s="206"/>
      <c r="AI98" s="206"/>
      <c r="AJ98" s="206"/>
      <c r="AK98" s="206"/>
      <c r="AL98" s="217"/>
      <c r="AM98" s="261"/>
      <c r="AN98" s="206"/>
      <c r="AO98" s="206"/>
      <c r="AP98" s="206"/>
      <c r="AQ98" s="206"/>
      <c r="AR98" s="217"/>
      <c r="AS98" s="261"/>
      <c r="AT98" s="217"/>
      <c r="AU98" s="261"/>
      <c r="AV98" s="217"/>
      <c r="AW98" s="249"/>
      <c r="AX98" s="217"/>
    </row>
    <row r="99" spans="1:50" s="113" customFormat="1" ht="15" customHeight="1">
      <c r="A99" s="44" t="s">
        <v>41</v>
      </c>
      <c r="B99" s="45" t="s">
        <v>783</v>
      </c>
      <c r="C99" s="115"/>
      <c r="D99" s="206"/>
      <c r="E99" s="206"/>
      <c r="F99" s="206"/>
      <c r="G99" s="206"/>
      <c r="H99" s="217"/>
      <c r="I99" s="250"/>
      <c r="J99" s="206"/>
      <c r="K99" s="206"/>
      <c r="L99" s="206"/>
      <c r="M99" s="206"/>
      <c r="N99" s="217"/>
      <c r="O99" s="250"/>
      <c r="P99" s="206"/>
      <c r="Q99" s="206"/>
      <c r="R99" s="206"/>
      <c r="S99" s="206"/>
      <c r="T99" s="217"/>
      <c r="U99" s="250"/>
      <c r="V99" s="206"/>
      <c r="W99" s="206"/>
      <c r="X99" s="206"/>
      <c r="Y99" s="206"/>
      <c r="Z99" s="217"/>
      <c r="AA99" s="267"/>
      <c r="AB99" s="206"/>
      <c r="AC99" s="206"/>
      <c r="AD99" s="206"/>
      <c r="AE99" s="206"/>
      <c r="AF99" s="217"/>
      <c r="AG99" s="268"/>
      <c r="AH99" s="206"/>
      <c r="AI99" s="206"/>
      <c r="AJ99" s="206"/>
      <c r="AK99" s="206"/>
      <c r="AL99" s="217"/>
      <c r="AM99" s="267"/>
      <c r="AN99" s="206"/>
      <c r="AO99" s="206"/>
      <c r="AP99" s="206"/>
      <c r="AQ99" s="206"/>
      <c r="AR99" s="217"/>
      <c r="AS99" s="267"/>
      <c r="AT99" s="217"/>
      <c r="AU99" s="267"/>
      <c r="AV99" s="217"/>
      <c r="AW99" s="255"/>
      <c r="AX99" s="217"/>
    </row>
    <row r="100" spans="1:50" s="113" customFormat="1" ht="15" customHeight="1">
      <c r="A100" s="44"/>
      <c r="B100" s="127" t="s">
        <v>601</v>
      </c>
      <c r="C100" s="115"/>
      <c r="D100" s="206" t="str">
        <f>IF(ROUND(BS!D24,0)=ROUND(BS!D25-BS!D26,0),"OK","ERROR")</f>
        <v>ERROR</v>
      </c>
      <c r="E100" s="206" t="str">
        <f>IF(ROUND(BS!E24,0)=ROUND(BS!E25-BS!E26,0),"OK","ERROR")</f>
        <v>ERROR</v>
      </c>
      <c r="F100" s="206" t="str">
        <f>IF(ROUND(BS!F24,0)=ROUND(BS!F25-BS!F26,0),"OK","ERROR")</f>
        <v>ERROR</v>
      </c>
      <c r="G100" s="206" t="str">
        <f>IF(ROUND(BS!G24,0)=ROUND(BS!G25-BS!G26,0),"OK","ERROR")</f>
        <v>OK</v>
      </c>
      <c r="H100" s="217" t="str">
        <f>IF(ROUND(BS!H24,0)=ROUND(BS!H25-BS!H26,0),"OK","ERROR")</f>
        <v>OK</v>
      </c>
      <c r="I100" s="250"/>
      <c r="J100" s="206" t="str">
        <f>IF(ROUND(BS!J24,0)=ROUND(BS!J25-BS!J26,0),"OK","ERROR")</f>
        <v>ERROR</v>
      </c>
      <c r="K100" s="206" t="str">
        <f>IF(ROUND(BS!K24,0)=ROUND(BS!K25-BS!K26,0),"OK","ERROR")</f>
        <v>ERROR</v>
      </c>
      <c r="L100" s="206" t="str">
        <f>IF(ROUND(BS!L24,0)=ROUND(BS!L25-BS!L26,0),"OK","ERROR")</f>
        <v>ERROR</v>
      </c>
      <c r="M100" s="206" t="str">
        <f>IF(ROUND(BS!M24,0)=ROUND(BS!M25-BS!M26,0),"OK","ERROR")</f>
        <v>OK</v>
      </c>
      <c r="N100" s="217" t="str">
        <f>IF(ROUND(BS!N24,0)=ROUND(BS!N25-BS!N26,0),"OK","ERROR")</f>
        <v>OK</v>
      </c>
      <c r="O100" s="250"/>
      <c r="P100" s="206" t="str">
        <f>IF(ROUND(BS!P24,0)=ROUND(BS!P25-BS!P26,0),"OK","ERROR")</f>
        <v>ERROR</v>
      </c>
      <c r="Q100" s="206" t="str">
        <f>IF(ROUND(BS!Q24,0)=ROUND(BS!Q25-BS!Q26,0),"OK","ERROR")</f>
        <v>ERROR</v>
      </c>
      <c r="R100" s="206" t="str">
        <f>IF(ROUND(BS!R24,0)=ROUND(BS!R25-BS!R26,0),"OK","ERROR")</f>
        <v>ERROR</v>
      </c>
      <c r="S100" s="206" t="str">
        <f>IF(ROUND(BS!S24,0)=ROUND(BS!S25-BS!S26,0),"OK","ERROR")</f>
        <v>OK</v>
      </c>
      <c r="T100" s="217" t="str">
        <f>IF(ROUND(BS!T24,0)=ROUND(BS!T25-BS!T26,0),"OK","ERROR")</f>
        <v>OK</v>
      </c>
      <c r="U100" s="250"/>
      <c r="V100" s="206" t="str">
        <f>IF(ROUND(BS!V24,0)=ROUND(BS!V25-BS!V26,0),"OK","ERROR")</f>
        <v>ERROR</v>
      </c>
      <c r="W100" s="206" t="str">
        <f>IF(ROUND(BS!W24,0)=ROUND(BS!W25-BS!W26,0),"OK","ERROR")</f>
        <v>ERROR</v>
      </c>
      <c r="X100" s="206" t="str">
        <f>IF(ROUND(BS!X24,0)=ROUND(BS!X25-BS!X26,0),"OK","ERROR")</f>
        <v>ERROR</v>
      </c>
      <c r="Y100" s="206" t="str">
        <f>IF(ROUND(BS!Y24,0)=ROUND(BS!Y25-BS!Y26,0),"OK","ERROR")</f>
        <v>OK</v>
      </c>
      <c r="Z100" s="217" t="str">
        <f>IF(ROUND(BS!Z24,0)=ROUND(BS!Z25-BS!Z26,0),"OK","ERROR")</f>
        <v>OK</v>
      </c>
      <c r="AA100" s="267"/>
      <c r="AB100" s="206" t="str">
        <f>IF(ROUND(BS!AB24,0)=ROUND(BS!AB25-BS!AB26,0),"OK","ERROR")</f>
        <v>ERROR</v>
      </c>
      <c r="AC100" s="206" t="str">
        <f>IF(ROUND(BS!AC24,0)=ROUND(BS!AC25-BS!AC26,0),"OK","ERROR")</f>
        <v>ERROR</v>
      </c>
      <c r="AD100" s="206" t="str">
        <f>IF(ROUND(BS!AD24,0)=ROUND(BS!AD25-BS!AD26,0),"OK","ERROR")</f>
        <v>ERROR</v>
      </c>
      <c r="AE100" s="206" t="str">
        <f>IF(ROUND(BS!AE24,0)=ROUND(BS!AE25-BS!AE26,0),"OK","ERROR")</f>
        <v>OK</v>
      </c>
      <c r="AF100" s="217" t="str">
        <f>IF(ROUND(BS!AF24,0)=ROUND(BS!AF25-BS!AF26,0),"OK","ERROR")</f>
        <v>OK</v>
      </c>
      <c r="AG100" s="268"/>
      <c r="AH100" s="206" t="str">
        <f>IF(ROUND(BS!AH24,0)=ROUND(BS!AH25-BS!AH26,0),"OK","ERROR")</f>
        <v>ERROR</v>
      </c>
      <c r="AI100" s="206" t="str">
        <f>IF(ROUND(BS!AI24,0)=ROUND(BS!AI25-BS!AI26,0),"OK","ERROR")</f>
        <v>ERROR</v>
      </c>
      <c r="AJ100" s="206" t="str">
        <f>IF(ROUND(BS!AJ24,0)=ROUND(BS!AJ25-BS!AJ26,0),"OK","ERROR")</f>
        <v>ERROR</v>
      </c>
      <c r="AK100" s="206" t="str">
        <f>IF(ROUND(BS!AK24,0)=ROUND(BS!AK25-BS!AK26,0),"OK","ERROR")</f>
        <v>ERROR</v>
      </c>
      <c r="AL100" s="217" t="str">
        <f>IF(ROUND(BS!AL24,0)=ROUND(BS!AL25-BS!AL26,0),"OK","ERROR")</f>
        <v>ERROR</v>
      </c>
      <c r="AM100" s="267"/>
      <c r="AN100" s="206" t="str">
        <f>IF(ROUND(BS!AN24,0)=ROUND(BS!AN25-BS!AN26,0),"OK","ERROR")</f>
        <v>ERROR</v>
      </c>
      <c r="AO100" s="206" t="str">
        <f>IF(ROUND(BS!AO24,0)=ROUND(BS!AO25-BS!AO26,0),"OK","ERROR")</f>
        <v>ERROR</v>
      </c>
      <c r="AP100" s="206" t="str">
        <f>IF(ROUND(BS!AP24,0)=ROUND(BS!AP25-BS!AP26,0),"OK","ERROR")</f>
        <v>ERROR</v>
      </c>
      <c r="AQ100" s="206" t="str">
        <f>IF(ROUND(BS!AQ24,0)=ROUND(BS!AQ25-BS!AQ26,0),"OK","ERROR")</f>
        <v>ERROR</v>
      </c>
      <c r="AR100" s="217" t="str">
        <f>IF(ROUND(BS!AR24,0)=ROUND(BS!AR25-BS!AR26,0),"OK","ERROR")</f>
        <v>ERROR</v>
      </c>
      <c r="AS100" s="267"/>
      <c r="AT100" s="217" t="str">
        <f>IF(ROUND(BS!AT24,0)=ROUND(BS!AT25-BS!AT26,0),"OK","ERROR")</f>
        <v>ERROR</v>
      </c>
      <c r="AU100" s="267"/>
      <c r="AV100" s="217" t="str">
        <f>IF(ROUND(BS!AV24,0)=ROUND(BS!AV25-BS!AV26,0),"OK","ERROR")</f>
        <v>ERROR</v>
      </c>
      <c r="AW100" s="255"/>
      <c r="AX100" s="217" t="str">
        <f>IF(ROUND(BS!AX24,0)=ROUND(BS!AX25-BS!AX26,0),"OK","ERROR")</f>
        <v>OK</v>
      </c>
    </row>
    <row r="101" spans="1:50" s="113" customFormat="1" ht="15" customHeight="1">
      <c r="A101" s="44"/>
      <c r="B101" s="127" t="s">
        <v>605</v>
      </c>
      <c r="C101" s="115"/>
      <c r="D101" s="206" t="str">
        <f>IF(ROUND(BS!D27,0)=ROUND(SUM(BS!D27:D29),0),"OK","ERROR")</f>
        <v>ERROR</v>
      </c>
      <c r="E101" s="206" t="str">
        <f>IF(ROUND(BS!E27,0)=ROUND(SUM(BS!E27:E29),0),"OK","ERROR")</f>
        <v>ERROR</v>
      </c>
      <c r="F101" s="206" t="str">
        <f>IF(ROUND(BS!F27,0)=ROUND(SUM(BS!F27:F29),0),"OK","ERROR")</f>
        <v>ERROR</v>
      </c>
      <c r="G101" s="206" t="str">
        <f>IF(ROUND(BS!G27,0)=ROUND(SUM(BS!G27:G29),0),"OK","ERROR")</f>
        <v>ERROR</v>
      </c>
      <c r="H101" s="217" t="str">
        <f>IF(ROUND(BS!H27,0)=ROUND(SUM(BS!H27:H29),0),"OK","ERROR")</f>
        <v>ERROR</v>
      </c>
      <c r="I101" s="250"/>
      <c r="J101" s="206" t="str">
        <f>IF(ROUND(BS!J27,0)=ROUND(SUM(BS!J27:J29),0),"OK","ERROR")</f>
        <v>ERROR</v>
      </c>
      <c r="K101" s="206" t="str">
        <f>IF(ROUND(BS!K27,0)=ROUND(SUM(BS!K27:K29),0),"OK","ERROR")</f>
        <v>ERROR</v>
      </c>
      <c r="L101" s="206" t="str">
        <f>IF(ROUND(BS!L27,0)=ROUND(SUM(BS!L27:L29),0),"OK","ERROR")</f>
        <v>ERROR</v>
      </c>
      <c r="M101" s="206" t="str">
        <f>IF(ROUND(BS!M27,0)=ROUND(SUM(BS!M27:M29),0),"OK","ERROR")</f>
        <v>ERROR</v>
      </c>
      <c r="N101" s="217" t="str">
        <f>IF(ROUND(BS!N27,0)=ROUND(SUM(BS!N27:N29),0),"OK","ERROR")</f>
        <v>ERROR</v>
      </c>
      <c r="O101" s="250"/>
      <c r="P101" s="206" t="str">
        <f>IF(ROUND(BS!P27,0)=ROUND(SUM(BS!P27:P29),0),"OK","ERROR")</f>
        <v>ERROR</v>
      </c>
      <c r="Q101" s="206" t="str">
        <f>IF(ROUND(BS!Q27,0)=ROUND(SUM(BS!Q27:Q29),0),"OK","ERROR")</f>
        <v>ERROR</v>
      </c>
      <c r="R101" s="206" t="str">
        <f>IF(ROUND(BS!R27,0)=ROUND(SUM(BS!R27:R29),0),"OK","ERROR")</f>
        <v>ERROR</v>
      </c>
      <c r="S101" s="206" t="str">
        <f>IF(ROUND(BS!S27,0)=ROUND(SUM(BS!S27:S29),0),"OK","ERROR")</f>
        <v>ERROR</v>
      </c>
      <c r="T101" s="217" t="str">
        <f>IF(ROUND(BS!T27,0)=ROUND(SUM(BS!T27:T29),0),"OK","ERROR")</f>
        <v>ERROR</v>
      </c>
      <c r="U101" s="250"/>
      <c r="V101" s="206" t="str">
        <f>IF(ROUND(BS!V27,0)=ROUND(SUM(BS!V27:V29),0),"OK","ERROR")</f>
        <v>ERROR</v>
      </c>
      <c r="W101" s="206" t="str">
        <f>IF(ROUND(BS!W27,0)=ROUND(SUM(BS!W27:W29),0),"OK","ERROR")</f>
        <v>ERROR</v>
      </c>
      <c r="X101" s="206" t="str">
        <f>IF(ROUND(BS!X27,0)=ROUND(SUM(BS!X27:X29),0),"OK","ERROR")</f>
        <v>ERROR</v>
      </c>
      <c r="Y101" s="206" t="str">
        <f>IF(ROUND(BS!Y27,0)=ROUND(SUM(BS!Y27:Y29),0),"OK","ERROR")</f>
        <v>ERROR</v>
      </c>
      <c r="Z101" s="217" t="str">
        <f>IF(ROUND(BS!Z27,0)=ROUND(SUM(BS!Z27:Z29),0),"OK","ERROR")</f>
        <v>ERROR</v>
      </c>
      <c r="AA101" s="267"/>
      <c r="AB101" s="206" t="str">
        <f>IF(ROUND(BS!AB27,0)=ROUND(SUM(BS!AB27:AB29),0),"OK","ERROR")</f>
        <v>ERROR</v>
      </c>
      <c r="AC101" s="206" t="str">
        <f>IF(ROUND(BS!AC27,0)=ROUND(SUM(BS!AC27:AC29),0),"OK","ERROR")</f>
        <v>ERROR</v>
      </c>
      <c r="AD101" s="206" t="str">
        <f>IF(ROUND(BS!AD27,0)=ROUND(SUM(BS!AD27:AD29),0),"OK","ERROR")</f>
        <v>ERROR</v>
      </c>
      <c r="AE101" s="206" t="str">
        <f>IF(ROUND(BS!AE27,0)=ROUND(SUM(BS!AE27:AE29),0),"OK","ERROR")</f>
        <v>ERROR</v>
      </c>
      <c r="AF101" s="217" t="str">
        <f>IF(ROUND(BS!AF27,0)=ROUND(SUM(BS!AF27:AF29),0),"OK","ERROR")</f>
        <v>ERROR</v>
      </c>
      <c r="AG101" s="268"/>
      <c r="AH101" s="206" t="str">
        <f>IF(ROUND(BS!AH27,0)=ROUND(SUM(BS!AH27:AH29),0),"OK","ERROR")</f>
        <v>ERROR</v>
      </c>
      <c r="AI101" s="206" t="str">
        <f>IF(ROUND(BS!AI27,0)=ROUND(SUM(BS!AI27:AI29),0),"OK","ERROR")</f>
        <v>ERROR</v>
      </c>
      <c r="AJ101" s="206" t="str">
        <f>IF(ROUND(BS!AJ27,0)=ROUND(SUM(BS!AJ27:AJ29),0),"OK","ERROR")</f>
        <v>ERROR</v>
      </c>
      <c r="AK101" s="206" t="str">
        <f>IF(ROUND(BS!AK27,0)=ROUND(SUM(BS!AK27:AK29),0),"OK","ERROR")</f>
        <v>ERROR</v>
      </c>
      <c r="AL101" s="217" t="str">
        <f>IF(ROUND(BS!AL27,0)=ROUND(SUM(BS!AL27:AL29),0),"OK","ERROR")</f>
        <v>ERROR</v>
      </c>
      <c r="AM101" s="267"/>
      <c r="AN101" s="206" t="str">
        <f>IF(ROUND(BS!AN27,0)=ROUND(SUM(BS!AN27:AN29),0),"OK","ERROR")</f>
        <v>ERROR</v>
      </c>
      <c r="AO101" s="206" t="str">
        <f>IF(ROUND(BS!AO27,0)=ROUND(SUM(BS!AO27:AO29),0),"OK","ERROR")</f>
        <v>ERROR</v>
      </c>
      <c r="AP101" s="206" t="str">
        <f>IF(ROUND(BS!AP27,0)=ROUND(SUM(BS!AP27:AP29),0),"OK","ERROR")</f>
        <v>ERROR</v>
      </c>
      <c r="AQ101" s="206" t="str">
        <f>IF(ROUND(BS!AQ27,0)=ROUND(SUM(BS!AQ27:AQ29),0),"OK","ERROR")</f>
        <v>ERROR</v>
      </c>
      <c r="AR101" s="217" t="str">
        <f>IF(ROUND(BS!AR27,0)=ROUND(SUM(BS!AR27:AR29),0),"OK","ERROR")</f>
        <v>ERROR</v>
      </c>
      <c r="AS101" s="267"/>
      <c r="AT101" s="217" t="str">
        <f>IF(ROUND(BS!AT27,0)=ROUND(SUM(BS!AT27:AT29),0),"OK","ERROR")</f>
        <v>ERROR</v>
      </c>
      <c r="AU101" s="267"/>
      <c r="AV101" s="217" t="str">
        <f>IF(ROUND(BS!AV27,0)=ROUND(SUM(BS!AV27:AV29),0),"OK","ERROR")</f>
        <v>ERROR</v>
      </c>
      <c r="AW101" s="255"/>
      <c r="AX101" s="217" t="str">
        <f>IF(ROUND(BS!AX27,0)=ROUND(SUM(BS!AX27:AX29),0),"OK","ERROR")</f>
        <v>OK</v>
      </c>
    </row>
    <row r="102" spans="1:50" s="41" customFormat="1" ht="15" customHeight="1">
      <c r="A102" s="43"/>
      <c r="B102" s="138" t="s">
        <v>788</v>
      </c>
      <c r="C102" s="17"/>
      <c r="D102" s="215" t="str">
        <f>IF(ROUND(BS!D31,0)=ROUND(SUM(BS!D24,BS!D27,BS!D30),0),"OK","ERROR")</f>
        <v>OK</v>
      </c>
      <c r="E102" s="215" t="str">
        <f>IF(ROUND(BS!E31,0)=ROUND(SUM(BS!E24,BS!E27,BS!E30),0),"OK","ERROR")</f>
        <v>OK</v>
      </c>
      <c r="F102" s="215" t="str">
        <f>IF(ROUND(BS!F31,0)=ROUND(SUM(BS!F24,BS!F27,BS!F30),0),"OK","ERROR")</f>
        <v>OK</v>
      </c>
      <c r="G102" s="215" t="str">
        <f>IF(ROUND(BS!G31,0)=ROUND(SUM(BS!G24,BS!G27,BS!G30),0),"OK","ERROR")</f>
        <v>OK</v>
      </c>
      <c r="H102" s="223" t="str">
        <f>IF(ROUND(BS!H31,0)=ROUND(SUM(BS!H24,BS!H27,BS!H30),0),"OK","ERROR")</f>
        <v>OK</v>
      </c>
      <c r="I102" s="242"/>
      <c r="J102" s="215" t="str">
        <f>IF(ROUND(BS!J31,0)=ROUND(SUM(BS!J24,BS!J27,BS!J30),0),"OK","ERROR")</f>
        <v>OK</v>
      </c>
      <c r="K102" s="215" t="str">
        <f>IF(ROUND(BS!K31,0)=ROUND(SUM(BS!K24,BS!K27,BS!K30),0),"OK","ERROR")</f>
        <v>OK</v>
      </c>
      <c r="L102" s="215" t="str">
        <f>IF(ROUND(BS!L31,0)=ROUND(SUM(BS!L24,BS!L27,BS!L30),0),"OK","ERROR")</f>
        <v>OK</v>
      </c>
      <c r="M102" s="215" t="str">
        <f>IF(ROUND(BS!M31,0)=ROUND(SUM(BS!M24,BS!M27,BS!M30),0),"OK","ERROR")</f>
        <v>OK</v>
      </c>
      <c r="N102" s="223" t="str">
        <f>IF(ROUND(BS!N31,0)=ROUND(SUM(BS!N24,BS!N27,BS!N30),0),"OK","ERROR")</f>
        <v>OK</v>
      </c>
      <c r="O102" s="242"/>
      <c r="P102" s="215" t="str">
        <f>IF(ROUND(BS!P31,0)=ROUND(SUM(BS!P24,BS!P27,BS!P30),0),"OK","ERROR")</f>
        <v>OK</v>
      </c>
      <c r="Q102" s="215" t="str">
        <f>IF(ROUND(BS!Q31,0)=ROUND(SUM(BS!Q24,BS!Q27,BS!Q30),0),"OK","ERROR")</f>
        <v>OK</v>
      </c>
      <c r="R102" s="215" t="str">
        <f>IF(ROUND(BS!R31,0)=ROUND(SUM(BS!R24,BS!R27,BS!R30),0),"OK","ERROR")</f>
        <v>OK</v>
      </c>
      <c r="S102" s="215" t="str">
        <f>IF(ROUND(BS!S31,0)=ROUND(SUM(BS!S24,BS!S27,BS!S30),0),"OK","ERROR")</f>
        <v>OK</v>
      </c>
      <c r="T102" s="223" t="str">
        <f>IF(ROUND(BS!T31,0)=ROUND(SUM(BS!T24,BS!T27,BS!T30),0),"OK","ERROR")</f>
        <v>OK</v>
      </c>
      <c r="U102" s="242"/>
      <c r="V102" s="215" t="str">
        <f>IF(ROUND(BS!V31,0)=ROUND(SUM(BS!V24,BS!V27,BS!V30),0),"OK","ERROR")</f>
        <v>OK</v>
      </c>
      <c r="W102" s="215" t="str">
        <f>IF(ROUND(BS!W31,0)=ROUND(SUM(BS!W24,BS!W27,BS!W30),0),"OK","ERROR")</f>
        <v>OK</v>
      </c>
      <c r="X102" s="215" t="str">
        <f>IF(ROUND(BS!X31,0)=ROUND(SUM(BS!X24,BS!X27,BS!X30),0),"OK","ERROR")</f>
        <v>OK</v>
      </c>
      <c r="Y102" s="215" t="str">
        <f>IF(ROUND(BS!Y31,0)=ROUND(SUM(BS!Y24,BS!Y27,BS!Y30),0),"OK","ERROR")</f>
        <v>OK</v>
      </c>
      <c r="Z102" s="223" t="str">
        <f>IF(ROUND(BS!Z31,0)=ROUND(SUM(BS!Z24,BS!Z27,BS!Z30),0),"OK","ERROR")</f>
        <v>OK</v>
      </c>
      <c r="AA102" s="257"/>
      <c r="AB102" s="215" t="str">
        <f>IF(ROUND(BS!AB31,0)=ROUND(SUM(BS!AB24,BS!AB27,BS!AB30),0),"OK","ERROR")</f>
        <v>OK</v>
      </c>
      <c r="AC102" s="215" t="str">
        <f>IF(ROUND(BS!AC31,0)=ROUND(SUM(BS!AC24,BS!AC27,BS!AC30),0),"OK","ERROR")</f>
        <v>OK</v>
      </c>
      <c r="AD102" s="215" t="str">
        <f>IF(ROUND(BS!AD31,0)=ROUND(SUM(BS!AD24,BS!AD27,BS!AD30),0),"OK","ERROR")</f>
        <v>OK</v>
      </c>
      <c r="AE102" s="215" t="str">
        <f>IF(ROUND(BS!AE31,0)=ROUND(SUM(BS!AE24,BS!AE27,BS!AE30),0),"OK","ERROR")</f>
        <v>OK</v>
      </c>
      <c r="AF102" s="223" t="str">
        <f>IF(ROUND(BS!AF31,0)=ROUND(SUM(BS!AF24,BS!AF27,BS!AF30),0),"OK","ERROR")</f>
        <v>OK</v>
      </c>
      <c r="AG102" s="259"/>
      <c r="AH102" s="215" t="str">
        <f>IF(ROUND(BS!AH31,0)=ROUND(SUM(BS!AH24,BS!AH27,BS!AH30),0),"OK","ERROR")</f>
        <v>OK</v>
      </c>
      <c r="AI102" s="215" t="str">
        <f>IF(ROUND(BS!AI31,0)=ROUND(SUM(BS!AI24,BS!AI27,BS!AI30),0),"OK","ERROR")</f>
        <v>OK</v>
      </c>
      <c r="AJ102" s="215" t="str">
        <f>IF(ROUND(BS!AJ31,0)=ROUND(SUM(BS!AJ24,BS!AJ27,BS!AJ30),0),"OK","ERROR")</f>
        <v>ERROR</v>
      </c>
      <c r="AK102" s="215" t="str">
        <f>IF(ROUND(BS!AK31,0)=ROUND(SUM(BS!AK24,BS!AK27,BS!AK30),0),"OK","ERROR")</f>
        <v>ERROR</v>
      </c>
      <c r="AL102" s="223" t="str">
        <f>IF(ROUND(BS!AL31,0)=ROUND(SUM(BS!AL24,BS!AL27,BS!AL30),0),"OK","ERROR")</f>
        <v>ERROR</v>
      </c>
      <c r="AM102" s="269"/>
      <c r="AN102" s="215" t="str">
        <f>IF(ROUND(BS!AN31,0)=ROUND(SUM(BS!AN24,BS!AN27,BS!AN30),0),"OK","ERROR")</f>
        <v>ERROR</v>
      </c>
      <c r="AO102" s="215" t="str">
        <f>IF(ROUND(BS!AO31,0)=ROUND(SUM(BS!AO24,BS!AO27,BS!AO30),0),"OK","ERROR")</f>
        <v>ERROR</v>
      </c>
      <c r="AP102" s="215" t="str">
        <f>IF(ROUND(BS!AP31,0)=ROUND(SUM(BS!AP24,BS!AP27,BS!AP30),0),"OK","ERROR")</f>
        <v>ERROR</v>
      </c>
      <c r="AQ102" s="215" t="str">
        <f>IF(ROUND(BS!AQ31,0)=ROUND(SUM(BS!AQ24,BS!AQ27,BS!AQ30),0),"OK","ERROR")</f>
        <v>ERROR</v>
      </c>
      <c r="AR102" s="223" t="str">
        <f>IF(ROUND(BS!AR31,0)=ROUND(SUM(BS!AR24,BS!AR27,BS!AR30),0),"OK","ERROR")</f>
        <v>ERROR</v>
      </c>
      <c r="AS102" s="269"/>
      <c r="AT102" s="223" t="str">
        <f>IF(ROUND(BS!AT31,0)=ROUND(SUM(BS!AT24,BS!AT27,BS!AT30),0),"OK","ERROR")</f>
        <v>ERROR</v>
      </c>
      <c r="AU102" s="269"/>
      <c r="AV102" s="223" t="str">
        <f>IF(ROUND(BS!AV31,0)=ROUND(SUM(BS!AV24,BS!AV27,BS!AV30),0),"OK","ERROR")</f>
        <v>ERROR</v>
      </c>
      <c r="AW102" s="249"/>
      <c r="AX102" s="223" t="str">
        <f>IF(ROUND(BS!AX31,0)=ROUND(SUM(BS!AX24,BS!AX27,BS!AX30),0),"OK","ERROR")</f>
        <v>OK</v>
      </c>
    </row>
    <row r="103" spans="1:50" s="113" customFormat="1" ht="15" customHeight="1" thickBot="1">
      <c r="B103" s="140" t="s">
        <v>789</v>
      </c>
      <c r="C103" s="115"/>
      <c r="D103" s="215" t="str">
        <f>IF(ROUND(SUM(BS!D21,BS!D31),0)=ROUND(BS!D32,0),"OK","ERROR")</f>
        <v>OK</v>
      </c>
      <c r="E103" s="215" t="str">
        <f>IF(ROUND(SUM(BS!E21,BS!E31),0)=ROUND(BS!E32,0),"OK","ERROR")</f>
        <v>OK</v>
      </c>
      <c r="F103" s="215" t="str">
        <f>IF(ROUND(SUM(BS!F21,BS!F31),0)=ROUND(BS!F32,0),"OK","ERROR")</f>
        <v>OK</v>
      </c>
      <c r="G103" s="215" t="str">
        <f>IF(ROUND(SUM(BS!G21,BS!G31),0)=ROUND(BS!G32,0),"OK","ERROR")</f>
        <v>OK</v>
      </c>
      <c r="H103" s="232" t="str">
        <f>IF(ROUND(SUM(BS!H21,BS!H31),0)=ROUND(BS!H32,0),"OK","ERROR")</f>
        <v>OK</v>
      </c>
      <c r="I103" s="250"/>
      <c r="J103" s="215" t="str">
        <f>IF(ROUND(SUM(BS!J21,BS!J31),0)=ROUND(BS!J32,0),"OK","ERROR")</f>
        <v>OK</v>
      </c>
      <c r="K103" s="215" t="str">
        <f>IF(ROUND(SUM(BS!K21,BS!K31),0)=ROUND(BS!K32,0),"OK","ERROR")</f>
        <v>OK</v>
      </c>
      <c r="L103" s="215" t="str">
        <f>IF(ROUND(SUM(BS!L21,BS!L31),0)=ROUND(BS!L32,0),"OK","ERROR")</f>
        <v>OK</v>
      </c>
      <c r="M103" s="215" t="str">
        <f>IF(ROUND(SUM(BS!M21,BS!M31),0)=ROUND(BS!M32,0),"OK","ERROR")</f>
        <v>OK</v>
      </c>
      <c r="N103" s="232" t="str">
        <f>IF(ROUND(SUM(BS!N21,BS!N31),0)=ROUND(BS!N32,0),"OK","ERROR")</f>
        <v>OK</v>
      </c>
      <c r="O103" s="250"/>
      <c r="P103" s="215" t="str">
        <f>IF(ROUND(SUM(BS!P21,BS!P31),0)=ROUND(BS!P32,0),"OK","ERROR")</f>
        <v>OK</v>
      </c>
      <c r="Q103" s="215" t="str">
        <f>IF(ROUND(SUM(BS!Q21,BS!Q31),0)=ROUND(BS!Q32,0),"OK","ERROR")</f>
        <v>OK</v>
      </c>
      <c r="R103" s="215" t="str">
        <f>IF(ROUND(SUM(BS!R21,BS!R31),0)=ROUND(BS!R32,0),"OK","ERROR")</f>
        <v>OK</v>
      </c>
      <c r="S103" s="215" t="str">
        <f>IF(ROUND(SUM(BS!S21,BS!S31),0)=ROUND(BS!S32,0),"OK","ERROR")</f>
        <v>OK</v>
      </c>
      <c r="T103" s="232" t="str">
        <f>IF(ROUND(SUM(BS!T21,BS!T31),0)=ROUND(BS!T32,0),"OK","ERROR")</f>
        <v>OK</v>
      </c>
      <c r="U103" s="250"/>
      <c r="V103" s="215" t="str">
        <f>IF(ROUND(SUM(BS!V21,BS!V31),0)=ROUND(BS!V32,0),"OK","ERROR")</f>
        <v>OK</v>
      </c>
      <c r="W103" s="215" t="str">
        <f>IF(ROUND(SUM(BS!W21,BS!W31),0)=ROUND(BS!W32,0),"OK","ERROR")</f>
        <v>OK</v>
      </c>
      <c r="X103" s="215" t="str">
        <f>IF(ROUND(SUM(BS!X21,BS!X31),0)=ROUND(BS!X32,0),"OK","ERROR")</f>
        <v>OK</v>
      </c>
      <c r="Y103" s="215" t="str">
        <f>IF(ROUND(SUM(BS!Y21,BS!Y31),0)=ROUND(BS!Y32,0),"OK","ERROR")</f>
        <v>OK</v>
      </c>
      <c r="Z103" s="232" t="str">
        <f>IF(ROUND(SUM(BS!Z21,BS!Z31),0)=ROUND(BS!Z32,0),"OK","ERROR")</f>
        <v>OK</v>
      </c>
      <c r="AA103" s="270"/>
      <c r="AB103" s="215" t="str">
        <f>IF(ROUND(SUM(BS!AB21,BS!AB31),0)=ROUND(BS!AB32,0),"OK","ERROR")</f>
        <v>OK</v>
      </c>
      <c r="AC103" s="215" t="str">
        <f>IF(ROUND(SUM(BS!AC21,BS!AC31),0)=ROUND(BS!AC32,0),"OK","ERROR")</f>
        <v>OK</v>
      </c>
      <c r="AD103" s="215" t="str">
        <f>IF(ROUND(SUM(BS!AD21,BS!AD31),0)=ROUND(BS!AD32,0),"OK","ERROR")</f>
        <v>OK</v>
      </c>
      <c r="AE103" s="215" t="str">
        <f>IF(ROUND(SUM(BS!AE21,BS!AE31),0)=ROUND(BS!AE32,0),"OK","ERROR")</f>
        <v>OK</v>
      </c>
      <c r="AF103" s="232" t="str">
        <f>IF(ROUND(SUM(BS!AF21,BS!AF31),0)=ROUND(BS!AF32,0),"OK","ERROR")</f>
        <v>OK</v>
      </c>
      <c r="AG103" s="268"/>
      <c r="AH103" s="215" t="str">
        <f>IF(ROUND(SUM(BS!AH21,BS!AH31),0)=ROUND(BS!AH32,0),"OK","ERROR")</f>
        <v>OK</v>
      </c>
      <c r="AI103" s="215" t="str">
        <f>IF(ROUND(SUM(BS!AI21,BS!AI31),0)=ROUND(BS!AI32,0),"OK","ERROR")</f>
        <v>OK</v>
      </c>
      <c r="AJ103" s="215" t="str">
        <f>IF(ROUND(SUM(BS!AJ21,BS!AJ31),0)=ROUND(BS!AJ32,0),"OK","ERROR")</f>
        <v>OK</v>
      </c>
      <c r="AK103" s="215" t="str">
        <f>IF(ROUND(SUM(BS!AK21,BS!AK31),0)=ROUND(BS!AK32,0),"OK","ERROR")</f>
        <v>OK</v>
      </c>
      <c r="AL103" s="232" t="str">
        <f>IF(ROUND(SUM(BS!AL21,BS!AL31),0)=ROUND(BS!AL32,0),"OK","ERROR")</f>
        <v>OK</v>
      </c>
      <c r="AM103" s="267"/>
      <c r="AN103" s="215" t="str">
        <f>IF(ROUND(SUM(BS!AN21,BS!AN31),0)=ROUND(BS!AN32,0),"OK","ERROR")</f>
        <v>OK</v>
      </c>
      <c r="AO103" s="215" t="str">
        <f>IF(ROUND(SUM(BS!AO21,BS!AO31),0)=ROUND(BS!AO32,0),"OK","ERROR")</f>
        <v>OK</v>
      </c>
      <c r="AP103" s="215" t="str">
        <f>IF(ROUND(SUM(BS!AP21,BS!AP31),0)=ROUND(BS!AP32,0),"OK","ERROR")</f>
        <v>OK</v>
      </c>
      <c r="AQ103" s="215" t="str">
        <f>IF(ROUND(SUM(BS!AQ21,BS!AQ31),0)=ROUND(BS!AQ32,0),"OK","ERROR")</f>
        <v>OK</v>
      </c>
      <c r="AR103" s="232" t="str">
        <f>IF(ROUND(SUM(BS!AR21,BS!AR31),0)=ROUND(BS!AR32,0),"OK","ERROR")</f>
        <v>OK</v>
      </c>
      <c r="AS103" s="267"/>
      <c r="AT103" s="232" t="str">
        <f>IF(ROUND(SUM(BS!AT21,BS!AT31),0)=ROUND(BS!AT32,0),"OK","ERROR")</f>
        <v>OK</v>
      </c>
      <c r="AU103" s="267"/>
      <c r="AV103" s="232" t="str">
        <f>IF(ROUND(SUM(BS!AV21,BS!AV31),0)=ROUND(BS!AV32,0),"OK","ERROR")</f>
        <v>OK</v>
      </c>
      <c r="AW103" s="255"/>
      <c r="AX103" s="232" t="str">
        <f>IF(ROUND(SUM(BS!AX21,BS!AX31),0)=ROUND(BS!AX32,0),"OK","ERROR")</f>
        <v>OK</v>
      </c>
    </row>
    <row r="104" spans="1:50" s="147" customFormat="1" ht="15" customHeight="1" thickTop="1">
      <c r="A104" s="142"/>
      <c r="B104" s="143"/>
      <c r="C104" s="27"/>
      <c r="D104" s="206"/>
      <c r="E104" s="206"/>
      <c r="F104" s="206"/>
      <c r="G104" s="206"/>
      <c r="H104" s="217"/>
      <c r="I104" s="271"/>
      <c r="J104" s="206"/>
      <c r="K104" s="206"/>
      <c r="L104" s="206"/>
      <c r="M104" s="206"/>
      <c r="N104" s="217"/>
      <c r="O104" s="271"/>
      <c r="P104" s="206"/>
      <c r="Q104" s="206"/>
      <c r="R104" s="206"/>
      <c r="S104" s="206"/>
      <c r="T104" s="217"/>
      <c r="U104" s="271"/>
      <c r="V104" s="206"/>
      <c r="W104" s="206"/>
      <c r="X104" s="206"/>
      <c r="Y104" s="206"/>
      <c r="Z104" s="217"/>
      <c r="AA104" s="272"/>
      <c r="AB104" s="206"/>
      <c r="AC104" s="206"/>
      <c r="AD104" s="206"/>
      <c r="AE104" s="206"/>
      <c r="AF104" s="217"/>
      <c r="AG104" s="273"/>
      <c r="AH104" s="206"/>
      <c r="AI104" s="206"/>
      <c r="AJ104" s="206"/>
      <c r="AK104" s="206"/>
      <c r="AL104" s="217"/>
      <c r="AM104" s="274"/>
      <c r="AN104" s="206"/>
      <c r="AO104" s="206"/>
      <c r="AP104" s="206"/>
      <c r="AQ104" s="206"/>
      <c r="AR104" s="217"/>
      <c r="AS104" s="274"/>
      <c r="AT104" s="217"/>
      <c r="AU104" s="274"/>
      <c r="AV104" s="217"/>
      <c r="AW104" s="275"/>
      <c r="AX104" s="217"/>
    </row>
    <row r="105" spans="1:50" s="113" customFormat="1" ht="15" customHeight="1">
      <c r="A105" s="44"/>
      <c r="B105" s="64" t="s">
        <v>790</v>
      </c>
      <c r="C105" s="115"/>
      <c r="D105" s="206"/>
      <c r="E105" s="206"/>
      <c r="F105" s="206"/>
      <c r="G105" s="206"/>
      <c r="H105" s="217"/>
      <c r="I105" s="250"/>
      <c r="J105" s="206"/>
      <c r="K105" s="206"/>
      <c r="L105" s="206"/>
      <c r="M105" s="206"/>
      <c r="N105" s="217"/>
      <c r="O105" s="250"/>
      <c r="P105" s="206"/>
      <c r="Q105" s="206"/>
      <c r="R105" s="206"/>
      <c r="S105" s="206"/>
      <c r="T105" s="217"/>
      <c r="U105" s="250"/>
      <c r="V105" s="206"/>
      <c r="W105" s="206"/>
      <c r="X105" s="206"/>
      <c r="Y105" s="206"/>
      <c r="Z105" s="217"/>
      <c r="AA105" s="251"/>
      <c r="AB105" s="206"/>
      <c r="AC105" s="206"/>
      <c r="AD105" s="206"/>
      <c r="AE105" s="206"/>
      <c r="AF105" s="217"/>
      <c r="AG105" s="252"/>
      <c r="AH105" s="206"/>
      <c r="AI105" s="206"/>
      <c r="AJ105" s="206"/>
      <c r="AK105" s="206"/>
      <c r="AL105" s="217"/>
      <c r="AM105" s="251"/>
      <c r="AN105" s="206"/>
      <c r="AO105" s="206"/>
      <c r="AP105" s="206"/>
      <c r="AQ105" s="206"/>
      <c r="AR105" s="217"/>
      <c r="AS105" s="251"/>
      <c r="AT105" s="217"/>
      <c r="AU105" s="251"/>
      <c r="AV105" s="217"/>
      <c r="AW105" s="255"/>
      <c r="AX105" s="217"/>
    </row>
    <row r="106" spans="1:50" s="147" customFormat="1" ht="15" customHeight="1">
      <c r="A106" s="142"/>
      <c r="B106" s="143"/>
      <c r="C106" s="27"/>
      <c r="D106" s="206"/>
      <c r="E106" s="206"/>
      <c r="F106" s="206"/>
      <c r="G106" s="206"/>
      <c r="H106" s="217"/>
      <c r="I106" s="271"/>
      <c r="J106" s="206"/>
      <c r="K106" s="206"/>
      <c r="L106" s="206"/>
      <c r="M106" s="206"/>
      <c r="N106" s="217"/>
      <c r="O106" s="271"/>
      <c r="P106" s="206"/>
      <c r="Q106" s="206"/>
      <c r="R106" s="206"/>
      <c r="S106" s="206"/>
      <c r="T106" s="217"/>
      <c r="U106" s="271"/>
      <c r="V106" s="206"/>
      <c r="W106" s="206"/>
      <c r="X106" s="206"/>
      <c r="Y106" s="206"/>
      <c r="Z106" s="217"/>
      <c r="AA106" s="272"/>
      <c r="AB106" s="206"/>
      <c r="AC106" s="206"/>
      <c r="AD106" s="206"/>
      <c r="AE106" s="206"/>
      <c r="AF106" s="217"/>
      <c r="AG106" s="273"/>
      <c r="AH106" s="206"/>
      <c r="AI106" s="206"/>
      <c r="AJ106" s="206"/>
      <c r="AK106" s="206"/>
      <c r="AL106" s="217"/>
      <c r="AM106" s="276"/>
      <c r="AN106" s="206"/>
      <c r="AO106" s="206"/>
      <c r="AP106" s="206"/>
      <c r="AQ106" s="206"/>
      <c r="AR106" s="217"/>
      <c r="AS106" s="269"/>
      <c r="AT106" s="217"/>
      <c r="AU106" s="269"/>
      <c r="AV106" s="217"/>
      <c r="AW106" s="275"/>
      <c r="AX106" s="217"/>
    </row>
    <row r="107" spans="1:50" s="113" customFormat="1" ht="15" customHeight="1">
      <c r="A107" s="44" t="s">
        <v>41</v>
      </c>
      <c r="B107" s="114" t="s">
        <v>791</v>
      </c>
      <c r="C107" s="115"/>
      <c r="D107" s="206"/>
      <c r="E107" s="206"/>
      <c r="F107" s="206"/>
      <c r="G107" s="206"/>
      <c r="H107" s="217"/>
      <c r="I107" s="250"/>
      <c r="J107" s="206"/>
      <c r="K107" s="206"/>
      <c r="L107" s="206"/>
      <c r="M107" s="206"/>
      <c r="N107" s="217"/>
      <c r="O107" s="250"/>
      <c r="P107" s="206"/>
      <c r="Q107" s="206"/>
      <c r="R107" s="206"/>
      <c r="S107" s="206"/>
      <c r="T107" s="217"/>
      <c r="U107" s="250"/>
      <c r="V107" s="206"/>
      <c r="W107" s="206"/>
      <c r="X107" s="206"/>
      <c r="Y107" s="206"/>
      <c r="Z107" s="217"/>
      <c r="AA107" s="251"/>
      <c r="AB107" s="206"/>
      <c r="AC107" s="206"/>
      <c r="AD107" s="206"/>
      <c r="AE107" s="206"/>
      <c r="AF107" s="217"/>
      <c r="AG107" s="252"/>
      <c r="AH107" s="206"/>
      <c r="AI107" s="206"/>
      <c r="AJ107" s="206"/>
      <c r="AK107" s="206"/>
      <c r="AL107" s="217"/>
      <c r="AM107" s="277"/>
      <c r="AN107" s="206"/>
      <c r="AO107" s="206"/>
      <c r="AP107" s="206"/>
      <c r="AQ107" s="206"/>
      <c r="AR107" s="217"/>
      <c r="AS107" s="251"/>
      <c r="AT107" s="217"/>
      <c r="AU107" s="251"/>
      <c r="AV107" s="217"/>
      <c r="AW107" s="255"/>
      <c r="AX107" s="217"/>
    </row>
    <row r="108" spans="1:50" s="113" customFormat="1" ht="15" customHeight="1">
      <c r="B108" s="138" t="s">
        <v>796</v>
      </c>
      <c r="C108" s="115"/>
      <c r="D108" s="215" t="str">
        <f>IF(ROUND(BS!D41,0)=ROUND(SUM(BS!D37:D40),0),"OK","ERROR")</f>
        <v>OK</v>
      </c>
      <c r="E108" s="215" t="str">
        <f>IF(ROUND(BS!E41,0)=ROUND(SUM(BS!E37:E40),0),"OK","ERROR")</f>
        <v>OK</v>
      </c>
      <c r="F108" s="215" t="str">
        <f>IF(ROUND(BS!F41,0)=ROUND(SUM(BS!F37:F40),0),"OK","ERROR")</f>
        <v>OK</v>
      </c>
      <c r="G108" s="215" t="str">
        <f>IF(ROUND(BS!G41,0)=ROUND(SUM(BS!G37:G40),0),"OK","ERROR")</f>
        <v>OK</v>
      </c>
      <c r="H108" s="224" t="str">
        <f>IF(ROUND(BS!H41,0)=ROUND(SUM(BS!H37:H40),0),"OK","ERROR")</f>
        <v>OK</v>
      </c>
      <c r="I108" s="250"/>
      <c r="J108" s="215" t="str">
        <f>IF(ROUND(BS!J41,0)=ROUND(SUM(BS!J37:J40),0),"OK","ERROR")</f>
        <v>OK</v>
      </c>
      <c r="K108" s="215" t="str">
        <f>IF(ROUND(BS!K41,0)=ROUND(SUM(BS!K37:K40),0),"OK","ERROR")</f>
        <v>OK</v>
      </c>
      <c r="L108" s="215" t="str">
        <f>IF(ROUND(BS!L41,0)=ROUND(SUM(BS!L37:L40),0),"OK","ERROR")</f>
        <v>OK</v>
      </c>
      <c r="M108" s="215" t="str">
        <f>IF(ROUND(BS!M41,0)=ROUND(SUM(BS!M37:M40),0),"OK","ERROR")</f>
        <v>OK</v>
      </c>
      <c r="N108" s="224" t="str">
        <f>IF(ROUND(BS!N41,0)=ROUND(SUM(BS!N37:N40),0),"OK","ERROR")</f>
        <v>OK</v>
      </c>
      <c r="O108" s="250"/>
      <c r="P108" s="215" t="str">
        <f>IF(ROUND(BS!P41,0)=ROUND(SUM(BS!P37:P40),0),"OK","ERROR")</f>
        <v>OK</v>
      </c>
      <c r="Q108" s="215" t="str">
        <f>IF(ROUND(BS!Q41,0)=ROUND(SUM(BS!Q37:Q40),0),"OK","ERROR")</f>
        <v>OK</v>
      </c>
      <c r="R108" s="215" t="str">
        <f>IF(ROUND(BS!R41,0)=ROUND(SUM(BS!R37:R40),0),"OK","ERROR")</f>
        <v>OK</v>
      </c>
      <c r="S108" s="215" t="str">
        <f>IF(ROUND(BS!S41,0)=ROUND(SUM(BS!S37:S40),0),"OK","ERROR")</f>
        <v>OK</v>
      </c>
      <c r="T108" s="224" t="str">
        <f>IF(ROUND(BS!T41,0)=ROUND(SUM(BS!T37:T40),0),"OK","ERROR")</f>
        <v>OK</v>
      </c>
      <c r="U108" s="250"/>
      <c r="V108" s="215" t="str">
        <f>IF(ROUND(BS!V41,0)=ROUND(SUM(BS!V37:V40),0),"OK","ERROR")</f>
        <v>OK</v>
      </c>
      <c r="W108" s="215" t="str">
        <f>IF(ROUND(BS!W41,0)=ROUND(SUM(BS!W37:W40),0),"OK","ERROR")</f>
        <v>OK</v>
      </c>
      <c r="X108" s="215" t="str">
        <f>IF(ROUND(BS!X41,0)=ROUND(SUM(BS!X37:X40),0),"OK","ERROR")</f>
        <v>OK</v>
      </c>
      <c r="Y108" s="215" t="str">
        <f>IF(ROUND(BS!Y41,0)=ROUND(SUM(BS!Y37:Y40),0),"OK","ERROR")</f>
        <v>OK</v>
      </c>
      <c r="Z108" s="224" t="str">
        <f>IF(ROUND(BS!Z41,0)=ROUND(SUM(BS!Z37:Z40),0),"OK","ERROR")</f>
        <v>OK</v>
      </c>
      <c r="AA108" s="267"/>
      <c r="AB108" s="215" t="str">
        <f>IF(ROUND(BS!AB41,0)=ROUND(SUM(BS!AB37:AB40),0),"OK","ERROR")</f>
        <v>OK</v>
      </c>
      <c r="AC108" s="215" t="str">
        <f>IF(ROUND(BS!AC41,0)=ROUND(SUM(BS!AC37:AC40),0),"OK","ERROR")</f>
        <v>OK</v>
      </c>
      <c r="AD108" s="215" t="str">
        <f>IF(ROUND(BS!AD41,0)=ROUND(SUM(BS!AD37:AD40),0),"OK","ERROR")</f>
        <v>OK</v>
      </c>
      <c r="AE108" s="215" t="str">
        <f>IF(ROUND(BS!AE41,0)=ROUND(SUM(BS!AE37:AE40),0),"OK","ERROR")</f>
        <v>OK</v>
      </c>
      <c r="AF108" s="224" t="str">
        <f>IF(ROUND(BS!AF41,0)=ROUND(SUM(BS!AF37:AF40),0),"OK","ERROR")</f>
        <v>OK</v>
      </c>
      <c r="AG108" s="268"/>
      <c r="AH108" s="215" t="str">
        <f>IF(ROUND(BS!AH41,0)=ROUND(SUM(BS!AH37:AH40),0),"OK","ERROR")</f>
        <v>OK</v>
      </c>
      <c r="AI108" s="215" t="str">
        <f>IF(ROUND(BS!AI41,0)=ROUND(SUM(BS!AI37:AI40),0),"OK","ERROR")</f>
        <v>OK</v>
      </c>
      <c r="AJ108" s="215" t="str">
        <f>IF(ROUND(BS!AJ41,0)=ROUND(SUM(BS!AJ37:AJ40),0),"OK","ERROR")</f>
        <v>OK</v>
      </c>
      <c r="AK108" s="215" t="str">
        <f>IF(ROUND(BS!AK41,0)=ROUND(SUM(BS!AK37:AK40),0),"OK","ERROR")</f>
        <v>OK</v>
      </c>
      <c r="AL108" s="224" t="str">
        <f>IF(ROUND(BS!AL41,0)=ROUND(SUM(BS!AL37:AL40),0),"OK","ERROR")</f>
        <v>OK</v>
      </c>
      <c r="AM108" s="267"/>
      <c r="AN108" s="215" t="str">
        <f>IF(ROUND(BS!AN41,0)=ROUND(SUM(BS!AN37:AN40),0),"OK","ERROR")</f>
        <v>OK</v>
      </c>
      <c r="AO108" s="215" t="str">
        <f>IF(ROUND(BS!AO41,0)=ROUND(SUM(BS!AO37:AO40),0),"OK","ERROR")</f>
        <v>OK</v>
      </c>
      <c r="AP108" s="215" t="str">
        <f>IF(ROUND(BS!AP41,0)=ROUND(SUM(BS!AP37:AP40),0),"OK","ERROR")</f>
        <v>OK</v>
      </c>
      <c r="AQ108" s="215" t="str">
        <f>IF(ROUND(BS!AQ41,0)=ROUND(SUM(BS!AQ37:AQ40),0),"OK","ERROR")</f>
        <v>OK</v>
      </c>
      <c r="AR108" s="224" t="str">
        <f>IF(ROUND(BS!AR41,0)=ROUND(SUM(BS!AR37:AR40),0),"OK","ERROR")</f>
        <v>OK</v>
      </c>
      <c r="AS108" s="267"/>
      <c r="AT108" s="224" t="str">
        <f>IF(ROUND(BS!AT41,0)=ROUND(SUM(BS!AT37:AT40),0),"OK","ERROR")</f>
        <v>OK</v>
      </c>
      <c r="AU108" s="267"/>
      <c r="AV108" s="224" t="str">
        <f>IF(ROUND(BS!AV41,0)=ROUND(SUM(BS!AV37:AV40),0),"OK","ERROR")</f>
        <v>OK</v>
      </c>
      <c r="AW108" s="255"/>
      <c r="AX108" s="224" t="str">
        <f>IF(ROUND(BS!AX41,0)=ROUND(SUM(BS!AX37:AX40),0),"OK","ERROR")</f>
        <v>OK</v>
      </c>
    </row>
    <row r="109" spans="1:50" s="41" customFormat="1" ht="15" customHeight="1">
      <c r="A109" s="43"/>
      <c r="B109" s="152"/>
      <c r="C109" s="17"/>
      <c r="D109" s="206"/>
      <c r="E109" s="206"/>
      <c r="F109" s="206"/>
      <c r="G109" s="206"/>
      <c r="H109" s="217"/>
      <c r="I109" s="242"/>
      <c r="J109" s="206"/>
      <c r="K109" s="206"/>
      <c r="L109" s="206"/>
      <c r="M109" s="206"/>
      <c r="N109" s="217"/>
      <c r="O109" s="242"/>
      <c r="P109" s="206"/>
      <c r="Q109" s="206"/>
      <c r="R109" s="206"/>
      <c r="S109" s="206"/>
      <c r="T109" s="217"/>
      <c r="U109" s="242"/>
      <c r="V109" s="206"/>
      <c r="W109" s="206"/>
      <c r="X109" s="206"/>
      <c r="Y109" s="206"/>
      <c r="Z109" s="217"/>
      <c r="AA109" s="242"/>
      <c r="AB109" s="206"/>
      <c r="AC109" s="206"/>
      <c r="AD109" s="206"/>
      <c r="AE109" s="206"/>
      <c r="AF109" s="217"/>
      <c r="AG109" s="278"/>
      <c r="AH109" s="206"/>
      <c r="AI109" s="206"/>
      <c r="AJ109" s="206"/>
      <c r="AK109" s="206"/>
      <c r="AL109" s="217"/>
      <c r="AM109" s="242"/>
      <c r="AN109" s="206"/>
      <c r="AO109" s="206"/>
      <c r="AP109" s="206"/>
      <c r="AQ109" s="206"/>
      <c r="AR109" s="217"/>
      <c r="AS109" s="242"/>
      <c r="AT109" s="217"/>
      <c r="AU109" s="242"/>
      <c r="AV109" s="217"/>
      <c r="AW109" s="249"/>
      <c r="AX109" s="217"/>
    </row>
    <row r="110" spans="1:50" s="113" customFormat="1" ht="15" customHeight="1">
      <c r="A110" s="44" t="s">
        <v>41</v>
      </c>
      <c r="B110" s="114" t="s">
        <v>797</v>
      </c>
      <c r="C110" s="115"/>
      <c r="D110" s="206"/>
      <c r="E110" s="206"/>
      <c r="F110" s="206"/>
      <c r="G110" s="206"/>
      <c r="H110" s="217"/>
      <c r="I110" s="250"/>
      <c r="J110" s="206"/>
      <c r="K110" s="206"/>
      <c r="L110" s="206"/>
      <c r="M110" s="206"/>
      <c r="N110" s="217"/>
      <c r="O110" s="250"/>
      <c r="P110" s="206"/>
      <c r="Q110" s="206"/>
      <c r="R110" s="206"/>
      <c r="S110" s="206"/>
      <c r="T110" s="217"/>
      <c r="U110" s="250"/>
      <c r="V110" s="206"/>
      <c r="W110" s="206"/>
      <c r="X110" s="206"/>
      <c r="Y110" s="206"/>
      <c r="Z110" s="217"/>
      <c r="AA110" s="250"/>
      <c r="AB110" s="206"/>
      <c r="AC110" s="206"/>
      <c r="AD110" s="206"/>
      <c r="AE110" s="206"/>
      <c r="AF110" s="217"/>
      <c r="AG110" s="279"/>
      <c r="AH110" s="206"/>
      <c r="AI110" s="206"/>
      <c r="AJ110" s="206"/>
      <c r="AK110" s="206"/>
      <c r="AL110" s="217"/>
      <c r="AM110" s="250"/>
      <c r="AN110" s="206"/>
      <c r="AO110" s="206"/>
      <c r="AP110" s="206"/>
      <c r="AQ110" s="206"/>
      <c r="AR110" s="217"/>
      <c r="AS110" s="250"/>
      <c r="AT110" s="217"/>
      <c r="AU110" s="250"/>
      <c r="AV110" s="217"/>
      <c r="AW110" s="255"/>
      <c r="AX110" s="217"/>
    </row>
    <row r="111" spans="1:50" s="113" customFormat="1" ht="15" customHeight="1">
      <c r="B111" s="138" t="s">
        <v>801</v>
      </c>
      <c r="C111" s="115"/>
      <c r="D111" s="215" t="str">
        <f>IF(ROUND(BS!D47,0)=ROUND(SUM(BS!D44:D46),0),"OK","ERROR")</f>
        <v>OK</v>
      </c>
      <c r="E111" s="215" t="str">
        <f>IF(ROUND(BS!E47,0)=ROUND(SUM(BS!E44:E46),0),"OK","ERROR")</f>
        <v>OK</v>
      </c>
      <c r="F111" s="215" t="str">
        <f>IF(ROUND(BS!F47,0)=ROUND(SUM(BS!F44:F46),0),"OK","ERROR")</f>
        <v>OK</v>
      </c>
      <c r="G111" s="215" t="str">
        <f>IF(ROUND(BS!G47,0)=ROUND(SUM(BS!G44:G46),0),"OK","ERROR")</f>
        <v>OK</v>
      </c>
      <c r="H111" s="217" t="str">
        <f>IF(ROUND(BS!H47,0)=ROUND(SUM(BS!H44:H46),0),"OK","ERROR")</f>
        <v>OK</v>
      </c>
      <c r="I111" s="250"/>
      <c r="J111" s="215" t="str">
        <f>IF(ROUND(BS!J47,0)=ROUND(SUM(BS!J44:J46),0),"OK","ERROR")</f>
        <v>OK</v>
      </c>
      <c r="K111" s="215" t="str">
        <f>IF(ROUND(BS!K47,0)=ROUND(SUM(BS!K44:K46),0),"OK","ERROR")</f>
        <v>OK</v>
      </c>
      <c r="L111" s="215" t="str">
        <f>IF(ROUND(BS!L47,0)=ROUND(SUM(BS!L44:L46),0),"OK","ERROR")</f>
        <v>OK</v>
      </c>
      <c r="M111" s="215" t="str">
        <f>IF(ROUND(BS!M47,0)=ROUND(SUM(BS!M44:M46),0),"OK","ERROR")</f>
        <v>OK</v>
      </c>
      <c r="N111" s="217" t="str">
        <f>IF(ROUND(BS!N47,0)=ROUND(SUM(BS!N44:N46),0),"OK","ERROR")</f>
        <v>OK</v>
      </c>
      <c r="O111" s="250"/>
      <c r="P111" s="215" t="str">
        <f>IF(ROUND(BS!P47,0)=ROUND(SUM(BS!P44:P46),0),"OK","ERROR")</f>
        <v>OK</v>
      </c>
      <c r="Q111" s="215" t="str">
        <f>IF(ROUND(BS!Q47,0)=ROUND(SUM(BS!Q44:Q46),0),"OK","ERROR")</f>
        <v>OK</v>
      </c>
      <c r="R111" s="215" t="str">
        <f>IF(ROUND(BS!R47,0)=ROUND(SUM(BS!R44:R46),0),"OK","ERROR")</f>
        <v>OK</v>
      </c>
      <c r="S111" s="215" t="str">
        <f>IF(ROUND(BS!S47,0)=ROUND(SUM(BS!S44:S46),0),"OK","ERROR")</f>
        <v>OK</v>
      </c>
      <c r="T111" s="217" t="str">
        <f>IF(ROUND(BS!T47,0)=ROUND(SUM(BS!T44:T46),0),"OK","ERROR")</f>
        <v>OK</v>
      </c>
      <c r="U111" s="250"/>
      <c r="V111" s="215" t="str">
        <f>IF(ROUND(BS!V47,0)=ROUND(SUM(BS!V44:V46),0),"OK","ERROR")</f>
        <v>OK</v>
      </c>
      <c r="W111" s="215" t="str">
        <f>IF(ROUND(BS!W47,0)=ROUND(SUM(BS!W44:W46),0),"OK","ERROR")</f>
        <v>OK</v>
      </c>
      <c r="X111" s="215" t="str">
        <f>IF(ROUND(BS!X47,0)=ROUND(SUM(BS!X44:X46),0),"OK","ERROR")</f>
        <v>OK</v>
      </c>
      <c r="Y111" s="215" t="str">
        <f>IF(ROUND(BS!Y47,0)=ROUND(SUM(BS!Y44:Y46),0),"OK","ERROR")</f>
        <v>OK</v>
      </c>
      <c r="Z111" s="217" t="str">
        <f>IF(ROUND(BS!Z47,0)=ROUND(SUM(BS!Z44:Z46),0),"OK","ERROR")</f>
        <v>OK</v>
      </c>
      <c r="AA111" s="250"/>
      <c r="AB111" s="215" t="str">
        <f>IF(ROUND(BS!AB47,0)=ROUND(SUM(BS!AB44:AB46),0),"OK","ERROR")</f>
        <v>OK</v>
      </c>
      <c r="AC111" s="215" t="str">
        <f>IF(ROUND(BS!AC47,0)=ROUND(SUM(BS!AC44:AC46),0),"OK","ERROR")</f>
        <v>OK</v>
      </c>
      <c r="AD111" s="215" t="str">
        <f>IF(ROUND(BS!AD47,0)=ROUND(SUM(BS!AD44:AD46),0),"OK","ERROR")</f>
        <v>OK</v>
      </c>
      <c r="AE111" s="215" t="str">
        <f>IF(ROUND(BS!AE47,0)=ROUND(SUM(BS!AE44:AE46),0),"OK","ERROR")</f>
        <v>OK</v>
      </c>
      <c r="AF111" s="217" t="str">
        <f>IF(ROUND(BS!AF47,0)=ROUND(SUM(BS!AF44:AF46),0),"OK","ERROR")</f>
        <v>OK</v>
      </c>
      <c r="AG111" s="279"/>
      <c r="AH111" s="215" t="str">
        <f>IF(ROUND(BS!AH47,0)=ROUND(SUM(BS!AH44:AH46),0),"OK","ERROR")</f>
        <v>OK</v>
      </c>
      <c r="AI111" s="215" t="str">
        <f>IF(ROUND(BS!AI47,0)=ROUND(SUM(BS!AI44:AI46),0),"OK","ERROR")</f>
        <v>OK</v>
      </c>
      <c r="AJ111" s="215" t="str">
        <f>IF(ROUND(BS!AJ47,0)=ROUND(SUM(BS!AJ44:AJ46),0),"OK","ERROR")</f>
        <v>OK</v>
      </c>
      <c r="AK111" s="215" t="str">
        <f>IF(ROUND(BS!AK47,0)=ROUND(SUM(BS!AK44:AK46),0),"OK","ERROR")</f>
        <v>OK</v>
      </c>
      <c r="AL111" s="217" t="str">
        <f>IF(ROUND(BS!AL47,0)=ROUND(SUM(BS!AL44:AL46),0),"OK","ERROR")</f>
        <v>OK</v>
      </c>
      <c r="AM111" s="250"/>
      <c r="AN111" s="215" t="str">
        <f>IF(ROUND(BS!AN47,0)=ROUND(SUM(BS!AN44:AN46),0),"OK","ERROR")</f>
        <v>OK</v>
      </c>
      <c r="AO111" s="215" t="str">
        <f>IF(ROUND(BS!AO47,0)=ROUND(SUM(BS!AO44:AO46),0),"OK","ERROR")</f>
        <v>OK</v>
      </c>
      <c r="AP111" s="215" t="str">
        <f>IF(ROUND(BS!AP47,0)=ROUND(SUM(BS!AP44:AP46),0),"OK","ERROR")</f>
        <v>OK</v>
      </c>
      <c r="AQ111" s="215" t="str">
        <f>IF(ROUND(BS!AQ47,0)=ROUND(SUM(BS!AQ44:AQ46),0),"OK","ERROR")</f>
        <v>OK</v>
      </c>
      <c r="AR111" s="217" t="str">
        <f>IF(ROUND(BS!AR47,0)=ROUND(SUM(BS!AR44:AR46),0),"OK","ERROR")</f>
        <v>OK</v>
      </c>
      <c r="AS111" s="250"/>
      <c r="AT111" s="217" t="str">
        <f>IF(ROUND(BS!AT47,0)=ROUND(SUM(BS!AT44:AT46),0),"OK","ERROR")</f>
        <v>OK</v>
      </c>
      <c r="AU111" s="250"/>
      <c r="AV111" s="217" t="str">
        <f>IF(ROUND(BS!AV47,0)=ROUND(SUM(BS!AV44:AV46),0),"OK","ERROR")</f>
        <v>OK</v>
      </c>
      <c r="AW111" s="255"/>
      <c r="AX111" s="217" t="str">
        <f>IF(ROUND(BS!AX47,0)=ROUND(SUM(BS!AX44:AX46),0),"OK","ERROR")</f>
        <v>OK</v>
      </c>
    </row>
    <row r="112" spans="1:50" s="41" customFormat="1" ht="15" customHeight="1">
      <c r="A112" s="43"/>
      <c r="B112" s="140" t="s">
        <v>802</v>
      </c>
      <c r="C112" s="17"/>
      <c r="D112" s="215" t="str">
        <f>IF(ROUND(BS!D48,0)=ROUND(SUM(BS!D41,BS!D47),0),"OK","ERROR")</f>
        <v>OK</v>
      </c>
      <c r="E112" s="215" t="str">
        <f>IF(ROUND(BS!E48,0)=ROUND(SUM(BS!E41,BS!E47),0),"OK","ERROR")</f>
        <v>OK</v>
      </c>
      <c r="F112" s="215" t="str">
        <f>IF(ROUND(BS!F48,0)=ROUND(SUM(BS!F41,BS!F47),0),"OK","ERROR")</f>
        <v>OK</v>
      </c>
      <c r="G112" s="215" t="str">
        <f>IF(ROUND(BS!G48,0)=ROUND(SUM(BS!G41,BS!G47),0),"OK","ERROR")</f>
        <v>OK</v>
      </c>
      <c r="H112" s="224" t="str">
        <f>IF(ROUND(BS!H48,0)=ROUND(SUM(BS!H41,BS!H47),0),"OK","ERROR")</f>
        <v>OK</v>
      </c>
      <c r="I112" s="242"/>
      <c r="J112" s="215" t="str">
        <f>IF(ROUND(BS!J48,0)=ROUND(SUM(BS!J41,BS!J47),0),"OK","ERROR")</f>
        <v>OK</v>
      </c>
      <c r="K112" s="215" t="str">
        <f>IF(ROUND(BS!K48,0)=ROUND(SUM(BS!K41,BS!K47),0),"OK","ERROR")</f>
        <v>OK</v>
      </c>
      <c r="L112" s="215" t="str">
        <f>IF(ROUND(BS!L48,0)=ROUND(SUM(BS!L41,BS!L47),0),"OK","ERROR")</f>
        <v>OK</v>
      </c>
      <c r="M112" s="215" t="str">
        <f>IF(ROUND(BS!M48,0)=ROUND(SUM(BS!M41,BS!M47),0),"OK","ERROR")</f>
        <v>OK</v>
      </c>
      <c r="N112" s="224" t="str">
        <f>IF(ROUND(BS!N48,0)=ROUND(SUM(BS!N41,BS!N47),0),"OK","ERROR")</f>
        <v>OK</v>
      </c>
      <c r="O112" s="242"/>
      <c r="P112" s="215" t="str">
        <f>IF(ROUND(BS!P48,0)=ROUND(SUM(BS!P41,BS!P47),0),"OK","ERROR")</f>
        <v>OK</v>
      </c>
      <c r="Q112" s="215" t="str">
        <f>IF(ROUND(BS!Q48,0)=ROUND(SUM(BS!Q41,BS!Q47),0),"OK","ERROR")</f>
        <v>OK</v>
      </c>
      <c r="R112" s="215" t="str">
        <f>IF(ROUND(BS!R48,0)=ROUND(SUM(BS!R41,BS!R47),0),"OK","ERROR")</f>
        <v>OK</v>
      </c>
      <c r="S112" s="215" t="str">
        <f>IF(ROUND(BS!S48,0)=ROUND(SUM(BS!S41,BS!S47),0),"OK","ERROR")</f>
        <v>OK</v>
      </c>
      <c r="T112" s="224" t="str">
        <f>IF(ROUND(BS!T48,0)=ROUND(SUM(BS!T41,BS!T47),0),"OK","ERROR")</f>
        <v>OK</v>
      </c>
      <c r="U112" s="242"/>
      <c r="V112" s="215" t="str">
        <f>IF(ROUND(BS!V48,0)=ROUND(SUM(BS!V41,BS!V47),0),"OK","ERROR")</f>
        <v>OK</v>
      </c>
      <c r="W112" s="215" t="str">
        <f>IF(ROUND(BS!W48,0)=ROUND(SUM(BS!W41,BS!W47),0),"OK","ERROR")</f>
        <v>OK</v>
      </c>
      <c r="X112" s="215" t="str">
        <f>IF(ROUND(BS!X48,0)=ROUND(SUM(BS!X41,BS!X47),0),"OK","ERROR")</f>
        <v>OK</v>
      </c>
      <c r="Y112" s="215" t="str">
        <f>IF(ROUND(BS!Y48,0)=ROUND(SUM(BS!Y41,BS!Y47),0),"OK","ERROR")</f>
        <v>OK</v>
      </c>
      <c r="Z112" s="224" t="str">
        <f>IF(ROUND(BS!Z48,0)=ROUND(SUM(BS!Z41,BS!Z47),0),"OK","ERROR")</f>
        <v>OK</v>
      </c>
      <c r="AA112" s="242"/>
      <c r="AB112" s="215" t="str">
        <f>IF(ROUND(BS!AB48,0)=ROUND(SUM(BS!AB41,BS!AB47),0),"OK","ERROR")</f>
        <v>OK</v>
      </c>
      <c r="AC112" s="215" t="str">
        <f>IF(ROUND(BS!AC48,0)=ROUND(SUM(BS!AC41,BS!AC47),0),"OK","ERROR")</f>
        <v>OK</v>
      </c>
      <c r="AD112" s="215" t="str">
        <f>IF(ROUND(BS!AD48,0)=ROUND(SUM(BS!AD41,BS!AD47),0),"OK","ERROR")</f>
        <v>OK</v>
      </c>
      <c r="AE112" s="215" t="str">
        <f>IF(ROUND(BS!AE48,0)=ROUND(SUM(BS!AE41,BS!AE47),0),"OK","ERROR")</f>
        <v>OK</v>
      </c>
      <c r="AF112" s="224" t="str">
        <f>IF(ROUND(BS!AF48,0)=ROUND(SUM(BS!AF41,BS!AF47),0),"OK","ERROR")</f>
        <v>OK</v>
      </c>
      <c r="AG112" s="278"/>
      <c r="AH112" s="215" t="str">
        <f>IF(ROUND(BS!AH48,0)=ROUND(SUM(BS!AH41,BS!AH47),0),"OK","ERROR")</f>
        <v>OK</v>
      </c>
      <c r="AI112" s="215" t="str">
        <f>IF(ROUND(BS!AI48,0)=ROUND(SUM(BS!AI41,BS!AI47),0),"OK","ERROR")</f>
        <v>OK</v>
      </c>
      <c r="AJ112" s="215" t="str">
        <f>IF(ROUND(BS!AJ48,0)=ROUND(SUM(BS!AJ41,BS!AJ47),0),"OK","ERROR")</f>
        <v>OK</v>
      </c>
      <c r="AK112" s="215" t="str">
        <f>IF(ROUND(BS!AK48,0)=ROUND(SUM(BS!AK41,BS!AK47),0),"OK","ERROR")</f>
        <v>OK</v>
      </c>
      <c r="AL112" s="224" t="str">
        <f>IF(ROUND(BS!AL48,0)=ROUND(SUM(BS!AL41,BS!AL47),0),"OK","ERROR")</f>
        <v>OK</v>
      </c>
      <c r="AM112" s="242"/>
      <c r="AN112" s="215" t="str">
        <f>IF(ROUND(BS!AN48,0)=ROUND(SUM(BS!AN41,BS!AN47),0),"OK","ERROR")</f>
        <v>OK</v>
      </c>
      <c r="AO112" s="215" t="str">
        <f>IF(ROUND(BS!AO48,0)=ROUND(SUM(BS!AO41,BS!AO47),0),"OK","ERROR")</f>
        <v>OK</v>
      </c>
      <c r="AP112" s="215" t="str">
        <f>IF(ROUND(BS!AP48,0)=ROUND(SUM(BS!AP41,BS!AP47),0),"OK","ERROR")</f>
        <v>OK</v>
      </c>
      <c r="AQ112" s="215" t="str">
        <f>IF(ROUND(BS!AQ48,0)=ROUND(SUM(BS!AQ41,BS!AQ47),0),"OK","ERROR")</f>
        <v>OK</v>
      </c>
      <c r="AR112" s="224" t="str">
        <f>IF(ROUND(BS!AR48,0)=ROUND(SUM(BS!AR41,BS!AR47),0),"OK","ERROR")</f>
        <v>OK</v>
      </c>
      <c r="AS112" s="242"/>
      <c r="AT112" s="224" t="str">
        <f>IF(ROUND(BS!AT48,0)=ROUND(SUM(BS!AT41,BS!AT47),0),"OK","ERROR")</f>
        <v>OK</v>
      </c>
      <c r="AU112" s="242"/>
      <c r="AV112" s="224" t="str">
        <f>IF(ROUND(BS!AV48,0)=ROUND(SUM(BS!AV41,BS!AV47),0),"OK","ERROR")</f>
        <v>OK</v>
      </c>
      <c r="AW112" s="249"/>
      <c r="AX112" s="224" t="str">
        <f>IF(ROUND(BS!AX48,0)=ROUND(SUM(BS!AX41,BS!AX47),0),"OK","ERROR")</f>
        <v>OK</v>
      </c>
    </row>
    <row r="113" spans="1:50" s="113" customFormat="1" ht="15" customHeight="1">
      <c r="B113" s="143"/>
      <c r="C113" s="115"/>
      <c r="D113" s="206"/>
      <c r="E113" s="206"/>
      <c r="F113" s="206"/>
      <c r="G113" s="206"/>
      <c r="H113" s="217"/>
      <c r="I113" s="250"/>
      <c r="J113" s="206"/>
      <c r="K113" s="206"/>
      <c r="L113" s="206"/>
      <c r="M113" s="206"/>
      <c r="N113" s="217"/>
      <c r="O113" s="250"/>
      <c r="P113" s="206"/>
      <c r="Q113" s="206"/>
      <c r="R113" s="206"/>
      <c r="S113" s="206"/>
      <c r="T113" s="217"/>
      <c r="U113" s="250"/>
      <c r="V113" s="206"/>
      <c r="W113" s="206"/>
      <c r="X113" s="206"/>
      <c r="Y113" s="206"/>
      <c r="Z113" s="217"/>
      <c r="AA113" s="250"/>
      <c r="AB113" s="206"/>
      <c r="AC113" s="206"/>
      <c r="AD113" s="206"/>
      <c r="AE113" s="206"/>
      <c r="AF113" s="217"/>
      <c r="AG113" s="279"/>
      <c r="AH113" s="206"/>
      <c r="AI113" s="206"/>
      <c r="AJ113" s="206"/>
      <c r="AK113" s="206"/>
      <c r="AL113" s="217"/>
      <c r="AM113" s="250"/>
      <c r="AN113" s="206"/>
      <c r="AO113" s="206"/>
      <c r="AP113" s="206"/>
      <c r="AQ113" s="206"/>
      <c r="AR113" s="217"/>
      <c r="AS113" s="250"/>
      <c r="AT113" s="217"/>
      <c r="AU113" s="250"/>
      <c r="AV113" s="217"/>
      <c r="AW113" s="255"/>
      <c r="AX113" s="217"/>
    </row>
    <row r="114" spans="1:50" s="41" customFormat="1" ht="15" customHeight="1">
      <c r="A114" s="44" t="s">
        <v>41</v>
      </c>
      <c r="B114" s="114" t="s">
        <v>803</v>
      </c>
      <c r="C114" s="17"/>
      <c r="D114" s="206"/>
      <c r="E114" s="206"/>
      <c r="F114" s="206"/>
      <c r="G114" s="206"/>
      <c r="H114" s="217"/>
      <c r="I114" s="242"/>
      <c r="J114" s="206"/>
      <c r="K114" s="206"/>
      <c r="L114" s="206"/>
      <c r="M114" s="206"/>
      <c r="N114" s="217"/>
      <c r="O114" s="242"/>
      <c r="P114" s="206"/>
      <c r="Q114" s="206"/>
      <c r="R114" s="206"/>
      <c r="S114" s="206"/>
      <c r="T114" s="217"/>
      <c r="U114" s="242"/>
      <c r="V114" s="206"/>
      <c r="W114" s="206"/>
      <c r="X114" s="206"/>
      <c r="Y114" s="206"/>
      <c r="Z114" s="217"/>
      <c r="AA114" s="242"/>
      <c r="AB114" s="206"/>
      <c r="AC114" s="206"/>
      <c r="AD114" s="206"/>
      <c r="AE114" s="206"/>
      <c r="AF114" s="217"/>
      <c r="AG114" s="278"/>
      <c r="AH114" s="206"/>
      <c r="AI114" s="206"/>
      <c r="AJ114" s="206"/>
      <c r="AK114" s="206"/>
      <c r="AL114" s="217"/>
      <c r="AM114" s="242"/>
      <c r="AN114" s="206"/>
      <c r="AO114" s="206"/>
      <c r="AP114" s="206"/>
      <c r="AQ114" s="206"/>
      <c r="AR114" s="217"/>
      <c r="AS114" s="242"/>
      <c r="AT114" s="217"/>
      <c r="AU114" s="242"/>
      <c r="AV114" s="217"/>
      <c r="AW114" s="249"/>
      <c r="AX114" s="217"/>
    </row>
    <row r="115" spans="1:50" s="113" customFormat="1" ht="15" customHeight="1">
      <c r="B115" s="138" t="s">
        <v>807</v>
      </c>
      <c r="C115" s="115"/>
      <c r="D115" s="215" t="str">
        <f>IF(ROUND(BS!D54,0)=ROUND(SUM(BS!D51:D53),0),"OK","ERROR")</f>
        <v>OK</v>
      </c>
      <c r="E115" s="215" t="str">
        <f>IF(ROUND(BS!E54,0)=ROUND(SUM(BS!E51:E53),0),"OK","ERROR")</f>
        <v>OK</v>
      </c>
      <c r="F115" s="215" t="str">
        <f>IF(ROUND(BS!F54,0)=ROUND(SUM(BS!F51:F53),0),"OK","ERROR")</f>
        <v>OK</v>
      </c>
      <c r="G115" s="215" t="str">
        <f>IF(ROUND(BS!G54,0)=ROUND(SUM(BS!G51:G53),0),"OK","ERROR")</f>
        <v>OK</v>
      </c>
      <c r="H115" s="224" t="str">
        <f>IF(ROUND(BS!H54,0)=ROUND(SUM(BS!H51:H53),0),"OK","ERROR")</f>
        <v>OK</v>
      </c>
      <c r="I115" s="250"/>
      <c r="J115" s="215" t="str">
        <f>IF(ROUND(BS!J54,0)=ROUND(SUM(BS!J51:J53),0),"OK","ERROR")</f>
        <v>OK</v>
      </c>
      <c r="K115" s="215" t="str">
        <f>IF(ROUND(BS!K54,0)=ROUND(SUM(BS!K51:K53),0),"OK","ERROR")</f>
        <v>OK</v>
      </c>
      <c r="L115" s="215" t="str">
        <f>IF(ROUND(BS!L54,0)=ROUND(SUM(BS!L51:L53),0),"OK","ERROR")</f>
        <v>OK</v>
      </c>
      <c r="M115" s="215" t="str">
        <f>IF(ROUND(BS!M54,0)=ROUND(SUM(BS!M51:M53),0),"OK","ERROR")</f>
        <v>OK</v>
      </c>
      <c r="N115" s="224" t="str">
        <f>IF(ROUND(BS!N54,0)=ROUND(SUM(BS!N51:N53),0),"OK","ERROR")</f>
        <v>OK</v>
      </c>
      <c r="O115" s="250"/>
      <c r="P115" s="215" t="str">
        <f>IF(ROUND(BS!P54,0)=ROUND(SUM(BS!P51:P53),0),"OK","ERROR")</f>
        <v>OK</v>
      </c>
      <c r="Q115" s="215" t="str">
        <f>IF(ROUND(BS!Q54,0)=ROUND(SUM(BS!Q51:Q53),0),"OK","ERROR")</f>
        <v>OK</v>
      </c>
      <c r="R115" s="215" t="str">
        <f>IF(ROUND(BS!R54,0)=ROUND(SUM(BS!R51:R53),0),"OK","ERROR")</f>
        <v>OK</v>
      </c>
      <c r="S115" s="215" t="str">
        <f>IF(ROUND(BS!S54,0)=ROUND(SUM(BS!S51:S53),0),"OK","ERROR")</f>
        <v>OK</v>
      </c>
      <c r="T115" s="224" t="str">
        <f>IF(ROUND(BS!T54,0)=ROUND(SUM(BS!T51:T53),0),"OK","ERROR")</f>
        <v>OK</v>
      </c>
      <c r="U115" s="250"/>
      <c r="V115" s="215" t="str">
        <f>IF(ROUND(BS!V54,0)=ROUND(SUM(BS!V51:V53),0),"OK","ERROR")</f>
        <v>OK</v>
      </c>
      <c r="W115" s="215" t="str">
        <f>IF(ROUND(BS!W54,0)=ROUND(SUM(BS!W51:W53),0),"OK","ERROR")</f>
        <v>OK</v>
      </c>
      <c r="X115" s="215" t="str">
        <f>IF(ROUND(BS!X54,0)=ROUND(SUM(BS!X51:X53),0),"OK","ERROR")</f>
        <v>OK</v>
      </c>
      <c r="Y115" s="215" t="str">
        <f>IF(ROUND(BS!Y54,0)=ROUND(SUM(BS!Y51:Y53),0),"OK","ERROR")</f>
        <v>OK</v>
      </c>
      <c r="Z115" s="224" t="str">
        <f>IF(ROUND(BS!Z54,0)=ROUND(SUM(BS!Z51:Z53),0),"OK","ERROR")</f>
        <v>OK</v>
      </c>
      <c r="AA115" s="250"/>
      <c r="AB115" s="215" t="str">
        <f>IF(ROUND(BS!AB54,0)=ROUND(SUM(BS!AB51:AB53),0),"OK","ERROR")</f>
        <v>OK</v>
      </c>
      <c r="AC115" s="215" t="str">
        <f>IF(ROUND(BS!AC54,0)=ROUND(SUM(BS!AC51:AC53),0),"OK","ERROR")</f>
        <v>OK</v>
      </c>
      <c r="AD115" s="215" t="str">
        <f>IF(ROUND(BS!AD54,0)=ROUND(SUM(BS!AD51:AD53),0),"OK","ERROR")</f>
        <v>OK</v>
      </c>
      <c r="AE115" s="215" t="str">
        <f>IF(ROUND(BS!AE54,0)=ROUND(SUM(BS!AE51:AE53),0),"OK","ERROR")</f>
        <v>OK</v>
      </c>
      <c r="AF115" s="224" t="str">
        <f>IF(ROUND(BS!AF54,0)=ROUND(SUM(BS!AF51:AF53),0),"OK","ERROR")</f>
        <v>OK</v>
      </c>
      <c r="AG115" s="279"/>
      <c r="AH115" s="215" t="str">
        <f>IF(ROUND(BS!AH54,0)=ROUND(SUM(BS!AH51:AH53),0),"OK","ERROR")</f>
        <v>OK</v>
      </c>
      <c r="AI115" s="215" t="str">
        <f>IF(ROUND(BS!AI54,0)=ROUND(SUM(BS!AI51:AI53),0),"OK","ERROR")</f>
        <v>OK</v>
      </c>
      <c r="AJ115" s="215" t="str">
        <f>IF(ROUND(BS!AJ54,0)=ROUND(SUM(BS!AJ51:AJ53),0),"OK","ERROR")</f>
        <v>OK</v>
      </c>
      <c r="AK115" s="215" t="str">
        <f>IF(ROUND(BS!AK54,0)=ROUND(SUM(BS!AK51:AK53),0),"OK","ERROR")</f>
        <v>OK</v>
      </c>
      <c r="AL115" s="224" t="str">
        <f>IF(ROUND(BS!AL54,0)=ROUND(SUM(BS!AL51:AL53),0),"OK","ERROR")</f>
        <v>OK</v>
      </c>
      <c r="AM115" s="250"/>
      <c r="AN115" s="215" t="str">
        <f>IF(ROUND(BS!AN54,0)=ROUND(SUM(BS!AN51:AN53),0),"OK","ERROR")</f>
        <v>OK</v>
      </c>
      <c r="AO115" s="215" t="str">
        <f>IF(ROUND(BS!AO54,0)=ROUND(SUM(BS!AO51:AO53),0),"OK","ERROR")</f>
        <v>OK</v>
      </c>
      <c r="AP115" s="215" t="str">
        <f>IF(ROUND(BS!AP54,0)=ROUND(SUM(BS!AP51:AP53),0),"OK","ERROR")</f>
        <v>OK</v>
      </c>
      <c r="AQ115" s="215" t="str">
        <f>IF(ROUND(BS!AQ54,0)=ROUND(SUM(BS!AQ51:AQ53),0),"OK","ERROR")</f>
        <v>OK</v>
      </c>
      <c r="AR115" s="224" t="str">
        <f>IF(ROUND(BS!AR54,0)=ROUND(SUM(BS!AR51:AR53),0),"OK","ERROR")</f>
        <v>OK</v>
      </c>
      <c r="AS115" s="250"/>
      <c r="AT115" s="224" t="str">
        <f>IF(ROUND(BS!AT54,0)=ROUND(SUM(BS!AT51:AT53),0),"OK","ERROR")</f>
        <v>OK</v>
      </c>
      <c r="AU115" s="250"/>
      <c r="AV115" s="224" t="str">
        <f>IF(ROUND(BS!AV54,0)=ROUND(SUM(BS!AV51:AV53),0),"OK","ERROR")</f>
        <v>OK</v>
      </c>
      <c r="AW115" s="255"/>
      <c r="AX115" s="224" t="str">
        <f>IF(ROUND(BS!AX54,0)=ROUND(SUM(BS!AX51:AX53),0),"OK","ERROR")</f>
        <v>OK</v>
      </c>
    </row>
    <row r="116" spans="1:50" s="41" customFormat="1" ht="15" customHeight="1" thickBot="1">
      <c r="A116" s="43"/>
      <c r="B116" s="140" t="s">
        <v>808</v>
      </c>
      <c r="C116" s="17"/>
      <c r="D116" s="215" t="str">
        <f>IF(ROUND(BS!D55,0)=ROUND(SUM(BS!D54,BS!D48),0),"OK","ERROR")</f>
        <v>OK</v>
      </c>
      <c r="E116" s="215" t="str">
        <f>IF(ROUND(BS!E55,0)=ROUND(SUM(BS!E54,BS!E48),0),"OK","ERROR")</f>
        <v>OK</v>
      </c>
      <c r="F116" s="215" t="str">
        <f>IF(ROUND(BS!F55,0)=ROUND(SUM(BS!F54,BS!F48),0),"OK","ERROR")</f>
        <v>OK</v>
      </c>
      <c r="G116" s="215" t="str">
        <f>IF(ROUND(BS!G55,0)=ROUND(SUM(BS!G54,BS!G48),0),"OK","ERROR")</f>
        <v>OK</v>
      </c>
      <c r="H116" s="232" t="str">
        <f>IF(ROUND(BS!H55,0)=ROUND(SUM(BS!H54,BS!H48),0),"OK","ERROR")</f>
        <v>OK</v>
      </c>
      <c r="I116" s="242"/>
      <c r="J116" s="215" t="str">
        <f>IF(ROUND(BS!J55,0)=ROUND(SUM(BS!J54,BS!J48),0),"OK","ERROR")</f>
        <v>OK</v>
      </c>
      <c r="K116" s="215" t="str">
        <f>IF(ROUND(BS!K55,0)=ROUND(SUM(BS!K54,BS!K48),0),"OK","ERROR")</f>
        <v>OK</v>
      </c>
      <c r="L116" s="215" t="str">
        <f>IF(ROUND(BS!L55,0)=ROUND(SUM(BS!L54,BS!L48),0),"OK","ERROR")</f>
        <v>OK</v>
      </c>
      <c r="M116" s="215" t="str">
        <f>IF(ROUND(BS!M55,0)=ROUND(SUM(BS!M54,BS!M48),0),"OK","ERROR")</f>
        <v>OK</v>
      </c>
      <c r="N116" s="232" t="str">
        <f>IF(ROUND(BS!N55,0)=ROUND(SUM(BS!N54,BS!N48),0),"OK","ERROR")</f>
        <v>OK</v>
      </c>
      <c r="O116" s="242"/>
      <c r="P116" s="215" t="str">
        <f>IF(ROUND(BS!P55,0)=ROUND(SUM(BS!P54,BS!P48),0),"OK","ERROR")</f>
        <v>OK</v>
      </c>
      <c r="Q116" s="215" t="str">
        <f>IF(ROUND(BS!Q55,0)=ROUND(SUM(BS!Q54,BS!Q48),0),"OK","ERROR")</f>
        <v>OK</v>
      </c>
      <c r="R116" s="215" t="str">
        <f>IF(ROUND(BS!R55,0)=ROUND(SUM(BS!R54,BS!R48),0),"OK","ERROR")</f>
        <v>OK</v>
      </c>
      <c r="S116" s="215" t="str">
        <f>IF(ROUND(BS!S55,0)=ROUND(SUM(BS!S54,BS!S48),0),"OK","ERROR")</f>
        <v>OK</v>
      </c>
      <c r="T116" s="232" t="str">
        <f>IF(ROUND(BS!T55,0)=ROUND(SUM(BS!T54,BS!T48),0),"OK","ERROR")</f>
        <v>OK</v>
      </c>
      <c r="U116" s="242"/>
      <c r="V116" s="215" t="str">
        <f>IF(ROUND(BS!V55,0)=ROUND(SUM(BS!V54,BS!V48),0),"OK","ERROR")</f>
        <v>OK</v>
      </c>
      <c r="W116" s="215" t="str">
        <f>IF(ROUND(BS!W55,0)=ROUND(SUM(BS!W54,BS!W48),0),"OK","ERROR")</f>
        <v>OK</v>
      </c>
      <c r="X116" s="215" t="str">
        <f>IF(ROUND(BS!X55,0)=ROUND(SUM(BS!X54,BS!X48),0),"OK","ERROR")</f>
        <v>OK</v>
      </c>
      <c r="Y116" s="215" t="str">
        <f>IF(ROUND(BS!Y55,0)=ROUND(SUM(BS!Y54,BS!Y48),0),"OK","ERROR")</f>
        <v>OK</v>
      </c>
      <c r="Z116" s="232" t="str">
        <f>IF(ROUND(BS!Z55,0)=ROUND(SUM(BS!Z54,BS!Z48),0),"OK","ERROR")</f>
        <v>OK</v>
      </c>
      <c r="AA116" s="242"/>
      <c r="AB116" s="215" t="str">
        <f>IF(ROUND(BS!AB55,0)=ROUND(SUM(BS!AB54,BS!AB48),0),"OK","ERROR")</f>
        <v>OK</v>
      </c>
      <c r="AC116" s="215" t="str">
        <f>IF(ROUND(BS!AC55,0)=ROUND(SUM(BS!AC54,BS!AC48),0),"OK","ERROR")</f>
        <v>OK</v>
      </c>
      <c r="AD116" s="215" t="str">
        <f>IF(ROUND(BS!AD55,0)=ROUND(SUM(BS!AD54,BS!AD48),0),"OK","ERROR")</f>
        <v>OK</v>
      </c>
      <c r="AE116" s="215" t="str">
        <f>IF(ROUND(BS!AE55,0)=ROUND(SUM(BS!AE54,BS!AE48),0),"OK","ERROR")</f>
        <v>OK</v>
      </c>
      <c r="AF116" s="232" t="str">
        <f>IF(ROUND(BS!AF55,0)=ROUND(SUM(BS!AF54,BS!AF48),0),"OK","ERROR")</f>
        <v>OK</v>
      </c>
      <c r="AG116" s="278"/>
      <c r="AH116" s="215" t="str">
        <f>IF(ROUND(BS!AH55,0)=ROUND(SUM(BS!AH54,BS!AH48),0),"OK","ERROR")</f>
        <v>OK</v>
      </c>
      <c r="AI116" s="215" t="str">
        <f>IF(ROUND(BS!AI55,0)=ROUND(SUM(BS!AI54,BS!AI48),0),"OK","ERROR")</f>
        <v>OK</v>
      </c>
      <c r="AJ116" s="215" t="str">
        <f>IF(ROUND(BS!AJ55,0)=ROUND(SUM(BS!AJ54,BS!AJ48),0),"OK","ERROR")</f>
        <v>OK</v>
      </c>
      <c r="AK116" s="215" t="str">
        <f>IF(ROUND(BS!AK55,0)=ROUND(SUM(BS!AK54,BS!AK48),0),"OK","ERROR")</f>
        <v>OK</v>
      </c>
      <c r="AL116" s="232" t="str">
        <f>IF(ROUND(BS!AL55,0)=ROUND(SUM(BS!AL54,BS!AL48),0),"OK","ERROR")</f>
        <v>OK</v>
      </c>
      <c r="AM116" s="242"/>
      <c r="AN116" s="215" t="str">
        <f>IF(ROUND(BS!AN55,0)=ROUND(SUM(BS!AN54,BS!AN48),0),"OK","ERROR")</f>
        <v>OK</v>
      </c>
      <c r="AO116" s="215" t="str">
        <f>IF(ROUND(BS!AO55,0)=ROUND(SUM(BS!AO54,BS!AO48),0),"OK","ERROR")</f>
        <v>OK</v>
      </c>
      <c r="AP116" s="215" t="str">
        <f>IF(ROUND(BS!AP55,0)=ROUND(SUM(BS!AP54,BS!AP48),0),"OK","ERROR")</f>
        <v>OK</v>
      </c>
      <c r="AQ116" s="215" t="str">
        <f>IF(ROUND(BS!AQ55,0)=ROUND(SUM(BS!AQ54,BS!AQ48),0),"OK","ERROR")</f>
        <v>OK</v>
      </c>
      <c r="AR116" s="232" t="str">
        <f>IF(ROUND(BS!AR55,0)=ROUND(SUM(BS!AR54,BS!AR48),0),"OK","ERROR")</f>
        <v>OK</v>
      </c>
      <c r="AS116" s="242"/>
      <c r="AT116" s="232" t="str">
        <f>IF(ROUND(BS!AT55,0)=ROUND(SUM(BS!AT54,BS!AT48),0),"OK","ERROR")</f>
        <v>OK</v>
      </c>
      <c r="AU116" s="242"/>
      <c r="AV116" s="232" t="str">
        <f>IF(ROUND(BS!AV55,0)=ROUND(SUM(BS!AV54,BS!AV48),0),"OK","ERROR")</f>
        <v>OK</v>
      </c>
      <c r="AW116" s="249"/>
      <c r="AX116" s="232" t="str">
        <f>IF(ROUND(BS!AX55,0)=ROUND(SUM(BS!AX54,BS!AX48),0),"OK","ERROR")</f>
        <v>OK</v>
      </c>
    </row>
    <row r="117" spans="1:50" ht="14.25" customHeight="1" thickTop="1"/>
    <row r="118" spans="1:50" s="41" customFormat="1" ht="15" customHeight="1">
      <c r="A118" s="44" t="s">
        <v>41</v>
      </c>
      <c r="B118" s="161" t="s">
        <v>1210</v>
      </c>
      <c r="C118" s="18"/>
      <c r="D118" s="200">
        <f>F118</f>
        <v>2020</v>
      </c>
      <c r="E118" s="200">
        <f>F118</f>
        <v>2020</v>
      </c>
      <c r="F118" s="200">
        <v>2020</v>
      </c>
      <c r="G118" s="200">
        <f>F118</f>
        <v>2020</v>
      </c>
      <c r="H118" s="200">
        <f>F118</f>
        <v>2020</v>
      </c>
      <c r="I118" s="18"/>
      <c r="J118" s="200">
        <f>L118</f>
        <v>2021</v>
      </c>
      <c r="K118" s="200">
        <f>L118</f>
        <v>2021</v>
      </c>
      <c r="L118" s="200">
        <v>2021</v>
      </c>
      <c r="M118" s="200">
        <f>L118</f>
        <v>2021</v>
      </c>
      <c r="N118" s="200">
        <f>L118</f>
        <v>2021</v>
      </c>
      <c r="O118" s="169"/>
      <c r="P118" s="200">
        <f>R118</f>
        <v>2022</v>
      </c>
      <c r="Q118" s="200">
        <f>R118</f>
        <v>2022</v>
      </c>
      <c r="R118" s="200">
        <v>2022</v>
      </c>
      <c r="S118" s="200">
        <f>R118</f>
        <v>2022</v>
      </c>
      <c r="T118" s="200">
        <f>R118</f>
        <v>2022</v>
      </c>
      <c r="U118" s="169"/>
      <c r="V118" s="200">
        <f>X118</f>
        <v>2023</v>
      </c>
      <c r="W118" s="200">
        <f>X118</f>
        <v>2023</v>
      </c>
      <c r="X118" s="200">
        <v>2023</v>
      </c>
      <c r="Y118" s="200">
        <f>X118</f>
        <v>2023</v>
      </c>
      <c r="Z118" s="200">
        <f>X118</f>
        <v>2023</v>
      </c>
      <c r="AA118" s="170"/>
      <c r="AB118" s="200">
        <f>AD118</f>
        <v>2024</v>
      </c>
      <c r="AC118" s="200">
        <f>AD118</f>
        <v>2024</v>
      </c>
      <c r="AD118" s="200">
        <v>2024</v>
      </c>
      <c r="AE118" s="200">
        <f>AD118</f>
        <v>2024</v>
      </c>
      <c r="AF118" s="200">
        <f>AD118</f>
        <v>2024</v>
      </c>
      <c r="AG118" s="170"/>
      <c r="AH118" s="200">
        <f>AJ118</f>
        <v>2025</v>
      </c>
      <c r="AI118" s="200">
        <f>AJ118</f>
        <v>2025</v>
      </c>
      <c r="AJ118" s="201">
        <v>2025</v>
      </c>
      <c r="AK118" s="200">
        <f>AJ118</f>
        <v>2025</v>
      </c>
      <c r="AL118" s="200">
        <f>AJ118</f>
        <v>2025</v>
      </c>
      <c r="AM118" s="171"/>
      <c r="AN118" s="200">
        <f>AP118</f>
        <v>2025</v>
      </c>
      <c r="AO118" s="200">
        <f>AP118</f>
        <v>2025</v>
      </c>
      <c r="AP118" s="201">
        <v>2025</v>
      </c>
      <c r="AQ118" s="200">
        <f>AP118</f>
        <v>2025</v>
      </c>
      <c r="AR118" s="200">
        <f>AP118</f>
        <v>2025</v>
      </c>
      <c r="AS118" s="18"/>
      <c r="AT118" s="162"/>
      <c r="AU118" s="18"/>
      <c r="AV118" s="163"/>
      <c r="AW118" s="18"/>
      <c r="AX118" s="163"/>
    </row>
    <row r="119" spans="1:50" s="41" customFormat="1" ht="15" customHeight="1">
      <c r="B119" s="164"/>
      <c r="C119" s="18"/>
      <c r="D119" s="893">
        <v>2020</v>
      </c>
      <c r="E119" s="893"/>
      <c r="F119" s="893"/>
      <c r="G119" s="893"/>
      <c r="H119" s="893"/>
      <c r="I119" s="169"/>
      <c r="J119" s="893">
        <f>D119+1</f>
        <v>2021</v>
      </c>
      <c r="K119" s="893"/>
      <c r="L119" s="893"/>
      <c r="M119" s="893"/>
      <c r="N119" s="893"/>
      <c r="O119" s="169"/>
      <c r="P119" s="893">
        <f>J119+1</f>
        <v>2022</v>
      </c>
      <c r="Q119" s="893"/>
      <c r="R119" s="893"/>
      <c r="S119" s="893"/>
      <c r="T119" s="893"/>
      <c r="U119" s="169"/>
      <c r="V119" s="893">
        <f>P119+1</f>
        <v>2023</v>
      </c>
      <c r="W119" s="893"/>
      <c r="X119" s="893"/>
      <c r="Y119" s="893"/>
      <c r="Z119" s="893"/>
      <c r="AA119" s="169"/>
      <c r="AB119" s="893">
        <f>V119+1</f>
        <v>2024</v>
      </c>
      <c r="AC119" s="893"/>
      <c r="AD119" s="893"/>
      <c r="AE119" s="893"/>
      <c r="AF119" s="893"/>
      <c r="AG119" s="169"/>
      <c r="AH119" s="892">
        <f>AB119+1</f>
        <v>2025</v>
      </c>
      <c r="AI119" s="892"/>
      <c r="AJ119" s="892"/>
      <c r="AK119" s="892"/>
      <c r="AL119" s="892"/>
      <c r="AM119" s="169"/>
      <c r="AN119" s="892">
        <f>AH119+1</f>
        <v>2026</v>
      </c>
      <c r="AO119" s="892"/>
      <c r="AP119" s="892"/>
      <c r="AQ119" s="892"/>
      <c r="AR119" s="892"/>
      <c r="AS119" s="171"/>
      <c r="AT119" s="166">
        <f>AN119+1</f>
        <v>2027</v>
      </c>
      <c r="AU119" s="167"/>
      <c r="AV119" s="166">
        <f>+AT119+1</f>
        <v>2028</v>
      </c>
      <c r="AW119" s="167"/>
      <c r="AX119" s="166">
        <f>+AV119+1</f>
        <v>2029</v>
      </c>
    </row>
    <row r="120" spans="1:50" s="41" customFormat="1" ht="15" customHeight="1">
      <c r="B120" s="164"/>
      <c r="C120" s="18"/>
      <c r="D120" s="168" t="s">
        <v>292</v>
      </c>
      <c r="E120" s="168" t="s">
        <v>293</v>
      </c>
      <c r="F120" s="168" t="s">
        <v>294</v>
      </c>
      <c r="G120" s="168" t="s">
        <v>295</v>
      </c>
      <c r="H120" s="168" t="s">
        <v>296</v>
      </c>
      <c r="I120" s="18"/>
      <c r="J120" s="168" t="s">
        <v>292</v>
      </c>
      <c r="K120" s="168" t="s">
        <v>293</v>
      </c>
      <c r="L120" s="168" t="s">
        <v>294</v>
      </c>
      <c r="M120" s="168" t="s">
        <v>295</v>
      </c>
      <c r="N120" s="168" t="s">
        <v>296</v>
      </c>
      <c r="O120" s="165"/>
      <c r="P120" s="168" t="s">
        <v>292</v>
      </c>
      <c r="Q120" s="168" t="s">
        <v>293</v>
      </c>
      <c r="R120" s="168" t="s">
        <v>294</v>
      </c>
      <c r="S120" s="168" t="s">
        <v>295</v>
      </c>
      <c r="T120" s="168" t="s">
        <v>296</v>
      </c>
      <c r="U120" s="165"/>
      <c r="V120" s="168" t="s">
        <v>292</v>
      </c>
      <c r="W120" s="168" t="s">
        <v>293</v>
      </c>
      <c r="X120" s="168" t="s">
        <v>294</v>
      </c>
      <c r="Y120" s="168" t="s">
        <v>295</v>
      </c>
      <c r="Z120" s="168" t="s">
        <v>296</v>
      </c>
      <c r="AA120" s="165"/>
      <c r="AB120" s="168" t="s">
        <v>292</v>
      </c>
      <c r="AC120" s="168" t="s">
        <v>293</v>
      </c>
      <c r="AD120" s="168" t="s">
        <v>294</v>
      </c>
      <c r="AE120" s="168" t="s">
        <v>295</v>
      </c>
      <c r="AF120" s="168" t="s">
        <v>296</v>
      </c>
      <c r="AG120" s="165"/>
      <c r="AH120" s="168" t="s">
        <v>292</v>
      </c>
      <c r="AI120" s="168" t="s">
        <v>293</v>
      </c>
      <c r="AJ120" s="168" t="s">
        <v>294</v>
      </c>
      <c r="AK120" s="168" t="s">
        <v>295</v>
      </c>
      <c r="AL120" s="168" t="s">
        <v>296</v>
      </c>
      <c r="AM120" s="165"/>
      <c r="AN120" s="168" t="s">
        <v>292</v>
      </c>
      <c r="AO120" s="168" t="s">
        <v>293</v>
      </c>
      <c r="AP120" s="168" t="s">
        <v>294</v>
      </c>
      <c r="AQ120" s="168" t="s">
        <v>295</v>
      </c>
      <c r="AR120" s="168" t="s">
        <v>296</v>
      </c>
      <c r="AS120" s="165"/>
      <c r="AT120" s="168" t="s">
        <v>296</v>
      </c>
      <c r="AU120" s="165"/>
      <c r="AV120" s="168" t="s">
        <v>296</v>
      </c>
      <c r="AW120" s="165"/>
      <c r="AX120" s="168" t="s">
        <v>296</v>
      </c>
    </row>
    <row r="121" spans="1:50" s="41" customFormat="1" ht="3.95" customHeight="1">
      <c r="A121" s="43"/>
      <c r="B121" s="176"/>
      <c r="C121" s="35"/>
      <c r="D121" s="177"/>
      <c r="E121" s="177"/>
      <c r="F121" s="177"/>
      <c r="G121" s="177"/>
      <c r="H121" s="177"/>
      <c r="I121" s="35"/>
      <c r="J121" s="177"/>
      <c r="K121" s="177"/>
      <c r="L121" s="177"/>
      <c r="M121" s="177"/>
      <c r="N121" s="177"/>
      <c r="O121" s="178"/>
      <c r="P121" s="177"/>
      <c r="Q121" s="177"/>
      <c r="R121" s="177"/>
      <c r="S121" s="177"/>
      <c r="T121" s="177"/>
      <c r="U121" s="178"/>
      <c r="V121" s="177"/>
      <c r="W121" s="177"/>
      <c r="X121" s="177"/>
      <c r="Y121" s="177"/>
      <c r="Z121" s="177"/>
      <c r="AA121" s="178"/>
      <c r="AB121" s="177"/>
      <c r="AC121" s="177"/>
      <c r="AD121" s="177"/>
      <c r="AE121" s="177"/>
      <c r="AF121" s="177"/>
      <c r="AG121" s="178"/>
      <c r="AH121" s="177"/>
      <c r="AI121" s="177"/>
      <c r="AJ121" s="177"/>
      <c r="AK121" s="177"/>
      <c r="AL121" s="179"/>
      <c r="AM121" s="180"/>
      <c r="AN121" s="179"/>
      <c r="AO121" s="179"/>
      <c r="AP121" s="179"/>
      <c r="AQ121" s="179"/>
      <c r="AR121" s="179"/>
      <c r="AS121" s="180"/>
      <c r="AT121" s="179"/>
      <c r="AU121" s="180"/>
      <c r="AV121" s="179"/>
      <c r="AW121" s="180"/>
      <c r="AX121" s="179"/>
    </row>
    <row r="122" spans="1:50" s="41" customFormat="1" ht="3.95" customHeight="1">
      <c r="A122" s="43"/>
      <c r="B122" s="172"/>
      <c r="C122" s="19"/>
      <c r="D122" s="173"/>
      <c r="E122" s="173"/>
      <c r="F122" s="173"/>
      <c r="G122" s="173"/>
      <c r="H122" s="173"/>
      <c r="I122" s="19"/>
      <c r="J122" s="173"/>
      <c r="K122" s="173"/>
      <c r="L122" s="173"/>
      <c r="M122" s="173"/>
      <c r="N122" s="173"/>
      <c r="O122" s="174"/>
      <c r="P122" s="173"/>
      <c r="Q122" s="173"/>
      <c r="R122" s="173"/>
      <c r="S122" s="173"/>
      <c r="T122" s="173"/>
      <c r="U122" s="174"/>
      <c r="V122" s="173"/>
      <c r="W122" s="173"/>
      <c r="X122" s="173"/>
      <c r="Y122" s="173"/>
      <c r="Z122" s="173"/>
      <c r="AA122" s="174"/>
      <c r="AB122" s="173"/>
      <c r="AC122" s="173"/>
      <c r="AD122" s="173"/>
      <c r="AE122" s="173"/>
      <c r="AF122" s="173"/>
      <c r="AG122" s="202"/>
      <c r="AH122" s="173"/>
      <c r="AI122" s="173"/>
      <c r="AJ122" s="173"/>
      <c r="AK122" s="173"/>
      <c r="AL122" s="175"/>
      <c r="AM122" s="34"/>
      <c r="AN122" s="175"/>
      <c r="AO122" s="175"/>
      <c r="AP122" s="175"/>
      <c r="AQ122" s="175"/>
      <c r="AR122" s="175"/>
      <c r="AS122" s="34"/>
      <c r="AT122" s="175"/>
      <c r="AU122" s="34"/>
      <c r="AV122" s="175"/>
      <c r="AW122" s="34"/>
      <c r="AX122" s="175"/>
    </row>
    <row r="123" spans="1:50" s="54" customFormat="1" ht="15" customHeight="1">
      <c r="A123" s="44" t="s">
        <v>41</v>
      </c>
      <c r="B123" s="154" t="s">
        <v>811</v>
      </c>
      <c r="C123" s="17"/>
      <c r="D123" s="206"/>
      <c r="E123" s="206"/>
      <c r="F123" s="206"/>
      <c r="G123" s="206"/>
      <c r="H123" s="217"/>
      <c r="I123" s="208"/>
      <c r="J123" s="206"/>
      <c r="K123" s="206"/>
      <c r="L123" s="206"/>
      <c r="M123" s="206"/>
      <c r="N123" s="217"/>
      <c r="O123" s="207"/>
      <c r="P123" s="206"/>
      <c r="Q123" s="206"/>
      <c r="R123" s="206"/>
      <c r="S123" s="206"/>
      <c r="T123" s="217"/>
      <c r="U123" s="207"/>
      <c r="V123" s="206"/>
      <c r="W123" s="206"/>
      <c r="X123" s="206"/>
      <c r="Y123" s="206"/>
      <c r="Z123" s="217"/>
      <c r="AA123" s="207"/>
      <c r="AB123" s="206"/>
      <c r="AC123" s="206"/>
      <c r="AD123" s="206"/>
      <c r="AE123" s="206"/>
      <c r="AF123" s="217"/>
      <c r="AG123" s="209"/>
      <c r="AH123" s="206"/>
      <c r="AI123" s="206"/>
      <c r="AJ123" s="210"/>
      <c r="AK123" s="210"/>
      <c r="AL123" s="219"/>
      <c r="AM123" s="213"/>
      <c r="AN123" s="210"/>
      <c r="AO123" s="210"/>
      <c r="AP123" s="210"/>
      <c r="AQ123" s="210"/>
      <c r="AR123" s="219"/>
      <c r="AS123" s="213"/>
      <c r="AT123" s="219"/>
      <c r="AU123" s="213"/>
      <c r="AV123" s="219"/>
      <c r="AW123" s="240"/>
      <c r="AX123" s="240"/>
    </row>
    <row r="124" spans="1:50" s="54" customFormat="1" ht="15" customHeight="1">
      <c r="A124" s="43"/>
      <c r="B124" s="155" t="s">
        <v>693</v>
      </c>
      <c r="C124" s="17"/>
      <c r="D124" s="215"/>
      <c r="E124" s="215"/>
      <c r="F124" s="215"/>
      <c r="G124" s="215"/>
      <c r="H124" s="214" t="str">
        <f>IF(ROUND(CF!H15,0)=ROUND(SUM(CF!D15:G15),0),"OK","ERROR")</f>
        <v>OK</v>
      </c>
      <c r="I124" s="208"/>
      <c r="J124" s="215"/>
      <c r="K124" s="215"/>
      <c r="L124" s="215"/>
      <c r="M124" s="215"/>
      <c r="N124" s="214" t="str">
        <f>IF(ROUND(CF!N15,0)=ROUND(SUM(CF!J15:M15),0),"OK","ERROR")</f>
        <v>OK</v>
      </c>
      <c r="O124" s="207"/>
      <c r="P124" s="215"/>
      <c r="Q124" s="215"/>
      <c r="R124" s="215"/>
      <c r="S124" s="215"/>
      <c r="T124" s="214" t="str">
        <f>IF(ROUND(CF!T15,0)=ROUND(SUM(CF!P15:S15),0),"OK","ERROR")</f>
        <v>OK</v>
      </c>
      <c r="U124" s="207"/>
      <c r="V124" s="215"/>
      <c r="W124" s="215"/>
      <c r="X124" s="215"/>
      <c r="Y124" s="215"/>
      <c r="Z124" s="214" t="str">
        <f>IF(ROUND(CF!Z15,0)=ROUND(SUM(CF!V15:Y15),0),"OK","ERROR")</f>
        <v>OK</v>
      </c>
      <c r="AA124" s="207"/>
      <c r="AB124" s="215"/>
      <c r="AC124" s="215"/>
      <c r="AD124" s="215"/>
      <c r="AE124" s="215"/>
      <c r="AF124" s="214" t="str">
        <f>IF(ROUND(CF!AF15,0)=ROUND(SUM(CF!AB15:AE15),0),"OK","ERROR")</f>
        <v>OK</v>
      </c>
      <c r="AG124" s="209"/>
      <c r="AH124" s="215"/>
      <c r="AI124" s="215"/>
      <c r="AJ124" s="210"/>
      <c r="AK124" s="210"/>
      <c r="AL124" s="214" t="str">
        <f>IF(ROUND(CF!AL15,0)=ROUND(SUM(CF!AH15:AK15),0),"OK","ERROR")</f>
        <v>ERROR</v>
      </c>
      <c r="AM124" s="213"/>
      <c r="AN124" s="210"/>
      <c r="AO124" s="210"/>
      <c r="AP124" s="210"/>
      <c r="AQ124" s="210"/>
      <c r="AR124" s="214" t="str">
        <f>IF(ROUND(CF!AR15,0)=ROUND(SUM(CF!AN15:AQ15),0),"OK","ERROR")</f>
        <v>OK</v>
      </c>
      <c r="AS124" s="213"/>
      <c r="AT124" s="214" t="str">
        <f>IF(ROUND(CF!AT15,0)=ROUND(SUM(CF!AP15:AS15),0),"OK","ERROR")</f>
        <v>OK</v>
      </c>
      <c r="AU124" s="213"/>
      <c r="AV124" s="214" t="str">
        <f>IF(ROUND(CF!AV15,0)=ROUND(SUM(CF!AR15:AU15),0),"OK","ERROR")</f>
        <v>OK</v>
      </c>
      <c r="AW124" s="240"/>
      <c r="AX124" s="214" t="str">
        <f>IF(ROUND(CF!AX15,0)=ROUND(SUM(CF!AT15:AW15),0),"OK","ERROR")</f>
        <v>OK</v>
      </c>
    </row>
    <row r="125" spans="1:50" s="54" customFormat="1" ht="15" customHeight="1">
      <c r="A125" s="43"/>
      <c r="B125" s="155" t="s">
        <v>812</v>
      </c>
      <c r="C125" s="17"/>
      <c r="D125" s="206"/>
      <c r="E125" s="206"/>
      <c r="F125" s="206"/>
      <c r="G125" s="206"/>
      <c r="H125" s="214"/>
      <c r="I125" s="208"/>
      <c r="J125" s="206"/>
      <c r="K125" s="206"/>
      <c r="L125" s="206"/>
      <c r="M125" s="206"/>
      <c r="N125" s="214"/>
      <c r="O125" s="214"/>
      <c r="P125" s="206"/>
      <c r="Q125" s="206"/>
      <c r="R125" s="206"/>
      <c r="S125" s="206"/>
      <c r="T125" s="214"/>
      <c r="U125" s="214"/>
      <c r="V125" s="206"/>
      <c r="W125" s="206"/>
      <c r="X125" s="206"/>
      <c r="Y125" s="206"/>
      <c r="Z125" s="214"/>
      <c r="AA125" s="214"/>
      <c r="AB125" s="206"/>
      <c r="AC125" s="206"/>
      <c r="AD125" s="206"/>
      <c r="AE125" s="206"/>
      <c r="AF125" s="214"/>
      <c r="AG125" s="209"/>
      <c r="AH125" s="206"/>
      <c r="AI125" s="206"/>
      <c r="AJ125" s="210"/>
      <c r="AK125" s="210"/>
      <c r="AL125" s="214"/>
      <c r="AM125" s="213"/>
      <c r="AN125" s="210"/>
      <c r="AO125" s="210"/>
      <c r="AP125" s="210"/>
      <c r="AQ125" s="210"/>
      <c r="AR125" s="214"/>
      <c r="AS125" s="213"/>
      <c r="AT125" s="214"/>
      <c r="AU125" s="213"/>
      <c r="AV125" s="214"/>
      <c r="AW125" s="240"/>
      <c r="AX125" s="214"/>
    </row>
    <row r="126" spans="1:50" s="54" customFormat="1" ht="15" customHeight="1">
      <c r="A126" s="43"/>
      <c r="B126" s="156" t="s">
        <v>746</v>
      </c>
      <c r="C126" s="17"/>
      <c r="D126" s="215"/>
      <c r="E126" s="215"/>
      <c r="F126" s="215"/>
      <c r="G126" s="215"/>
      <c r="H126" s="214" t="str">
        <f>IF(ROUND(CF!H17,0)=ROUND(SUM(CF!D17:G17),0),"OK","ERROR")</f>
        <v>OK</v>
      </c>
      <c r="I126" s="208"/>
      <c r="J126" s="215"/>
      <c r="K126" s="215"/>
      <c r="L126" s="215"/>
      <c r="M126" s="215"/>
      <c r="N126" s="214" t="str">
        <f>IF(ROUND(CF!N17,0)=ROUND(SUM(CF!J17:M17),0),"OK","ERROR")</f>
        <v>OK</v>
      </c>
      <c r="O126" s="207"/>
      <c r="P126" s="215"/>
      <c r="Q126" s="215"/>
      <c r="R126" s="215"/>
      <c r="S126" s="215"/>
      <c r="T126" s="214" t="str">
        <f>IF(ROUND(CF!T17,0)=ROUND(SUM(CF!P17:S17),0),"OK","ERROR")</f>
        <v>ERROR</v>
      </c>
      <c r="U126" s="207"/>
      <c r="V126" s="215"/>
      <c r="W126" s="215"/>
      <c r="X126" s="215"/>
      <c r="Y126" s="215"/>
      <c r="Z126" s="214" t="str">
        <f>IF(ROUND(CF!Z17,0)=ROUND(SUM(CF!V17:Y17),0),"OK","ERROR")</f>
        <v>OK</v>
      </c>
      <c r="AA126" s="207"/>
      <c r="AB126" s="215"/>
      <c r="AC126" s="215"/>
      <c r="AD126" s="215"/>
      <c r="AE126" s="215"/>
      <c r="AF126" s="214" t="str">
        <f>IF(ROUND(CF!AF17,0)=ROUND(SUM(CF!AB17:AE17),0),"OK","ERROR")</f>
        <v>OK</v>
      </c>
      <c r="AG126" s="209"/>
      <c r="AH126" s="215"/>
      <c r="AI126" s="215"/>
      <c r="AJ126" s="210"/>
      <c r="AK126" s="210"/>
      <c r="AL126" s="214" t="str">
        <f>IF(ROUND(CF!AL17,0)=ROUND(SUM(CF!AH17:AK17),0),"OK","ERROR")</f>
        <v>OK</v>
      </c>
      <c r="AM126" s="213"/>
      <c r="AN126" s="210"/>
      <c r="AO126" s="210"/>
      <c r="AP126" s="210"/>
      <c r="AQ126" s="210"/>
      <c r="AR126" s="214" t="str">
        <f>IF(ROUND(CF!AR17,0)=ROUND(SUM(CF!AN17:AQ17),0),"OK","ERROR")</f>
        <v>OK</v>
      </c>
      <c r="AS126" s="213"/>
      <c r="AT126" s="214" t="str">
        <f>IF(ROUND(CF!AT17,0)=ROUND(SUM(CF!AP17:AS17),0),"OK","ERROR")</f>
        <v>OK</v>
      </c>
      <c r="AU126" s="213"/>
      <c r="AV126" s="214" t="str">
        <f>IF(ROUND(CF!AV17,0)=ROUND(SUM(CF!AR17:AU17),0),"OK","ERROR")</f>
        <v>OK</v>
      </c>
      <c r="AW126" s="240"/>
      <c r="AX126" s="214" t="str">
        <f>IF(ROUND(CF!AX17,0)=ROUND(SUM(CF!AT17:AW17),0),"OK","ERROR")</f>
        <v>OK</v>
      </c>
    </row>
    <row r="127" spans="1:50" s="54" customFormat="1" ht="15" customHeight="1">
      <c r="A127" s="43"/>
      <c r="B127" s="156" t="s">
        <v>1211</v>
      </c>
      <c r="C127" s="17"/>
      <c r="D127" s="215"/>
      <c r="E127" s="215"/>
      <c r="F127" s="215"/>
      <c r="G127" s="215"/>
      <c r="H127" s="214" t="str">
        <f>IF(ROUND(CF!H18,0)=ROUND(SUM(CF!D18:G18),0),"OK","ERROR")</f>
        <v>OK</v>
      </c>
      <c r="I127" s="208"/>
      <c r="J127" s="215"/>
      <c r="K127" s="215"/>
      <c r="L127" s="215"/>
      <c r="M127" s="215"/>
      <c r="N127" s="214" t="str">
        <f>IF(ROUND(CF!N18,0)=ROUND(SUM(CF!J18:M18),0),"OK","ERROR")</f>
        <v>OK</v>
      </c>
      <c r="O127" s="207"/>
      <c r="P127" s="215"/>
      <c r="Q127" s="215"/>
      <c r="R127" s="215"/>
      <c r="S127" s="215"/>
      <c r="T127" s="214" t="str">
        <f>IF(ROUND(CF!T18,0)=ROUND(SUM(CF!P18:S18),0),"OK","ERROR")</f>
        <v>ERROR</v>
      </c>
      <c r="U127" s="207"/>
      <c r="V127" s="215"/>
      <c r="W127" s="215"/>
      <c r="X127" s="215"/>
      <c r="Y127" s="215"/>
      <c r="Z127" s="214" t="str">
        <f>IF(ROUND(CF!Z18,0)=ROUND(SUM(CF!V18:Y18),0),"OK","ERROR")</f>
        <v>OK</v>
      </c>
      <c r="AA127" s="207"/>
      <c r="AB127" s="215"/>
      <c r="AC127" s="215"/>
      <c r="AD127" s="215"/>
      <c r="AE127" s="215"/>
      <c r="AF127" s="214" t="str">
        <f>IF(ROUND(CF!AF18,0)=ROUND(SUM(CF!AB18:AE18),0),"OK","ERROR")</f>
        <v>OK</v>
      </c>
      <c r="AG127" s="209"/>
      <c r="AH127" s="215"/>
      <c r="AI127" s="215"/>
      <c r="AJ127" s="210"/>
      <c r="AK127" s="210"/>
      <c r="AL127" s="214" t="str">
        <f>IF(ROUND(CF!AL18,0)=ROUND(SUM(CF!AH18:AK18),0),"OK","ERROR")</f>
        <v>OK</v>
      </c>
      <c r="AM127" s="213"/>
      <c r="AN127" s="210"/>
      <c r="AO127" s="210"/>
      <c r="AP127" s="210"/>
      <c r="AQ127" s="210"/>
      <c r="AR127" s="214" t="str">
        <f>IF(ROUND(CF!AR18,0)=ROUND(SUM(CF!AN18:AQ18),0),"OK","ERROR")</f>
        <v>OK</v>
      </c>
      <c r="AS127" s="213"/>
      <c r="AT127" s="214" t="str">
        <f>IF(ROUND(CF!AT18,0)=ROUND(SUM(CF!AP18:AS18),0),"OK","ERROR")</f>
        <v>OK</v>
      </c>
      <c r="AU127" s="213"/>
      <c r="AV127" s="214" t="str">
        <f>IF(ROUND(CF!AV18,0)=ROUND(SUM(CF!AR18:AU18),0),"OK","ERROR")</f>
        <v>OK</v>
      </c>
      <c r="AW127" s="240"/>
      <c r="AX127" s="214" t="str">
        <f>IF(ROUND(CF!AX18,0)=ROUND(SUM(CF!AT18:AW18),0),"OK","ERROR")</f>
        <v>OK</v>
      </c>
    </row>
    <row r="128" spans="1:50" s="54" customFormat="1" ht="15" customHeight="1">
      <c r="A128" s="113"/>
      <c r="B128" s="156" t="s">
        <v>125</v>
      </c>
      <c r="C128" s="115"/>
      <c r="D128" s="215"/>
      <c r="E128" s="215"/>
      <c r="F128" s="215"/>
      <c r="G128" s="215"/>
      <c r="H128" s="214" t="str">
        <f>IF(ROUND(CF!H19,0)=ROUND(SUM(CF!D19:G19),0),"OK","ERROR")</f>
        <v>OK</v>
      </c>
      <c r="I128" s="208"/>
      <c r="J128" s="215"/>
      <c r="K128" s="215"/>
      <c r="L128" s="215"/>
      <c r="M128" s="215"/>
      <c r="N128" s="214" t="str">
        <f>IF(ROUND(CF!N19,0)=ROUND(SUM(CF!J19:M19),0),"OK","ERROR")</f>
        <v>OK</v>
      </c>
      <c r="O128" s="208"/>
      <c r="P128" s="215"/>
      <c r="Q128" s="215"/>
      <c r="R128" s="215"/>
      <c r="S128" s="215"/>
      <c r="T128" s="214" t="str">
        <f>IF(ROUND(CF!T19,0)=ROUND(SUM(CF!P19:S19),0),"OK","ERROR")</f>
        <v>ERROR</v>
      </c>
      <c r="U128" s="208"/>
      <c r="V128" s="215"/>
      <c r="W128" s="215"/>
      <c r="X128" s="215"/>
      <c r="Y128" s="215"/>
      <c r="Z128" s="214" t="str">
        <f>IF(ROUND(CF!Z19,0)=ROUND(SUM(CF!V19:Y19),0),"OK","ERROR")</f>
        <v>OK</v>
      </c>
      <c r="AA128" s="211"/>
      <c r="AB128" s="215"/>
      <c r="AC128" s="215"/>
      <c r="AD128" s="215"/>
      <c r="AE128" s="215"/>
      <c r="AF128" s="214" t="str">
        <f>IF(ROUND(CF!AF19,0)=ROUND(SUM(CF!AB19:AE19),0),"OK","ERROR")</f>
        <v>OK</v>
      </c>
      <c r="AG128" s="209"/>
      <c r="AH128" s="215"/>
      <c r="AI128" s="215"/>
      <c r="AJ128" s="210"/>
      <c r="AK128" s="210"/>
      <c r="AL128" s="214" t="str">
        <f>IF(ROUND(CF!AL19,0)=ROUND(SUM(CF!AH19:AK19),0),"OK","ERROR")</f>
        <v>ERROR</v>
      </c>
      <c r="AM128" s="220"/>
      <c r="AN128" s="210"/>
      <c r="AO128" s="210"/>
      <c r="AP128" s="210"/>
      <c r="AQ128" s="210"/>
      <c r="AR128" s="214" t="str">
        <f>IF(ROUND(CF!AR19,0)=ROUND(SUM(CF!AN19:AQ19),0),"OK","ERROR")</f>
        <v>OK</v>
      </c>
      <c r="AS128" s="220"/>
      <c r="AT128" s="214" t="str">
        <f>IF(ROUND(CF!AT19,0)=ROUND(SUM(CF!AP19:AS19),0),"OK","ERROR")</f>
        <v>OK</v>
      </c>
      <c r="AU128" s="220"/>
      <c r="AV128" s="214" t="str">
        <f>IF(ROUND(CF!AV19,0)=ROUND(SUM(CF!AR19:AU19),0),"OK","ERROR")</f>
        <v>OK</v>
      </c>
      <c r="AW128" s="240"/>
      <c r="AX128" s="214" t="str">
        <f>IF(ROUND(CF!AX19,0)=ROUND(SUM(CF!AT19:AW19),0),"OK","ERROR")</f>
        <v>OK</v>
      </c>
    </row>
    <row r="129" spans="1:50" s="54" customFormat="1" ht="15" customHeight="1">
      <c r="A129" s="43"/>
      <c r="B129" s="155" t="s">
        <v>814</v>
      </c>
      <c r="C129" s="17"/>
      <c r="D129" s="206"/>
      <c r="E129" s="206"/>
      <c r="F129" s="206"/>
      <c r="G129" s="206"/>
      <c r="H129" s="217"/>
      <c r="I129" s="208"/>
      <c r="J129" s="206"/>
      <c r="K129" s="206"/>
      <c r="L129" s="206"/>
      <c r="M129" s="206"/>
      <c r="N129" s="217"/>
      <c r="O129" s="208"/>
      <c r="P129" s="206"/>
      <c r="Q129" s="206"/>
      <c r="R129" s="206"/>
      <c r="S129" s="206"/>
      <c r="T129" s="217"/>
      <c r="U129" s="208"/>
      <c r="V129" s="206"/>
      <c r="W129" s="206"/>
      <c r="X129" s="206"/>
      <c r="Y129" s="206"/>
      <c r="Z129" s="217"/>
      <c r="AA129" s="211"/>
      <c r="AB129" s="206"/>
      <c r="AC129" s="206"/>
      <c r="AD129" s="206"/>
      <c r="AE129" s="206"/>
      <c r="AF129" s="217"/>
      <c r="AG129" s="209"/>
      <c r="AH129" s="206"/>
      <c r="AI129" s="206"/>
      <c r="AJ129" s="210"/>
      <c r="AK129" s="210"/>
      <c r="AL129" s="217"/>
      <c r="AM129" s="222"/>
      <c r="AN129" s="210"/>
      <c r="AO129" s="210"/>
      <c r="AP129" s="210"/>
      <c r="AQ129" s="210"/>
      <c r="AR129" s="217"/>
      <c r="AS129" s="222"/>
      <c r="AT129" s="217"/>
      <c r="AU129" s="222"/>
      <c r="AV129" s="217"/>
      <c r="AW129" s="240"/>
      <c r="AX129" s="217"/>
    </row>
    <row r="130" spans="1:50" s="54" customFormat="1" ht="15" customHeight="1">
      <c r="A130" s="113"/>
      <c r="B130" s="156" t="s">
        <v>780</v>
      </c>
      <c r="C130" s="115"/>
      <c r="D130" s="215"/>
      <c r="E130" s="215"/>
      <c r="F130" s="215"/>
      <c r="G130" s="215"/>
      <c r="H130" s="217" t="str">
        <f>IF(ROUND(CF!H21,0)=ROUND(SUM(CF!D21:G21),0),"OK","ERROR")</f>
        <v>OK</v>
      </c>
      <c r="I130" s="208"/>
      <c r="J130" s="215"/>
      <c r="K130" s="215"/>
      <c r="L130" s="215"/>
      <c r="M130" s="215"/>
      <c r="N130" s="217" t="str">
        <f>IF(ROUND(CF!N21,0)=ROUND(SUM(CF!J21:M21),0),"OK","ERROR")</f>
        <v>OK</v>
      </c>
      <c r="O130" s="208"/>
      <c r="P130" s="215"/>
      <c r="Q130" s="215"/>
      <c r="R130" s="215"/>
      <c r="S130" s="215"/>
      <c r="T130" s="217" t="str">
        <f>IF(ROUND(CF!T21,0)=ROUND(SUM(CF!P21:S21),0),"OK","ERROR")</f>
        <v>ERROR</v>
      </c>
      <c r="U130" s="208"/>
      <c r="V130" s="215"/>
      <c r="W130" s="215"/>
      <c r="X130" s="215"/>
      <c r="Y130" s="215"/>
      <c r="Z130" s="217" t="str">
        <f>IF(ROUND(CF!Z21,0)=ROUND(SUM(CF!V21:Y21),0),"OK","ERROR")</f>
        <v>OK</v>
      </c>
      <c r="AA130" s="211"/>
      <c r="AB130" s="215"/>
      <c r="AC130" s="215"/>
      <c r="AD130" s="215"/>
      <c r="AE130" s="215"/>
      <c r="AF130" s="217" t="str">
        <f>IF(ROUND(CF!AF21,0)=ROUND(SUM(CF!AB21:AE21),0),"OK","ERROR")</f>
        <v>OK</v>
      </c>
      <c r="AG130" s="209"/>
      <c r="AH130" s="215"/>
      <c r="AI130" s="215"/>
      <c r="AJ130" s="210"/>
      <c r="AK130" s="210"/>
      <c r="AL130" s="217" t="str">
        <f>IF(ROUND(CF!AL21,0)=ROUND(SUM(CF!AH21:AK21),0),"OK","ERROR")</f>
        <v>OK</v>
      </c>
      <c r="AM130" s="222"/>
      <c r="AN130" s="210"/>
      <c r="AO130" s="210"/>
      <c r="AP130" s="210"/>
      <c r="AQ130" s="210"/>
      <c r="AR130" s="217" t="str">
        <f>IF(ROUND(CF!AR21,0)=ROUND(SUM(CF!AN21:AQ21),0),"OK","ERROR")</f>
        <v>OK</v>
      </c>
      <c r="AS130" s="222"/>
      <c r="AT130" s="217" t="str">
        <f>IF(ROUND(CF!AT21,0)=ROUND(SUM(CF!AP21:AS21),0),"OK","ERROR")</f>
        <v>OK</v>
      </c>
      <c r="AU130" s="222"/>
      <c r="AV130" s="217" t="str">
        <f>IF(ROUND(CF!AV21,0)=ROUND(SUM(CF!AR21:AU21),0),"OK","ERROR")</f>
        <v>OK</v>
      </c>
      <c r="AW130" s="240"/>
      <c r="AX130" s="217" t="str">
        <f>IF(ROUND(CF!AX21,0)=ROUND(SUM(CF!AT21:AW21),0),"OK","ERROR")</f>
        <v>OK</v>
      </c>
    </row>
    <row r="131" spans="1:50" s="54" customFormat="1" ht="15" customHeight="1">
      <c r="A131" s="43"/>
      <c r="B131" s="156" t="s">
        <v>815</v>
      </c>
      <c r="C131" s="17"/>
      <c r="D131" s="215"/>
      <c r="E131" s="215"/>
      <c r="F131" s="215"/>
      <c r="G131" s="215"/>
      <c r="H131" s="217" t="str">
        <f>IF(ROUND(CF!H22,0)=ROUND(SUM(CF!D22:G22),0),"OK","ERROR")</f>
        <v>OK</v>
      </c>
      <c r="I131" s="208"/>
      <c r="J131" s="215"/>
      <c r="K131" s="215"/>
      <c r="L131" s="215"/>
      <c r="M131" s="215"/>
      <c r="N131" s="217" t="str">
        <f>IF(ROUND(CF!N22,0)=ROUND(SUM(CF!J22:M22),0),"OK","ERROR")</f>
        <v>OK</v>
      </c>
      <c r="O131" s="208"/>
      <c r="P131" s="215"/>
      <c r="Q131" s="215"/>
      <c r="R131" s="215"/>
      <c r="S131" s="215"/>
      <c r="T131" s="217" t="str">
        <f>IF(ROUND(CF!T22,0)=ROUND(SUM(CF!P22:S22),0),"OK","ERROR")</f>
        <v>ERROR</v>
      </c>
      <c r="U131" s="208"/>
      <c r="V131" s="215"/>
      <c r="W131" s="215"/>
      <c r="X131" s="215"/>
      <c r="Y131" s="215"/>
      <c r="Z131" s="217" t="str">
        <f>IF(ROUND(CF!Z22,0)=ROUND(SUM(CF!V22:Y22),0),"OK","ERROR")</f>
        <v>OK</v>
      </c>
      <c r="AA131" s="211"/>
      <c r="AB131" s="215"/>
      <c r="AC131" s="215"/>
      <c r="AD131" s="215"/>
      <c r="AE131" s="215"/>
      <c r="AF131" s="217" t="str">
        <f>IF(ROUND(CF!AF22,0)=ROUND(SUM(CF!AB22:AE22),0),"OK","ERROR")</f>
        <v>OK</v>
      </c>
      <c r="AG131" s="209"/>
      <c r="AH131" s="215"/>
      <c r="AI131" s="215"/>
      <c r="AJ131" s="210"/>
      <c r="AK131" s="210"/>
      <c r="AL131" s="217" t="str">
        <f>IF(ROUND(CF!AL22,0)=ROUND(SUM(CF!AH22:AK22),0),"OK","ERROR")</f>
        <v>OK</v>
      </c>
      <c r="AM131" s="222"/>
      <c r="AN131" s="210"/>
      <c r="AO131" s="210"/>
      <c r="AP131" s="210"/>
      <c r="AQ131" s="210"/>
      <c r="AR131" s="217" t="str">
        <f>IF(ROUND(CF!AR22,0)=ROUND(SUM(CF!AN22:AQ22),0),"OK","ERROR")</f>
        <v>OK</v>
      </c>
      <c r="AS131" s="222"/>
      <c r="AT131" s="217" t="str">
        <f>IF(ROUND(CF!AT22,0)=ROUND(SUM(CF!AP22:AS22),0),"OK","ERROR")</f>
        <v>OK</v>
      </c>
      <c r="AU131" s="222"/>
      <c r="AV131" s="217" t="str">
        <f>IF(ROUND(CF!AV22,0)=ROUND(SUM(CF!AR22:AU22),0),"OK","ERROR")</f>
        <v>OK</v>
      </c>
      <c r="AW131" s="240"/>
      <c r="AX131" s="217" t="str">
        <f>IF(ROUND(CF!AX22,0)=ROUND(SUM(CF!AT22:AW22),0),"OK","ERROR")</f>
        <v>OK</v>
      </c>
    </row>
    <row r="132" spans="1:50" s="54" customFormat="1" ht="15" customHeight="1">
      <c r="A132" s="113"/>
      <c r="B132" s="156" t="s">
        <v>792</v>
      </c>
      <c r="C132" s="115"/>
      <c r="D132" s="215"/>
      <c r="E132" s="215"/>
      <c r="F132" s="215"/>
      <c r="G132" s="215"/>
      <c r="H132" s="217" t="str">
        <f>IF(ROUND(CF!H23,0)=ROUND(SUM(CF!D23:G23),0),"OK","ERROR")</f>
        <v>OK</v>
      </c>
      <c r="I132" s="208"/>
      <c r="J132" s="215"/>
      <c r="K132" s="215"/>
      <c r="L132" s="215"/>
      <c r="M132" s="215"/>
      <c r="N132" s="217" t="str">
        <f>IF(ROUND(CF!N23,0)=ROUND(SUM(CF!J23:M23),0),"OK","ERROR")</f>
        <v>OK</v>
      </c>
      <c r="O132" s="208"/>
      <c r="P132" s="215"/>
      <c r="Q132" s="215"/>
      <c r="R132" s="215"/>
      <c r="S132" s="215"/>
      <c r="T132" s="217" t="str">
        <f>IF(ROUND(CF!T23,0)=ROUND(SUM(CF!P23:S23),0),"OK","ERROR")</f>
        <v>ERROR</v>
      </c>
      <c r="U132" s="208"/>
      <c r="V132" s="215"/>
      <c r="W132" s="215"/>
      <c r="X132" s="215"/>
      <c r="Y132" s="215"/>
      <c r="Z132" s="217" t="str">
        <f>IF(ROUND(CF!Z23,0)=ROUND(SUM(CF!V23:Y23),0),"OK","ERROR")</f>
        <v>OK</v>
      </c>
      <c r="AA132" s="211"/>
      <c r="AB132" s="215"/>
      <c r="AC132" s="215"/>
      <c r="AD132" s="215"/>
      <c r="AE132" s="215"/>
      <c r="AF132" s="217" t="str">
        <f>IF(ROUND(CF!AF23,0)=ROUND(SUM(CF!AB23:AE23),0),"OK","ERROR")</f>
        <v>OK</v>
      </c>
      <c r="AG132" s="209"/>
      <c r="AH132" s="215"/>
      <c r="AI132" s="215"/>
      <c r="AJ132" s="210"/>
      <c r="AK132" s="210"/>
      <c r="AL132" s="217" t="str">
        <f>IF(ROUND(CF!AL23,0)=ROUND(SUM(CF!AH23:AK23),0),"OK","ERROR")</f>
        <v>OK</v>
      </c>
      <c r="AM132" s="222"/>
      <c r="AN132" s="210"/>
      <c r="AO132" s="210"/>
      <c r="AP132" s="210"/>
      <c r="AQ132" s="210"/>
      <c r="AR132" s="217" t="str">
        <f>IF(ROUND(CF!AR23,0)=ROUND(SUM(CF!AN23:AQ23),0),"OK","ERROR")</f>
        <v>OK</v>
      </c>
      <c r="AS132" s="222"/>
      <c r="AT132" s="217" t="str">
        <f>IF(ROUND(CF!AT23,0)=ROUND(SUM(CF!AP23:AS23),0),"OK","ERROR")</f>
        <v>OK</v>
      </c>
      <c r="AU132" s="222"/>
      <c r="AV132" s="217" t="str">
        <f>IF(ROUND(CF!AV23,0)=ROUND(SUM(CF!AR23:AU23),0),"OK","ERROR")</f>
        <v>OK</v>
      </c>
      <c r="AW132" s="240"/>
      <c r="AX132" s="217" t="str">
        <f>IF(ROUND(CF!AX23,0)=ROUND(SUM(CF!AT23:AW23),0),"OK","ERROR")</f>
        <v>OK</v>
      </c>
    </row>
    <row r="133" spans="1:50" s="54" customFormat="1" ht="15" customHeight="1">
      <c r="A133" s="113"/>
      <c r="B133" s="156" t="s">
        <v>125</v>
      </c>
      <c r="C133" s="115"/>
      <c r="D133" s="215"/>
      <c r="E133" s="215"/>
      <c r="F133" s="215"/>
      <c r="G133" s="215"/>
      <c r="H133" s="223" t="str">
        <f>IF(ROUND(CF!H24,0)=ROUND(SUM(CF!D24:G24),0),"OK","ERROR")</f>
        <v>OK</v>
      </c>
      <c r="I133" s="208"/>
      <c r="J133" s="215"/>
      <c r="K133" s="215"/>
      <c r="L133" s="215"/>
      <c r="M133" s="215"/>
      <c r="N133" s="223" t="str">
        <f>IF(ROUND(CF!N24,0)=ROUND(SUM(CF!J24:M24),0),"OK","ERROR")</f>
        <v>OK</v>
      </c>
      <c r="O133" s="208"/>
      <c r="P133" s="215"/>
      <c r="Q133" s="215"/>
      <c r="R133" s="215"/>
      <c r="S133" s="215"/>
      <c r="T133" s="223" t="str">
        <f>IF(ROUND(CF!T24,0)=ROUND(SUM(CF!P24:S24),0),"OK","ERROR")</f>
        <v>ERROR</v>
      </c>
      <c r="U133" s="208"/>
      <c r="V133" s="215"/>
      <c r="W133" s="215"/>
      <c r="X133" s="215"/>
      <c r="Y133" s="215"/>
      <c r="Z133" s="223" t="str">
        <f>IF(ROUND(CF!Z24,0)=ROUND(SUM(CF!V24:Y24),0),"OK","ERROR")</f>
        <v>OK</v>
      </c>
      <c r="AA133" s="225"/>
      <c r="AB133" s="215"/>
      <c r="AC133" s="215"/>
      <c r="AD133" s="215"/>
      <c r="AE133" s="215"/>
      <c r="AF133" s="223" t="str">
        <f>IF(ROUND(CF!AF24,0)=ROUND(SUM(CF!AB24:AE24),0),"OK","ERROR")</f>
        <v>OK</v>
      </c>
      <c r="AG133" s="226"/>
      <c r="AH133" s="215"/>
      <c r="AI133" s="215"/>
      <c r="AJ133" s="210"/>
      <c r="AK133" s="210"/>
      <c r="AL133" s="223" t="str">
        <f>IF(ROUND(CF!AL24,0)=ROUND(SUM(CF!AH24:AK24),0),"OK","ERROR")</f>
        <v>OK</v>
      </c>
      <c r="AM133" s="227"/>
      <c r="AN133" s="210"/>
      <c r="AO133" s="210"/>
      <c r="AP133" s="210"/>
      <c r="AQ133" s="210"/>
      <c r="AR133" s="223" t="str">
        <f>IF(ROUND(CF!AR24,0)=ROUND(SUM(CF!AN24:AQ24),0),"OK","ERROR")</f>
        <v>OK</v>
      </c>
      <c r="AS133" s="227"/>
      <c r="AT133" s="223" t="str">
        <f>IF(ROUND(CF!AT24,0)=ROUND(SUM(CF!AP24:AS24),0),"OK","ERROR")</f>
        <v>OK</v>
      </c>
      <c r="AU133" s="227"/>
      <c r="AV133" s="223" t="str">
        <f>IF(ROUND(CF!AV24,0)=ROUND(SUM(CF!AR24:AU24),0),"OK","ERROR")</f>
        <v>OK</v>
      </c>
      <c r="AW133" s="240"/>
      <c r="AX133" s="223" t="str">
        <f>IF(ROUND(CF!AX24,0)=ROUND(SUM(CF!AT24:AW24),0),"OK","ERROR")</f>
        <v>OK</v>
      </c>
    </row>
    <row r="134" spans="1:50" s="54" customFormat="1" ht="15" customHeight="1" thickBot="1">
      <c r="A134" s="84"/>
      <c r="B134" s="157" t="s">
        <v>816</v>
      </c>
      <c r="C134" s="26"/>
      <c r="D134" s="215"/>
      <c r="E134" s="215"/>
      <c r="F134" s="215"/>
      <c r="G134" s="215"/>
      <c r="H134" s="232" t="str">
        <f>IF(ROUND(CF!H25,0)=ROUND(SUM(CF!D25:G25),0),"OK","ERROR")</f>
        <v>OK</v>
      </c>
      <c r="I134" s="208"/>
      <c r="J134" s="215"/>
      <c r="K134" s="215"/>
      <c r="L134" s="215"/>
      <c r="M134" s="215"/>
      <c r="N134" s="232" t="str">
        <f>IF(ROUND(CF!N25,0)=ROUND(SUM(CF!J25:M25),0),"OK","ERROR")</f>
        <v>OK</v>
      </c>
      <c r="O134" s="208"/>
      <c r="P134" s="215"/>
      <c r="Q134" s="215"/>
      <c r="R134" s="215"/>
      <c r="S134" s="215"/>
      <c r="T134" s="232" t="str">
        <f>IF(ROUND(CF!T25,0)=ROUND(SUM(CF!P25:S25),0),"OK","ERROR")</f>
        <v>ERROR</v>
      </c>
      <c r="U134" s="208"/>
      <c r="V134" s="215"/>
      <c r="W134" s="215"/>
      <c r="X134" s="215"/>
      <c r="Y134" s="215"/>
      <c r="Z134" s="232" t="str">
        <f>IF(ROUND(CF!Z25,0)=ROUND(SUM(CF!V25:Y25),0),"OK","ERROR")</f>
        <v>OK</v>
      </c>
      <c r="AA134" s="225"/>
      <c r="AB134" s="215"/>
      <c r="AC134" s="215"/>
      <c r="AD134" s="215"/>
      <c r="AE134" s="215"/>
      <c r="AF134" s="232" t="str">
        <f>IF(ROUND(CF!AF25,0)=ROUND(SUM(CF!AB25:AE25),0),"OK","ERROR")</f>
        <v>OK</v>
      </c>
      <c r="AG134" s="226"/>
      <c r="AH134" s="215"/>
      <c r="AI134" s="215"/>
      <c r="AJ134" s="210"/>
      <c r="AK134" s="210"/>
      <c r="AL134" s="232" t="str">
        <f>IF(ROUND(CF!AL25,0)=ROUND(SUM(CF!AH25:AK25),0),"OK","ERROR")</f>
        <v>ERROR</v>
      </c>
      <c r="AM134" s="227"/>
      <c r="AN134" s="210"/>
      <c r="AO134" s="210"/>
      <c r="AP134" s="210"/>
      <c r="AQ134" s="210"/>
      <c r="AR134" s="232" t="str">
        <f>IF(ROUND(CF!AR25,0)=ROUND(SUM(CF!AN25:AQ25),0),"OK","ERROR")</f>
        <v>OK</v>
      </c>
      <c r="AS134" s="227"/>
      <c r="AT134" s="232" t="str">
        <f>IF(ROUND(CF!AT25,0)=ROUND(SUM(CF!AP25:AS25),0),"OK","ERROR")</f>
        <v>OK</v>
      </c>
      <c r="AU134" s="227"/>
      <c r="AV134" s="232" t="str">
        <f>IF(ROUND(CF!AV25,0)=ROUND(SUM(CF!AR25:AU25),0),"OK","ERROR")</f>
        <v>OK</v>
      </c>
      <c r="AW134" s="240"/>
      <c r="AX134" s="232" t="str">
        <f>IF(ROUND(CF!AX25,0)=ROUND(SUM(CF!AT25:AW25),0),"OK","ERROR")</f>
        <v>OK</v>
      </c>
    </row>
    <row r="135" spans="1:50" s="54" customFormat="1" ht="15" customHeight="1" thickTop="1">
      <c r="A135" s="43"/>
      <c r="B135" s="154"/>
      <c r="C135" s="17"/>
      <c r="D135" s="206"/>
      <c r="E135" s="206"/>
      <c r="F135" s="206"/>
      <c r="G135" s="206"/>
      <c r="H135" s="217"/>
      <c r="I135" s="208"/>
      <c r="J135" s="206"/>
      <c r="K135" s="206"/>
      <c r="L135" s="206"/>
      <c r="M135" s="206"/>
      <c r="N135" s="217"/>
      <c r="O135" s="208"/>
      <c r="P135" s="206"/>
      <c r="Q135" s="206"/>
      <c r="R135" s="206"/>
      <c r="S135" s="206"/>
      <c r="T135" s="217"/>
      <c r="U135" s="208"/>
      <c r="V135" s="206"/>
      <c r="W135" s="206"/>
      <c r="X135" s="206"/>
      <c r="Y135" s="206"/>
      <c r="Z135" s="217"/>
      <c r="AA135" s="211"/>
      <c r="AB135" s="206"/>
      <c r="AC135" s="206"/>
      <c r="AD135" s="206"/>
      <c r="AE135" s="206"/>
      <c r="AF135" s="217"/>
      <c r="AG135" s="209"/>
      <c r="AH135" s="206"/>
      <c r="AI135" s="206"/>
      <c r="AJ135" s="210"/>
      <c r="AK135" s="210"/>
      <c r="AL135" s="217"/>
      <c r="AM135" s="222"/>
      <c r="AN135" s="210"/>
      <c r="AO135" s="210"/>
      <c r="AP135" s="210"/>
      <c r="AQ135" s="210"/>
      <c r="AR135" s="217"/>
      <c r="AS135" s="222"/>
      <c r="AT135" s="217"/>
      <c r="AU135" s="222"/>
      <c r="AV135" s="217"/>
      <c r="AW135" s="240"/>
      <c r="AX135" s="217"/>
    </row>
    <row r="136" spans="1:50" s="54" customFormat="1" ht="15" customHeight="1">
      <c r="A136" s="44" t="s">
        <v>41</v>
      </c>
      <c r="B136" s="158" t="s">
        <v>817</v>
      </c>
      <c r="C136" s="115"/>
      <c r="D136" s="206"/>
      <c r="E136" s="206"/>
      <c r="F136" s="206"/>
      <c r="G136" s="206"/>
      <c r="H136" s="217"/>
      <c r="I136" s="208"/>
      <c r="J136" s="206"/>
      <c r="K136" s="206"/>
      <c r="L136" s="206"/>
      <c r="M136" s="206"/>
      <c r="N136" s="217"/>
      <c r="O136" s="208"/>
      <c r="P136" s="206"/>
      <c r="Q136" s="206"/>
      <c r="R136" s="206"/>
      <c r="S136" s="206"/>
      <c r="T136" s="217"/>
      <c r="U136" s="208"/>
      <c r="V136" s="206"/>
      <c r="W136" s="206"/>
      <c r="X136" s="206"/>
      <c r="Y136" s="206"/>
      <c r="Z136" s="217"/>
      <c r="AA136" s="225"/>
      <c r="AB136" s="206"/>
      <c r="AC136" s="206"/>
      <c r="AD136" s="206"/>
      <c r="AE136" s="206"/>
      <c r="AF136" s="217"/>
      <c r="AG136" s="226"/>
      <c r="AH136" s="206"/>
      <c r="AI136" s="206"/>
      <c r="AJ136" s="210"/>
      <c r="AK136" s="210"/>
      <c r="AL136" s="217"/>
      <c r="AM136" s="227"/>
      <c r="AN136" s="210"/>
      <c r="AO136" s="210"/>
      <c r="AP136" s="210"/>
      <c r="AQ136" s="210"/>
      <c r="AR136" s="217"/>
      <c r="AS136" s="227"/>
      <c r="AT136" s="217"/>
      <c r="AU136" s="227"/>
      <c r="AV136" s="217"/>
      <c r="AW136" s="240"/>
      <c r="AX136" s="217"/>
    </row>
    <row r="137" spans="1:50" s="54" customFormat="1" ht="15" customHeight="1">
      <c r="A137" s="43"/>
      <c r="B137" s="159" t="s">
        <v>818</v>
      </c>
      <c r="C137" s="17"/>
      <c r="D137" s="215"/>
      <c r="E137" s="215"/>
      <c r="F137" s="215"/>
      <c r="G137" s="215"/>
      <c r="H137" s="217" t="str">
        <f>IF(ROUND(CF!H28,0)=ROUND(SUM(CF!D28:G28),0),"OK","ERROR")</f>
        <v>OK</v>
      </c>
      <c r="I137" s="208"/>
      <c r="J137" s="215"/>
      <c r="K137" s="215"/>
      <c r="L137" s="215"/>
      <c r="M137" s="215"/>
      <c r="N137" s="217" t="str">
        <f>IF(ROUND(CF!N28,0)=ROUND(SUM(CF!J28:M28),0),"OK","ERROR")</f>
        <v>OK</v>
      </c>
      <c r="O137" s="208"/>
      <c r="P137" s="215"/>
      <c r="Q137" s="215"/>
      <c r="R137" s="215"/>
      <c r="S137" s="215"/>
      <c r="T137" s="217" t="str">
        <f>IF(ROUND(CF!T28,0)=ROUND(SUM(CF!P28:S28),0),"OK","ERROR")</f>
        <v>ERROR</v>
      </c>
      <c r="U137" s="208"/>
      <c r="V137" s="215"/>
      <c r="W137" s="215"/>
      <c r="X137" s="215"/>
      <c r="Y137" s="215"/>
      <c r="Z137" s="217" t="str">
        <f>IF(ROUND(CF!Z28,0)=ROUND(SUM(CF!V28:Y28),0),"OK","ERROR")</f>
        <v>OK</v>
      </c>
      <c r="AA137" s="211"/>
      <c r="AB137" s="215"/>
      <c r="AC137" s="215"/>
      <c r="AD137" s="215"/>
      <c r="AE137" s="215"/>
      <c r="AF137" s="217" t="str">
        <f>IF(ROUND(CF!AF28,0)=ROUND(SUM(CF!AB28:AE28),0),"OK","ERROR")</f>
        <v>OK</v>
      </c>
      <c r="AG137" s="209"/>
      <c r="AH137" s="215"/>
      <c r="AI137" s="215"/>
      <c r="AJ137" s="210"/>
      <c r="AK137" s="210"/>
      <c r="AL137" s="217" t="str">
        <f>IF(ROUND(CF!AL28,0)=ROUND(SUM(CF!AH28:AK28),0),"OK","ERROR")</f>
        <v>OK</v>
      </c>
      <c r="AM137" s="222"/>
      <c r="AN137" s="210"/>
      <c r="AO137" s="210"/>
      <c r="AP137" s="210"/>
      <c r="AQ137" s="210"/>
      <c r="AR137" s="217" t="str">
        <f>IF(ROUND(CF!AR28,0)=ROUND(SUM(CF!AN28:AQ28),0),"OK","ERROR")</f>
        <v>OK</v>
      </c>
      <c r="AS137" s="222"/>
      <c r="AT137" s="217" t="str">
        <f>IF(ROUND(CF!AT28,0)=ROUND(SUM(CF!AP28:AS28),0),"OK","ERROR")</f>
        <v>OK</v>
      </c>
      <c r="AU137" s="222"/>
      <c r="AV137" s="217" t="str">
        <f>IF(ROUND(CF!AV28,0)=ROUND(SUM(CF!AR28:AU28),0),"OK","ERROR")</f>
        <v>OK</v>
      </c>
      <c r="AW137" s="240"/>
      <c r="AX137" s="217" t="str">
        <f>IF(ROUND(CF!AX28,0)=ROUND(SUM(CF!AT28:AW28),0),"OK","ERROR")</f>
        <v>OK</v>
      </c>
    </row>
    <row r="138" spans="1:50" s="54" customFormat="1" ht="15" customHeight="1">
      <c r="A138" s="113"/>
      <c r="B138" s="159" t="s">
        <v>819</v>
      </c>
      <c r="C138" s="115"/>
      <c r="D138" s="215"/>
      <c r="E138" s="215"/>
      <c r="F138" s="215"/>
      <c r="G138" s="215"/>
      <c r="H138" s="217" t="str">
        <f>IF(ROUND(CF!H29,0)=ROUND(SUM(CF!D29:G29),0),"OK","ERROR")</f>
        <v>OK</v>
      </c>
      <c r="I138" s="208"/>
      <c r="J138" s="215"/>
      <c r="K138" s="215"/>
      <c r="L138" s="215"/>
      <c r="M138" s="215"/>
      <c r="N138" s="217" t="str">
        <f>IF(ROUND(CF!N29,0)=ROUND(SUM(CF!J29:M29),0),"OK","ERROR")</f>
        <v>OK</v>
      </c>
      <c r="O138" s="208"/>
      <c r="P138" s="215"/>
      <c r="Q138" s="215"/>
      <c r="R138" s="215"/>
      <c r="S138" s="215"/>
      <c r="T138" s="217" t="str">
        <f>IF(ROUND(CF!T29,0)=ROUND(SUM(CF!P29:S29),0),"OK","ERROR")</f>
        <v>OK</v>
      </c>
      <c r="U138" s="208"/>
      <c r="V138" s="215"/>
      <c r="W138" s="215"/>
      <c r="X138" s="215"/>
      <c r="Y138" s="215"/>
      <c r="Z138" s="217" t="str">
        <f>IF(ROUND(CF!Z29,0)=ROUND(SUM(CF!V29:Y29),0),"OK","ERROR")</f>
        <v>OK</v>
      </c>
      <c r="AA138" s="225"/>
      <c r="AB138" s="215"/>
      <c r="AC138" s="215"/>
      <c r="AD138" s="215"/>
      <c r="AE138" s="215"/>
      <c r="AF138" s="217" t="str">
        <f>IF(ROUND(CF!AF29,0)=ROUND(SUM(CF!AB29:AE29),0),"OK","ERROR")</f>
        <v>OK</v>
      </c>
      <c r="AG138" s="226"/>
      <c r="AH138" s="215"/>
      <c r="AI138" s="215"/>
      <c r="AJ138" s="210"/>
      <c r="AK138" s="210"/>
      <c r="AL138" s="217" t="str">
        <f>IF(ROUND(CF!AL29,0)=ROUND(SUM(CF!AH29:AK29),0),"OK","ERROR")</f>
        <v>OK</v>
      </c>
      <c r="AM138" s="227"/>
      <c r="AN138" s="210"/>
      <c r="AO138" s="210"/>
      <c r="AP138" s="210"/>
      <c r="AQ138" s="210"/>
      <c r="AR138" s="217" t="str">
        <f>IF(ROUND(CF!AR29,0)=ROUND(SUM(CF!AN29:AQ29),0),"OK","ERROR")</f>
        <v>OK</v>
      </c>
      <c r="AS138" s="227"/>
      <c r="AT138" s="217" t="str">
        <f>IF(ROUND(CF!AT29,0)=ROUND(SUM(CF!AP29:AS29),0),"OK","ERROR")</f>
        <v>OK</v>
      </c>
      <c r="AU138" s="227"/>
      <c r="AV138" s="217" t="str">
        <f>IF(ROUND(CF!AV29,0)=ROUND(SUM(CF!AR29:AU29),0),"OK","ERROR")</f>
        <v>OK</v>
      </c>
      <c r="AW138" s="240"/>
      <c r="AX138" s="217" t="str">
        <f>IF(ROUND(CF!AX29,0)=ROUND(SUM(CF!AT29:AW29),0),"OK","ERROR")</f>
        <v>OK</v>
      </c>
    </row>
    <row r="139" spans="1:50" s="54" customFormat="1" ht="15" customHeight="1">
      <c r="A139" s="43"/>
      <c r="B139" s="159" t="s">
        <v>820</v>
      </c>
      <c r="C139" s="17"/>
      <c r="D139" s="215"/>
      <c r="E139" s="215"/>
      <c r="F139" s="215"/>
      <c r="G139" s="215"/>
      <c r="H139" s="217" t="str">
        <f>IF(ROUND(CF!H30,0)=ROUND(SUM(CF!D30:G30),0),"OK","ERROR")</f>
        <v>OK</v>
      </c>
      <c r="I139" s="208"/>
      <c r="J139" s="215"/>
      <c r="K139" s="215"/>
      <c r="L139" s="215"/>
      <c r="M139" s="215"/>
      <c r="N139" s="217" t="str">
        <f>IF(ROUND(CF!N30,0)=ROUND(SUM(CF!J30:M30),0),"OK","ERROR")</f>
        <v>OK</v>
      </c>
      <c r="O139" s="208"/>
      <c r="P139" s="215"/>
      <c r="Q139" s="215"/>
      <c r="R139" s="215"/>
      <c r="S139" s="215"/>
      <c r="T139" s="217" t="str">
        <f>IF(ROUND(CF!T30,0)=ROUND(SUM(CF!P30:S30),0),"OK","ERROR")</f>
        <v>OK</v>
      </c>
      <c r="U139" s="208"/>
      <c r="V139" s="215"/>
      <c r="W139" s="215"/>
      <c r="X139" s="215"/>
      <c r="Y139" s="215"/>
      <c r="Z139" s="217" t="str">
        <f>IF(ROUND(CF!Z30,0)=ROUND(SUM(CF!V30:Y30),0),"OK","ERROR")</f>
        <v>OK</v>
      </c>
      <c r="AA139" s="211"/>
      <c r="AB139" s="215"/>
      <c r="AC139" s="215"/>
      <c r="AD139" s="215"/>
      <c r="AE139" s="215"/>
      <c r="AF139" s="217" t="str">
        <f>IF(ROUND(CF!AF30,0)=ROUND(SUM(CF!AB30:AE30),0),"OK","ERROR")</f>
        <v>OK</v>
      </c>
      <c r="AG139" s="209"/>
      <c r="AH139" s="215"/>
      <c r="AI139" s="215"/>
      <c r="AJ139" s="210"/>
      <c r="AK139" s="210"/>
      <c r="AL139" s="217" t="str">
        <f>IF(ROUND(CF!AL30,0)=ROUND(SUM(CF!AH30:AK30),0),"OK","ERROR")</f>
        <v>OK</v>
      </c>
      <c r="AM139" s="222"/>
      <c r="AN139" s="210"/>
      <c r="AO139" s="210"/>
      <c r="AP139" s="210"/>
      <c r="AQ139" s="210"/>
      <c r="AR139" s="217" t="str">
        <f>IF(ROUND(CF!AR30,0)=ROUND(SUM(CF!AN30:AQ30),0),"OK","ERROR")</f>
        <v>OK</v>
      </c>
      <c r="AS139" s="222"/>
      <c r="AT139" s="217" t="str">
        <f>IF(ROUND(CF!AT30,0)=ROUND(SUM(CF!AP30:AS30),0),"OK","ERROR")</f>
        <v>OK</v>
      </c>
      <c r="AU139" s="222"/>
      <c r="AV139" s="217" t="str">
        <f>IF(ROUND(CF!AV30,0)=ROUND(SUM(CF!AR30:AU30),0),"OK","ERROR")</f>
        <v>OK</v>
      </c>
      <c r="AW139" s="240"/>
      <c r="AX139" s="217" t="str">
        <f>IF(ROUND(CF!AX30,0)=ROUND(SUM(CF!AT30:AW30),0),"OK","ERROR")</f>
        <v>OK</v>
      </c>
    </row>
    <row r="140" spans="1:50" s="54" customFormat="1" ht="15" customHeight="1">
      <c r="A140" s="113"/>
      <c r="B140" s="159" t="s">
        <v>821</v>
      </c>
      <c r="C140" s="115"/>
      <c r="D140" s="215"/>
      <c r="E140" s="215"/>
      <c r="F140" s="215"/>
      <c r="G140" s="215"/>
      <c r="H140" s="217" t="str">
        <f>IF(ROUND(CF!H31,0)=ROUND(SUM(CF!D31:G31),0),"OK","ERROR")</f>
        <v>OK</v>
      </c>
      <c r="I140" s="208"/>
      <c r="J140" s="215"/>
      <c r="K140" s="215"/>
      <c r="L140" s="215"/>
      <c r="M140" s="215"/>
      <c r="N140" s="217" t="str">
        <f>IF(ROUND(CF!N31,0)=ROUND(SUM(CF!J31:M31),0),"OK","ERROR")</f>
        <v>OK</v>
      </c>
      <c r="O140" s="208"/>
      <c r="P140" s="215"/>
      <c r="Q140" s="215"/>
      <c r="R140" s="215"/>
      <c r="S140" s="215"/>
      <c r="T140" s="217" t="str">
        <f>IF(ROUND(CF!T31,0)=ROUND(SUM(CF!P31:S31),0),"OK","ERROR")</f>
        <v>OK</v>
      </c>
      <c r="U140" s="208"/>
      <c r="V140" s="215"/>
      <c r="W140" s="215"/>
      <c r="X140" s="215"/>
      <c r="Y140" s="215"/>
      <c r="Z140" s="217" t="str">
        <f>IF(ROUND(CF!Z31,0)=ROUND(SUM(CF!V31:Y31),0),"OK","ERROR")</f>
        <v>OK</v>
      </c>
      <c r="AA140" s="225"/>
      <c r="AB140" s="215"/>
      <c r="AC140" s="215"/>
      <c r="AD140" s="215"/>
      <c r="AE140" s="215"/>
      <c r="AF140" s="217" t="str">
        <f>IF(ROUND(CF!AF31,0)=ROUND(SUM(CF!AB31:AE31),0),"OK","ERROR")</f>
        <v>OK</v>
      </c>
      <c r="AG140" s="226"/>
      <c r="AH140" s="215"/>
      <c r="AI140" s="215"/>
      <c r="AJ140" s="210"/>
      <c r="AK140" s="210"/>
      <c r="AL140" s="217" t="str">
        <f>IF(ROUND(CF!AL31,0)=ROUND(SUM(CF!AH31:AK31),0),"OK","ERROR")</f>
        <v>OK</v>
      </c>
      <c r="AM140" s="230"/>
      <c r="AN140" s="210"/>
      <c r="AO140" s="210"/>
      <c r="AP140" s="210"/>
      <c r="AQ140" s="210"/>
      <c r="AR140" s="217" t="str">
        <f>IF(ROUND(CF!AR31,0)=ROUND(SUM(CF!AN31:AQ31),0),"OK","ERROR")</f>
        <v>OK</v>
      </c>
      <c r="AS140" s="230"/>
      <c r="AT140" s="217" t="str">
        <f>IF(ROUND(CF!AT31,0)=ROUND(SUM(CF!AP31:AS31),0),"OK","ERROR")</f>
        <v>OK</v>
      </c>
      <c r="AU140" s="230"/>
      <c r="AV140" s="217" t="str">
        <f>IF(ROUND(CF!AV31,0)=ROUND(SUM(CF!AR31:AU31),0),"OK","ERROR")</f>
        <v>OK</v>
      </c>
      <c r="AW140" s="240"/>
      <c r="AX140" s="217" t="str">
        <f>IF(ROUND(CF!AX31,0)=ROUND(SUM(CF!AT31:AW31),0),"OK","ERROR")</f>
        <v>OK</v>
      </c>
    </row>
    <row r="141" spans="1:50" s="54" customFormat="1" ht="15" customHeight="1">
      <c r="A141" s="113"/>
      <c r="B141" s="159" t="s">
        <v>822</v>
      </c>
      <c r="C141" s="115"/>
      <c r="D141" s="215"/>
      <c r="E141" s="215"/>
      <c r="F141" s="215"/>
      <c r="G141" s="215"/>
      <c r="H141" s="217" t="str">
        <f>IF(ROUND(CF!H32,0)=ROUND(SUM(CF!D32:G32),0),"OK","ERROR")</f>
        <v>OK</v>
      </c>
      <c r="I141" s="208"/>
      <c r="J141" s="215"/>
      <c r="K141" s="215"/>
      <c r="L141" s="215"/>
      <c r="M141" s="215"/>
      <c r="N141" s="217" t="str">
        <f>IF(ROUND(CF!N32,0)=ROUND(SUM(CF!J32:M32),0),"OK","ERROR")</f>
        <v>OK</v>
      </c>
      <c r="O141" s="208"/>
      <c r="P141" s="215"/>
      <c r="Q141" s="215"/>
      <c r="R141" s="215"/>
      <c r="S141" s="215"/>
      <c r="T141" s="217" t="str">
        <f>IF(ROUND(CF!T32,0)=ROUND(SUM(CF!P32:S32),0),"OK","ERROR")</f>
        <v>OK</v>
      </c>
      <c r="U141" s="208"/>
      <c r="V141" s="215"/>
      <c r="W141" s="215"/>
      <c r="X141" s="215"/>
      <c r="Y141" s="215"/>
      <c r="Z141" s="217" t="str">
        <f>IF(ROUND(CF!Z32,0)=ROUND(SUM(CF!V32:Y32),0),"OK","ERROR")</f>
        <v>OK</v>
      </c>
      <c r="AA141" s="225"/>
      <c r="AB141" s="215"/>
      <c r="AC141" s="215"/>
      <c r="AD141" s="215"/>
      <c r="AE141" s="215"/>
      <c r="AF141" s="217" t="str">
        <f>IF(ROUND(CF!AF32,0)=ROUND(SUM(CF!AB32:AE32),0),"OK","ERROR")</f>
        <v>OK</v>
      </c>
      <c r="AG141" s="226"/>
      <c r="AH141" s="215"/>
      <c r="AI141" s="215"/>
      <c r="AJ141" s="210"/>
      <c r="AK141" s="210"/>
      <c r="AL141" s="217" t="str">
        <f>IF(ROUND(CF!AL32,0)=ROUND(SUM(CF!AH32:AK32),0),"OK","ERROR")</f>
        <v>OK</v>
      </c>
      <c r="AM141" s="230"/>
      <c r="AN141" s="210"/>
      <c r="AO141" s="210"/>
      <c r="AP141" s="210"/>
      <c r="AQ141" s="210"/>
      <c r="AR141" s="217" t="str">
        <f>IF(ROUND(CF!AR32,0)=ROUND(SUM(CF!AN32:AQ32),0),"OK","ERROR")</f>
        <v>OK</v>
      </c>
      <c r="AS141" s="230"/>
      <c r="AT141" s="217" t="str">
        <f>IF(ROUND(CF!AT32,0)=ROUND(SUM(CF!AP32:AS32),0),"OK","ERROR")</f>
        <v>OK</v>
      </c>
      <c r="AU141" s="230"/>
      <c r="AV141" s="217" t="str">
        <f>IF(ROUND(CF!AV32,0)=ROUND(SUM(CF!AR32:AU32),0),"OK","ERROR")</f>
        <v>OK</v>
      </c>
      <c r="AW141" s="240"/>
      <c r="AX141" s="217" t="str">
        <f>IF(ROUND(CF!AX32,0)=ROUND(SUM(CF!AT32:AW32),0),"OK","ERROR")</f>
        <v>OK</v>
      </c>
    </row>
    <row r="142" spans="1:50" s="54" customFormat="1" ht="15" customHeight="1">
      <c r="A142" s="113"/>
      <c r="B142" s="159" t="s">
        <v>823</v>
      </c>
      <c r="C142" s="17"/>
      <c r="D142" s="215"/>
      <c r="E142" s="215"/>
      <c r="F142" s="215"/>
      <c r="G142" s="215"/>
      <c r="H142" s="217" t="str">
        <f>IF(ROUND(CF!H33,0)=ROUND(SUM(CF!D33:G33),0),"OK","ERROR")</f>
        <v>OK</v>
      </c>
      <c r="I142" s="208"/>
      <c r="J142" s="215"/>
      <c r="K142" s="215"/>
      <c r="L142" s="215"/>
      <c r="M142" s="215"/>
      <c r="N142" s="217" t="str">
        <f>IF(ROUND(CF!N33,0)=ROUND(SUM(CF!J33:M33),0),"OK","ERROR")</f>
        <v>OK</v>
      </c>
      <c r="O142" s="208"/>
      <c r="P142" s="215"/>
      <c r="Q142" s="215"/>
      <c r="R142" s="215"/>
      <c r="S142" s="215"/>
      <c r="T142" s="217" t="str">
        <f>IF(ROUND(CF!T33,0)=ROUND(SUM(CF!P33:S33),0),"OK","ERROR")</f>
        <v>OK</v>
      </c>
      <c r="U142" s="208"/>
      <c r="V142" s="215"/>
      <c r="W142" s="215"/>
      <c r="X142" s="215"/>
      <c r="Y142" s="215"/>
      <c r="Z142" s="217" t="str">
        <f>IF(ROUND(CF!Z33,0)=ROUND(SUM(CF!V33:Y33),0),"OK","ERROR")</f>
        <v>OK</v>
      </c>
      <c r="AA142" s="211"/>
      <c r="AB142" s="215"/>
      <c r="AC142" s="215"/>
      <c r="AD142" s="215"/>
      <c r="AE142" s="215"/>
      <c r="AF142" s="217" t="str">
        <f>IF(ROUND(CF!AF33,0)=ROUND(SUM(CF!AB33:AE33),0),"OK","ERROR")</f>
        <v>OK</v>
      </c>
      <c r="AG142" s="209"/>
      <c r="AH142" s="215"/>
      <c r="AI142" s="215"/>
      <c r="AJ142" s="210"/>
      <c r="AK142" s="210"/>
      <c r="AL142" s="217" t="str">
        <f>IF(ROUND(CF!AL33,0)=ROUND(SUM(CF!AH33:AK33),0),"OK","ERROR")</f>
        <v>OK</v>
      </c>
      <c r="AM142" s="222"/>
      <c r="AN142" s="210"/>
      <c r="AO142" s="210"/>
      <c r="AP142" s="210"/>
      <c r="AQ142" s="210"/>
      <c r="AR142" s="217" t="str">
        <f>IF(ROUND(CF!AR33,0)=ROUND(SUM(CF!AN33:AQ33),0),"OK","ERROR")</f>
        <v>OK</v>
      </c>
      <c r="AS142" s="222"/>
      <c r="AT142" s="217" t="str">
        <f>IF(ROUND(CF!AT33,0)=ROUND(SUM(CF!AP33:AS33),0),"OK","ERROR")</f>
        <v>OK</v>
      </c>
      <c r="AU142" s="222"/>
      <c r="AV142" s="217" t="str">
        <f>IF(ROUND(CF!AV33,0)=ROUND(SUM(CF!AR33:AU33),0),"OK","ERROR")</f>
        <v>OK</v>
      </c>
      <c r="AW142" s="240"/>
      <c r="AX142" s="217" t="str">
        <f>IF(ROUND(CF!AX33,0)=ROUND(SUM(CF!AT33:AW33),0),"OK","ERROR")</f>
        <v>OK</v>
      </c>
    </row>
    <row r="143" spans="1:50" s="54" customFormat="1" ht="15" customHeight="1">
      <c r="A143" s="43"/>
      <c r="B143" s="159" t="s">
        <v>824</v>
      </c>
      <c r="C143" s="17"/>
      <c r="D143" s="215"/>
      <c r="E143" s="215"/>
      <c r="F143" s="215"/>
      <c r="G143" s="215"/>
      <c r="H143" s="217" t="str">
        <f>IF(ROUND(CF!H34,0)=ROUND(SUM(CF!D34:G34),0),"OK","ERROR")</f>
        <v>OK</v>
      </c>
      <c r="I143" s="208"/>
      <c r="J143" s="215"/>
      <c r="K143" s="215"/>
      <c r="L143" s="215"/>
      <c r="M143" s="215"/>
      <c r="N143" s="217" t="str">
        <f>IF(ROUND(CF!N34,0)=ROUND(SUM(CF!J34:M34),0),"OK","ERROR")</f>
        <v>OK</v>
      </c>
      <c r="O143" s="208"/>
      <c r="P143" s="215"/>
      <c r="Q143" s="215"/>
      <c r="R143" s="215"/>
      <c r="S143" s="215"/>
      <c r="T143" s="217" t="str">
        <f>IF(ROUND(CF!T34,0)=ROUND(SUM(CF!P34:S34),0),"OK","ERROR")</f>
        <v>OK</v>
      </c>
      <c r="U143" s="208"/>
      <c r="V143" s="215"/>
      <c r="W143" s="215"/>
      <c r="X143" s="215"/>
      <c r="Y143" s="215"/>
      <c r="Z143" s="217" t="str">
        <f>IF(ROUND(CF!Z34,0)=ROUND(SUM(CF!V34:Y34),0),"OK","ERROR")</f>
        <v>OK</v>
      </c>
      <c r="AA143" s="211"/>
      <c r="AB143" s="215"/>
      <c r="AC143" s="215"/>
      <c r="AD143" s="215"/>
      <c r="AE143" s="215"/>
      <c r="AF143" s="217" t="str">
        <f>IF(ROUND(CF!AF34,0)=ROUND(SUM(CF!AB34:AE34),0),"OK","ERROR")</f>
        <v>OK</v>
      </c>
      <c r="AG143" s="209"/>
      <c r="AH143" s="215"/>
      <c r="AI143" s="215"/>
      <c r="AJ143" s="210"/>
      <c r="AK143" s="210"/>
      <c r="AL143" s="217" t="str">
        <f>IF(ROUND(CF!AL34,0)=ROUND(SUM(CF!AH34:AK34),0),"OK","ERROR")</f>
        <v>OK</v>
      </c>
      <c r="AM143" s="222"/>
      <c r="AN143" s="210"/>
      <c r="AO143" s="210"/>
      <c r="AP143" s="210"/>
      <c r="AQ143" s="210"/>
      <c r="AR143" s="217" t="str">
        <f>IF(ROUND(CF!AR34,0)=ROUND(SUM(CF!AN34:AQ34),0),"OK","ERROR")</f>
        <v>OK</v>
      </c>
      <c r="AS143" s="222"/>
      <c r="AT143" s="217" t="str">
        <f>IF(ROUND(CF!AT34,0)=ROUND(SUM(CF!AP34:AS34),0),"OK","ERROR")</f>
        <v>OK</v>
      </c>
      <c r="AU143" s="222"/>
      <c r="AV143" s="217" t="str">
        <f>IF(ROUND(CF!AV34,0)=ROUND(SUM(CF!AR34:AU34),0),"OK","ERROR")</f>
        <v>OK</v>
      </c>
      <c r="AW143" s="240"/>
      <c r="AX143" s="217" t="str">
        <f>IF(ROUND(CF!AX34,0)=ROUND(SUM(CF!AT34:AW34),0),"OK","ERROR")</f>
        <v>OK</v>
      </c>
    </row>
    <row r="144" spans="1:50" s="54" customFormat="1" ht="15" customHeight="1">
      <c r="B144" s="159" t="s">
        <v>825</v>
      </c>
      <c r="C144" s="115"/>
      <c r="D144" s="215"/>
      <c r="E144" s="215"/>
      <c r="F144" s="215"/>
      <c r="G144" s="215"/>
      <c r="H144" s="223" t="str">
        <f>IF(ROUND(CF!H35,0)=ROUND(SUM(CF!D35:G35),0),"OK","ERROR")</f>
        <v>OK</v>
      </c>
      <c r="I144" s="208"/>
      <c r="J144" s="215"/>
      <c r="K144" s="215"/>
      <c r="L144" s="215"/>
      <c r="M144" s="215"/>
      <c r="N144" s="223" t="str">
        <f>IF(ROUND(CF!N35,0)=ROUND(SUM(CF!J35:M35),0),"OK","ERROR")</f>
        <v>OK</v>
      </c>
      <c r="O144" s="208"/>
      <c r="P144" s="215"/>
      <c r="Q144" s="215"/>
      <c r="R144" s="215"/>
      <c r="S144" s="215"/>
      <c r="T144" s="223" t="str">
        <f>IF(ROUND(CF!T35,0)=ROUND(SUM(CF!P35:S35),0),"OK","ERROR")</f>
        <v>ERROR</v>
      </c>
      <c r="U144" s="208"/>
      <c r="V144" s="215"/>
      <c r="W144" s="215"/>
      <c r="X144" s="215"/>
      <c r="Y144" s="215"/>
      <c r="Z144" s="223" t="str">
        <f>IF(ROUND(CF!Z35,0)=ROUND(SUM(CF!V35:Y35),0),"OK","ERROR")</f>
        <v>OK</v>
      </c>
      <c r="AA144" s="225"/>
      <c r="AB144" s="215"/>
      <c r="AC144" s="215"/>
      <c r="AD144" s="215"/>
      <c r="AE144" s="215"/>
      <c r="AF144" s="223" t="str">
        <f>IF(ROUND(CF!AF35,0)=ROUND(SUM(CF!AB35:AE35),0),"OK","ERROR")</f>
        <v>OK</v>
      </c>
      <c r="AG144" s="226"/>
      <c r="AH144" s="215"/>
      <c r="AI144" s="215"/>
      <c r="AJ144" s="210"/>
      <c r="AK144" s="210"/>
      <c r="AL144" s="223" t="str">
        <f>IF(ROUND(CF!AL35,0)=ROUND(SUM(CF!AH35:AK35),0),"OK","ERROR")</f>
        <v>ERROR</v>
      </c>
      <c r="AM144" s="227"/>
      <c r="AN144" s="210"/>
      <c r="AO144" s="210"/>
      <c r="AP144" s="210"/>
      <c r="AQ144" s="210"/>
      <c r="AR144" s="223" t="str">
        <f>IF(ROUND(CF!AR35,0)=ROUND(SUM(CF!AN35:AQ35),0),"OK","ERROR")</f>
        <v>OK</v>
      </c>
      <c r="AS144" s="227"/>
      <c r="AT144" s="223" t="str">
        <f>IF(ROUND(CF!AT35,0)=ROUND(SUM(CF!AP35:AS35),0),"OK","ERROR")</f>
        <v>OK</v>
      </c>
      <c r="AU144" s="227"/>
      <c r="AV144" s="223" t="str">
        <f>IF(ROUND(CF!AV35,0)=ROUND(SUM(CF!AR35:AU35),0),"OK","ERROR")</f>
        <v>OK</v>
      </c>
      <c r="AW144" s="240"/>
      <c r="AX144" s="223" t="str">
        <f>IF(ROUND(CF!AX35,0)=ROUND(SUM(CF!AT35:AW35),0),"OK","ERROR")</f>
        <v>OK</v>
      </c>
    </row>
    <row r="145" spans="1:50" s="54" customFormat="1" ht="15" customHeight="1" thickBot="1">
      <c r="A145" s="113"/>
      <c r="B145" s="160" t="s">
        <v>826</v>
      </c>
      <c r="C145" s="17"/>
      <c r="D145" s="215"/>
      <c r="E145" s="215"/>
      <c r="F145" s="215"/>
      <c r="G145" s="215"/>
      <c r="H145" s="232" t="str">
        <f>IF(ROUND(CF!H36,0)=ROUND(SUM(CF!D36:G36),0),"OK","ERROR")</f>
        <v>OK</v>
      </c>
      <c r="I145" s="208"/>
      <c r="J145" s="215"/>
      <c r="K145" s="215"/>
      <c r="L145" s="215"/>
      <c r="M145" s="215"/>
      <c r="N145" s="232" t="str">
        <f>IF(ROUND(CF!N36,0)=ROUND(SUM(CF!J36:M36),0),"OK","ERROR")</f>
        <v>OK</v>
      </c>
      <c r="O145" s="208"/>
      <c r="P145" s="215"/>
      <c r="Q145" s="215"/>
      <c r="R145" s="215"/>
      <c r="S145" s="215"/>
      <c r="T145" s="232" t="str">
        <f>IF(ROUND(CF!T36,0)=ROUND(SUM(CF!P36:S36),0),"OK","ERROR")</f>
        <v>ERROR</v>
      </c>
      <c r="U145" s="208"/>
      <c r="V145" s="215"/>
      <c r="W145" s="215"/>
      <c r="X145" s="215"/>
      <c r="Y145" s="215"/>
      <c r="Z145" s="232" t="str">
        <f>IF(ROUND(CF!Z36,0)=ROUND(SUM(CF!V36:Y36),0),"OK","ERROR")</f>
        <v>OK</v>
      </c>
      <c r="AA145" s="211"/>
      <c r="AB145" s="215"/>
      <c r="AC145" s="215"/>
      <c r="AD145" s="215"/>
      <c r="AE145" s="215"/>
      <c r="AF145" s="232" t="str">
        <f>IF(ROUND(CF!AF36,0)=ROUND(SUM(CF!AB36:AE36),0),"OK","ERROR")</f>
        <v>OK</v>
      </c>
      <c r="AG145" s="209"/>
      <c r="AH145" s="215"/>
      <c r="AI145" s="215"/>
      <c r="AJ145" s="210"/>
      <c r="AK145" s="210"/>
      <c r="AL145" s="232" t="str">
        <f>IF(ROUND(CF!AL36,0)=ROUND(SUM(CF!AH36:AK36),0),"OK","ERROR")</f>
        <v>ERROR</v>
      </c>
      <c r="AM145" s="213"/>
      <c r="AN145" s="210"/>
      <c r="AO145" s="210"/>
      <c r="AP145" s="210"/>
      <c r="AQ145" s="210"/>
      <c r="AR145" s="232" t="str">
        <f>IF(ROUND(CF!AR36,0)=ROUND(SUM(CF!AN36:AQ36),0),"OK","ERROR")</f>
        <v>OK</v>
      </c>
      <c r="AS145" s="213"/>
      <c r="AT145" s="232" t="str">
        <f>IF(ROUND(CF!AT36,0)=ROUND(SUM(CF!AP36:AS36),0),"OK","ERROR")</f>
        <v>OK</v>
      </c>
      <c r="AU145" s="213"/>
      <c r="AV145" s="232" t="str">
        <f>IF(ROUND(CF!AV36,0)=ROUND(SUM(CF!AR36:AU36),0),"OK","ERROR")</f>
        <v>OK</v>
      </c>
      <c r="AW145" s="240"/>
      <c r="AX145" s="232" t="str">
        <f>IF(ROUND(CF!AX36,0)=ROUND(SUM(CF!AT36:AW36),0),"OK","ERROR")</f>
        <v>OK</v>
      </c>
    </row>
    <row r="146" spans="1:50" s="54" customFormat="1" ht="15" customHeight="1" thickTop="1">
      <c r="A146" s="43"/>
      <c r="B146" s="154"/>
      <c r="C146" s="115"/>
      <c r="D146" s="206"/>
      <c r="E146" s="206"/>
      <c r="F146" s="206"/>
      <c r="G146" s="206"/>
      <c r="H146" s="217"/>
      <c r="I146" s="208"/>
      <c r="J146" s="206"/>
      <c r="K146" s="206"/>
      <c r="L146" s="206"/>
      <c r="M146" s="206"/>
      <c r="N146" s="217"/>
      <c r="O146" s="208"/>
      <c r="P146" s="206"/>
      <c r="Q146" s="206"/>
      <c r="R146" s="206"/>
      <c r="S146" s="206"/>
      <c r="T146" s="217"/>
      <c r="U146" s="208"/>
      <c r="V146" s="206"/>
      <c r="W146" s="206"/>
      <c r="X146" s="206"/>
      <c r="Y146" s="206"/>
      <c r="Z146" s="217"/>
      <c r="AA146" s="228"/>
      <c r="AB146" s="206"/>
      <c r="AC146" s="206"/>
      <c r="AD146" s="206"/>
      <c r="AE146" s="206"/>
      <c r="AF146" s="217"/>
      <c r="AG146" s="226"/>
      <c r="AH146" s="206"/>
      <c r="AI146" s="206"/>
      <c r="AJ146" s="210"/>
      <c r="AK146" s="210"/>
      <c r="AL146" s="217"/>
      <c r="AM146" s="227"/>
      <c r="AN146" s="210"/>
      <c r="AO146" s="210"/>
      <c r="AP146" s="210"/>
      <c r="AQ146" s="210"/>
      <c r="AR146" s="217"/>
      <c r="AS146" s="227"/>
      <c r="AT146" s="217"/>
      <c r="AU146" s="227"/>
      <c r="AV146" s="217"/>
      <c r="AW146" s="240"/>
      <c r="AX146" s="217"/>
    </row>
    <row r="147" spans="1:50" s="54" customFormat="1" ht="15" customHeight="1">
      <c r="A147" s="44" t="s">
        <v>41</v>
      </c>
      <c r="B147" s="158" t="s">
        <v>827</v>
      </c>
      <c r="C147" s="27"/>
      <c r="D147" s="206"/>
      <c r="E147" s="206"/>
      <c r="F147" s="206"/>
      <c r="G147" s="206"/>
      <c r="H147" s="217"/>
      <c r="I147" s="208"/>
      <c r="J147" s="206"/>
      <c r="K147" s="206"/>
      <c r="L147" s="206"/>
      <c r="M147" s="206"/>
      <c r="N147" s="217"/>
      <c r="O147" s="208"/>
      <c r="P147" s="206"/>
      <c r="Q147" s="206"/>
      <c r="R147" s="206"/>
      <c r="S147" s="206"/>
      <c r="T147" s="217"/>
      <c r="U147" s="208"/>
      <c r="V147" s="206"/>
      <c r="W147" s="206"/>
      <c r="X147" s="206"/>
      <c r="Y147" s="206"/>
      <c r="Z147" s="217"/>
      <c r="AA147" s="211"/>
      <c r="AB147" s="206"/>
      <c r="AC147" s="206"/>
      <c r="AD147" s="206"/>
      <c r="AE147" s="206"/>
      <c r="AF147" s="217"/>
      <c r="AG147" s="209"/>
      <c r="AH147" s="206"/>
      <c r="AI147" s="206"/>
      <c r="AJ147" s="210"/>
      <c r="AK147" s="210"/>
      <c r="AL147" s="217"/>
      <c r="AM147" s="213"/>
      <c r="AN147" s="210"/>
      <c r="AO147" s="210"/>
      <c r="AP147" s="210"/>
      <c r="AQ147" s="210"/>
      <c r="AR147" s="217"/>
      <c r="AS147" s="213"/>
      <c r="AT147" s="217"/>
      <c r="AU147" s="213"/>
      <c r="AV147" s="217"/>
      <c r="AW147" s="240"/>
      <c r="AX147" s="217"/>
    </row>
    <row r="148" spans="1:50" s="54" customFormat="1" ht="15" customHeight="1">
      <c r="A148" s="113"/>
      <c r="B148" s="159" t="s">
        <v>828</v>
      </c>
      <c r="C148" s="115"/>
      <c r="D148" s="215"/>
      <c r="E148" s="215"/>
      <c r="F148" s="215"/>
      <c r="G148" s="215"/>
      <c r="H148" s="217" t="str">
        <f>IF(ROUND(CF!H39,0)=ROUND(SUM(CF!D39:G39),0),"OK","ERROR")</f>
        <v>OK</v>
      </c>
      <c r="I148" s="208"/>
      <c r="J148" s="215"/>
      <c r="K148" s="215"/>
      <c r="L148" s="215"/>
      <c r="M148" s="215"/>
      <c r="N148" s="217" t="str">
        <f>IF(ROUND(CF!N39,0)=ROUND(SUM(CF!J39:M39),0),"OK","ERROR")</f>
        <v>OK</v>
      </c>
      <c r="O148" s="208"/>
      <c r="P148" s="215"/>
      <c r="Q148" s="215"/>
      <c r="R148" s="215"/>
      <c r="S148" s="215"/>
      <c r="T148" s="217" t="str">
        <f>IF(ROUND(CF!T39,0)=ROUND(SUM(CF!P39:S39),0),"OK","ERROR")</f>
        <v>ERROR</v>
      </c>
      <c r="U148" s="208"/>
      <c r="V148" s="215"/>
      <c r="W148" s="215"/>
      <c r="X148" s="215"/>
      <c r="Y148" s="215"/>
      <c r="Z148" s="217" t="str">
        <f>IF(ROUND(CF!Z39,0)=ROUND(SUM(CF!V39:Y39),0),"OK","ERROR")</f>
        <v>OK</v>
      </c>
      <c r="AA148" s="211"/>
      <c r="AB148" s="215"/>
      <c r="AC148" s="215"/>
      <c r="AD148" s="215"/>
      <c r="AE148" s="215"/>
      <c r="AF148" s="217" t="str">
        <f>IF(ROUND(CF!AF39,0)=ROUND(SUM(CF!AB39:AE39),0),"OK","ERROR")</f>
        <v>OK</v>
      </c>
      <c r="AG148" s="209"/>
      <c r="AH148" s="215"/>
      <c r="AI148" s="215"/>
      <c r="AJ148" s="210"/>
      <c r="AK148" s="210"/>
      <c r="AL148" s="217" t="str">
        <f>IF(ROUND(CF!AL39,0)=ROUND(SUM(CF!AH39:AK39),0),"OK","ERROR")</f>
        <v>ERROR</v>
      </c>
      <c r="AM148" s="213"/>
      <c r="AN148" s="210"/>
      <c r="AO148" s="210"/>
      <c r="AP148" s="210"/>
      <c r="AQ148" s="210"/>
      <c r="AR148" s="217" t="str">
        <f>IF(ROUND(CF!AR39,0)=ROUND(SUM(CF!AN39:AQ39),0),"OK","ERROR")</f>
        <v>OK</v>
      </c>
      <c r="AS148" s="213"/>
      <c r="AT148" s="217" t="str">
        <f>IF(ROUND(CF!AT39,0)=ROUND(SUM(CF!AP39:AS39),0),"OK","ERROR")</f>
        <v>OK</v>
      </c>
      <c r="AU148" s="213"/>
      <c r="AV148" s="217" t="str">
        <f>IF(ROUND(CF!AV39,0)=ROUND(SUM(CF!AR39:AU39),0),"OK","ERROR")</f>
        <v>OK</v>
      </c>
      <c r="AW148" s="240"/>
      <c r="AX148" s="217" t="str">
        <f>IF(ROUND(CF!AX39,0)=ROUND(SUM(CF!AT39:AW39),0),"OK","ERROR")</f>
        <v>OK</v>
      </c>
    </row>
    <row r="149" spans="1:50" s="54" customFormat="1" ht="15" customHeight="1">
      <c r="A149" s="113"/>
      <c r="B149" s="159" t="s">
        <v>829</v>
      </c>
      <c r="C149" s="115"/>
      <c r="D149" s="215"/>
      <c r="E149" s="215"/>
      <c r="F149" s="215"/>
      <c r="G149" s="215"/>
      <c r="H149" s="217" t="str">
        <f>IF(ROUND(CF!H40,0)=ROUND(SUM(CF!D40:G40),0),"OK","ERROR")</f>
        <v>OK</v>
      </c>
      <c r="I149" s="208"/>
      <c r="J149" s="215"/>
      <c r="K149" s="215"/>
      <c r="L149" s="215"/>
      <c r="M149" s="215"/>
      <c r="N149" s="217" t="str">
        <f>IF(ROUND(CF!N40,0)=ROUND(SUM(CF!J40:M40),0),"OK","ERROR")</f>
        <v>OK</v>
      </c>
      <c r="O149" s="208"/>
      <c r="P149" s="215"/>
      <c r="Q149" s="215"/>
      <c r="R149" s="215"/>
      <c r="S149" s="215"/>
      <c r="T149" s="217" t="str">
        <f>IF(ROUND(CF!T40,0)=ROUND(SUM(CF!P40:S40),0),"OK","ERROR")</f>
        <v>ERROR</v>
      </c>
      <c r="U149" s="208"/>
      <c r="V149" s="215"/>
      <c r="W149" s="215"/>
      <c r="X149" s="215"/>
      <c r="Y149" s="215"/>
      <c r="Z149" s="217" t="str">
        <f>IF(ROUND(CF!Z40,0)=ROUND(SUM(CF!V40:Y40),0),"OK","ERROR")</f>
        <v>OK</v>
      </c>
      <c r="AA149" s="211"/>
      <c r="AB149" s="215"/>
      <c r="AC149" s="215"/>
      <c r="AD149" s="215"/>
      <c r="AE149" s="215"/>
      <c r="AF149" s="217" t="str">
        <f>IF(ROUND(CF!AF40,0)=ROUND(SUM(CF!AB40:AE40),0),"OK","ERROR")</f>
        <v>OK</v>
      </c>
      <c r="AG149" s="209"/>
      <c r="AH149" s="215"/>
      <c r="AI149" s="215"/>
      <c r="AJ149" s="210"/>
      <c r="AK149" s="210"/>
      <c r="AL149" s="217" t="str">
        <f>IF(ROUND(CF!AL40,0)=ROUND(SUM(CF!AH40:AK40),0),"OK","ERROR")</f>
        <v>ERROR</v>
      </c>
      <c r="AM149" s="213"/>
      <c r="AN149" s="210"/>
      <c r="AO149" s="210"/>
      <c r="AP149" s="210"/>
      <c r="AQ149" s="210"/>
      <c r="AR149" s="217" t="str">
        <f>IF(ROUND(CF!AR40,0)=ROUND(SUM(CF!AN40:AQ40),0),"OK","ERROR")</f>
        <v>OK</v>
      </c>
      <c r="AS149" s="213"/>
      <c r="AT149" s="217" t="str">
        <f>IF(ROUND(CF!AT40,0)=ROUND(SUM(CF!AP40:AS40),0),"OK","ERROR")</f>
        <v>OK</v>
      </c>
      <c r="AU149" s="213"/>
      <c r="AV149" s="217" t="str">
        <f>IF(ROUND(CF!AV40,0)=ROUND(SUM(CF!AR40:AU40),0),"OK","ERROR")</f>
        <v>OK</v>
      </c>
      <c r="AW149" s="240"/>
      <c r="AX149" s="217" t="str">
        <f>IF(ROUND(CF!AX40,0)=ROUND(SUM(CF!AT40:AW40),0),"OK","ERROR")</f>
        <v>OK</v>
      </c>
    </row>
    <row r="150" spans="1:50" s="54" customFormat="1" ht="15" customHeight="1">
      <c r="A150" s="113"/>
      <c r="B150" s="159" t="s">
        <v>830</v>
      </c>
      <c r="C150" s="115"/>
      <c r="D150" s="215"/>
      <c r="E150" s="215"/>
      <c r="F150" s="215"/>
      <c r="G150" s="215"/>
      <c r="H150" s="217" t="str">
        <f>IF(ROUND(CF!H41,0)=ROUND(SUM(CF!D41:G41),0),"OK","ERROR")</f>
        <v>OK</v>
      </c>
      <c r="I150" s="208"/>
      <c r="J150" s="215"/>
      <c r="K150" s="215"/>
      <c r="L150" s="215"/>
      <c r="M150" s="215"/>
      <c r="N150" s="217" t="str">
        <f>IF(ROUND(CF!N41,0)=ROUND(SUM(CF!J41:M41),0),"OK","ERROR")</f>
        <v>OK</v>
      </c>
      <c r="O150" s="208"/>
      <c r="P150" s="215"/>
      <c r="Q150" s="215"/>
      <c r="R150" s="215"/>
      <c r="S150" s="215"/>
      <c r="T150" s="217" t="str">
        <f>IF(ROUND(CF!T41,0)=ROUND(SUM(CF!P41:S41),0),"OK","ERROR")</f>
        <v>OK</v>
      </c>
      <c r="U150" s="208"/>
      <c r="V150" s="215"/>
      <c r="W150" s="215"/>
      <c r="X150" s="215"/>
      <c r="Y150" s="215"/>
      <c r="Z150" s="217" t="str">
        <f>IF(ROUND(CF!Z41,0)=ROUND(SUM(CF!V41:Y41),0),"OK","ERROR")</f>
        <v>OK</v>
      </c>
      <c r="AA150" s="211"/>
      <c r="AB150" s="215"/>
      <c r="AC150" s="215"/>
      <c r="AD150" s="215"/>
      <c r="AE150" s="215"/>
      <c r="AF150" s="217" t="str">
        <f>IF(ROUND(CF!AF41,0)=ROUND(SUM(CF!AB41:AE41),0),"OK","ERROR")</f>
        <v>OK</v>
      </c>
      <c r="AG150" s="209"/>
      <c r="AH150" s="215"/>
      <c r="AI150" s="215"/>
      <c r="AJ150" s="210"/>
      <c r="AK150" s="210"/>
      <c r="AL150" s="217" t="str">
        <f>IF(ROUND(CF!AL41,0)=ROUND(SUM(CF!AH41:AK41),0),"OK","ERROR")</f>
        <v>ERROR</v>
      </c>
      <c r="AM150" s="213"/>
      <c r="AN150" s="210"/>
      <c r="AO150" s="210"/>
      <c r="AP150" s="210"/>
      <c r="AQ150" s="210"/>
      <c r="AR150" s="217" t="str">
        <f>IF(ROUND(CF!AR41,0)=ROUND(SUM(CF!AN41:AQ41),0),"OK","ERROR")</f>
        <v>OK</v>
      </c>
      <c r="AS150" s="213"/>
      <c r="AT150" s="217" t="str">
        <f>IF(ROUND(CF!AT41,0)=ROUND(SUM(CF!AP41:AS41),0),"OK","ERROR")</f>
        <v>OK</v>
      </c>
      <c r="AU150" s="213"/>
      <c r="AV150" s="217" t="str">
        <f>IF(ROUND(CF!AV41,0)=ROUND(SUM(CF!AR41:AU41),0),"OK","ERROR")</f>
        <v>OK</v>
      </c>
      <c r="AW150" s="240"/>
      <c r="AX150" s="217" t="str">
        <f>IF(ROUND(CF!AX41,0)=ROUND(SUM(CF!AT41:AW41),0),"OK","ERROR")</f>
        <v>OK</v>
      </c>
    </row>
    <row r="151" spans="1:50" s="54" customFormat="1" ht="15" customHeight="1">
      <c r="A151" s="142"/>
      <c r="B151" s="159" t="s">
        <v>831</v>
      </c>
      <c r="C151" s="27"/>
      <c r="D151" s="215"/>
      <c r="E151" s="215"/>
      <c r="F151" s="215"/>
      <c r="G151" s="215"/>
      <c r="H151" s="217" t="str">
        <f>IF(ROUND(CF!H42,0)=ROUND(SUM(CF!D42:G42),0),"OK","ERROR")</f>
        <v>OK</v>
      </c>
      <c r="I151" s="208"/>
      <c r="J151" s="215"/>
      <c r="K151" s="215"/>
      <c r="L151" s="215"/>
      <c r="M151" s="215"/>
      <c r="N151" s="217" t="str">
        <f>IF(ROUND(CF!N42,0)=ROUND(SUM(CF!J42:M42),0),"OK","ERROR")</f>
        <v>OK</v>
      </c>
      <c r="O151" s="208"/>
      <c r="P151" s="215"/>
      <c r="Q151" s="215"/>
      <c r="R151" s="215"/>
      <c r="S151" s="215"/>
      <c r="T151" s="217" t="str">
        <f>IF(ROUND(CF!T42,0)=ROUND(SUM(CF!P42:S42),0),"OK","ERROR")</f>
        <v>OK</v>
      </c>
      <c r="U151" s="208"/>
      <c r="V151" s="215"/>
      <c r="W151" s="215"/>
      <c r="X151" s="215"/>
      <c r="Y151" s="215"/>
      <c r="Z151" s="217" t="str">
        <f>IF(ROUND(CF!Z42,0)=ROUND(SUM(CF!V42:Y42),0),"OK","ERROR")</f>
        <v>OK</v>
      </c>
      <c r="AA151" s="211"/>
      <c r="AB151" s="215"/>
      <c r="AC151" s="215"/>
      <c r="AD151" s="215"/>
      <c r="AE151" s="215"/>
      <c r="AF151" s="217" t="str">
        <f>IF(ROUND(CF!AF42,0)=ROUND(SUM(CF!AB42:AE42),0),"OK","ERROR")</f>
        <v>OK</v>
      </c>
      <c r="AG151" s="209"/>
      <c r="AH151" s="215"/>
      <c r="AI151" s="215"/>
      <c r="AJ151" s="210"/>
      <c r="AK151" s="210"/>
      <c r="AL151" s="217" t="str">
        <f>IF(ROUND(CF!AL42,0)=ROUND(SUM(CF!AH42:AK42),0),"OK","ERROR")</f>
        <v>OK</v>
      </c>
      <c r="AM151" s="241"/>
      <c r="AN151" s="210"/>
      <c r="AO151" s="210"/>
      <c r="AP151" s="210"/>
      <c r="AQ151" s="210"/>
      <c r="AR151" s="217" t="str">
        <f>IF(ROUND(CF!AR42,0)=ROUND(SUM(CF!AN42:AQ42),0),"OK","ERROR")</f>
        <v>OK</v>
      </c>
      <c r="AS151" s="213"/>
      <c r="AT151" s="217" t="str">
        <f>IF(ROUND(CF!AT42,0)=ROUND(SUM(CF!AP42:AS42),0),"OK","ERROR")</f>
        <v>OK</v>
      </c>
      <c r="AU151" s="213"/>
      <c r="AV151" s="217" t="str">
        <f>IF(ROUND(CF!AV42,0)=ROUND(SUM(CF!AR42:AU42),0),"OK","ERROR")</f>
        <v>OK</v>
      </c>
      <c r="AW151" s="240"/>
      <c r="AX151" s="217" t="str">
        <f>IF(ROUND(CF!AX42,0)=ROUND(SUM(CF!AT42:AW42),0),"OK","ERROR")</f>
        <v>OK</v>
      </c>
    </row>
    <row r="152" spans="1:50" s="54" customFormat="1" ht="15" customHeight="1">
      <c r="A152" s="113"/>
      <c r="B152" s="159" t="s">
        <v>832</v>
      </c>
      <c r="C152" s="115"/>
      <c r="D152" s="215"/>
      <c r="E152" s="215"/>
      <c r="F152" s="215"/>
      <c r="G152" s="215"/>
      <c r="H152" s="217" t="str">
        <f>IF(ROUND(CF!H43,0)=ROUND(SUM(CF!D43:G43),0),"OK","ERROR")</f>
        <v>OK</v>
      </c>
      <c r="I152" s="208"/>
      <c r="J152" s="215"/>
      <c r="K152" s="215"/>
      <c r="L152" s="215"/>
      <c r="M152" s="215"/>
      <c r="N152" s="217" t="str">
        <f>IF(ROUND(CF!N43,0)=ROUND(SUM(CF!J43:M43),0),"OK","ERROR")</f>
        <v>OK</v>
      </c>
      <c r="O152" s="208"/>
      <c r="P152" s="215"/>
      <c r="Q152" s="215"/>
      <c r="R152" s="215"/>
      <c r="S152" s="215"/>
      <c r="T152" s="217" t="str">
        <f>IF(ROUND(CF!T43,0)=ROUND(SUM(CF!P43:S43),0),"OK","ERROR")</f>
        <v>OK</v>
      </c>
      <c r="U152" s="208"/>
      <c r="V152" s="215"/>
      <c r="W152" s="215"/>
      <c r="X152" s="215"/>
      <c r="Y152" s="215"/>
      <c r="Z152" s="217" t="str">
        <f>IF(ROUND(CF!Z43,0)=ROUND(SUM(CF!V43:Y43),0),"OK","ERROR")</f>
        <v>OK</v>
      </c>
      <c r="AA152" s="211"/>
      <c r="AB152" s="215"/>
      <c r="AC152" s="215"/>
      <c r="AD152" s="215"/>
      <c r="AE152" s="215"/>
      <c r="AF152" s="217" t="str">
        <f>IF(ROUND(CF!AF43,0)=ROUND(SUM(CF!AB43:AE43),0),"OK","ERROR")</f>
        <v>OK</v>
      </c>
      <c r="AG152" s="209"/>
      <c r="AH152" s="215"/>
      <c r="AI152" s="215"/>
      <c r="AJ152" s="210"/>
      <c r="AK152" s="210"/>
      <c r="AL152" s="217" t="str">
        <f>IF(ROUND(CF!AL43,0)=ROUND(SUM(CF!AH43:AK43),0),"OK","ERROR")</f>
        <v>ERROR</v>
      </c>
      <c r="AM152" s="241"/>
      <c r="AN152" s="210"/>
      <c r="AO152" s="210"/>
      <c r="AP152" s="210"/>
      <c r="AQ152" s="210"/>
      <c r="AR152" s="217" t="str">
        <f>IF(ROUND(CF!AR43,0)=ROUND(SUM(CF!AN43:AQ43),0),"OK","ERROR")</f>
        <v>OK</v>
      </c>
      <c r="AS152" s="213"/>
      <c r="AT152" s="217" t="str">
        <f>IF(ROUND(CF!AT43,0)=ROUND(SUM(CF!AP43:AS43),0),"OK","ERROR")</f>
        <v>OK</v>
      </c>
      <c r="AU152" s="213"/>
      <c r="AV152" s="217" t="str">
        <f>IF(ROUND(CF!AV43,0)=ROUND(SUM(CF!AR43:AU43),0),"OK","ERROR")</f>
        <v>OK</v>
      </c>
      <c r="AW152" s="240"/>
      <c r="AX152" s="217" t="str">
        <f>IF(ROUND(CF!AX43,0)=ROUND(SUM(CF!AT43:AW43),0),"OK","ERROR")</f>
        <v>OK</v>
      </c>
    </row>
    <row r="153" spans="1:50" s="54" customFormat="1" ht="15" customHeight="1">
      <c r="A153" s="113"/>
      <c r="B153" s="159" t="s">
        <v>833</v>
      </c>
      <c r="C153" s="115"/>
      <c r="D153" s="215"/>
      <c r="E153" s="215"/>
      <c r="F153" s="215"/>
      <c r="G153" s="215"/>
      <c r="H153" s="223" t="str">
        <f>IF(ROUND(CF!H44,0)=ROUND(SUM(CF!D44:G44),0),"OK","ERROR")</f>
        <v>OK</v>
      </c>
      <c r="I153" s="208"/>
      <c r="J153" s="215"/>
      <c r="K153" s="215"/>
      <c r="L153" s="215"/>
      <c r="M153" s="215"/>
      <c r="N153" s="223" t="str">
        <f>IF(ROUND(CF!N44,0)=ROUND(SUM(CF!J44:M44),0),"OK","ERROR")</f>
        <v>OK</v>
      </c>
      <c r="O153" s="208"/>
      <c r="P153" s="215"/>
      <c r="Q153" s="215"/>
      <c r="R153" s="215"/>
      <c r="S153" s="215"/>
      <c r="T153" s="223" t="str">
        <f>IF(ROUND(CF!T44,0)=ROUND(SUM(CF!P44:S44),0),"OK","ERROR")</f>
        <v>ERROR</v>
      </c>
      <c r="U153" s="208"/>
      <c r="V153" s="215"/>
      <c r="W153" s="215"/>
      <c r="X153" s="215"/>
      <c r="Y153" s="215"/>
      <c r="Z153" s="223" t="str">
        <f>IF(ROUND(CF!Z44,0)=ROUND(SUM(CF!V44:Y44),0),"OK","ERROR")</f>
        <v>OK</v>
      </c>
      <c r="AA153" s="225"/>
      <c r="AB153" s="215"/>
      <c r="AC153" s="215"/>
      <c r="AD153" s="215"/>
      <c r="AE153" s="215"/>
      <c r="AF153" s="223" t="str">
        <f>IF(ROUND(CF!AF44,0)=ROUND(SUM(CF!AB44:AE44),0),"OK","ERROR")</f>
        <v>OK</v>
      </c>
      <c r="AG153" s="226"/>
      <c r="AH153" s="215"/>
      <c r="AI153" s="215"/>
      <c r="AJ153" s="210"/>
      <c r="AK153" s="210"/>
      <c r="AL153" s="223" t="str">
        <f>IF(ROUND(CF!AL44,0)=ROUND(SUM(CF!AH44:AK44),0),"OK","ERROR")</f>
        <v>ERROR</v>
      </c>
      <c r="AM153" s="227"/>
      <c r="AN153" s="210"/>
      <c r="AO153" s="210"/>
      <c r="AP153" s="210"/>
      <c r="AQ153" s="210"/>
      <c r="AR153" s="223" t="str">
        <f>IF(ROUND(CF!AR44,0)=ROUND(SUM(CF!AN44:AQ44),0),"OK","ERROR")</f>
        <v>OK</v>
      </c>
      <c r="AS153" s="227"/>
      <c r="AT153" s="223" t="str">
        <f>IF(ROUND(CF!AT44,0)=ROUND(SUM(CF!AP44:AS44),0),"OK","ERROR")</f>
        <v>OK</v>
      </c>
      <c r="AU153" s="227"/>
      <c r="AV153" s="223" t="str">
        <f>IF(ROUND(CF!AV44,0)=ROUND(SUM(CF!AR44:AU44),0),"OK","ERROR")</f>
        <v>OK</v>
      </c>
      <c r="AW153" s="240"/>
      <c r="AX153" s="223" t="str">
        <f>IF(ROUND(CF!AX44,0)=ROUND(SUM(CF!AT44:AW44),0),"OK","ERROR")</f>
        <v>OK</v>
      </c>
    </row>
    <row r="154" spans="1:50" s="54" customFormat="1" ht="15" customHeight="1" thickBot="1">
      <c r="A154" s="113"/>
      <c r="B154" s="160" t="s">
        <v>834</v>
      </c>
      <c r="C154" s="17"/>
      <c r="D154" s="215"/>
      <c r="E154" s="215"/>
      <c r="F154" s="215"/>
      <c r="G154" s="215"/>
      <c r="H154" s="232" t="str">
        <f>IF(ROUND(CF!H45,0)=ROUND(SUM(CF!D45:G45),0),"OK","ERROR")</f>
        <v>OK</v>
      </c>
      <c r="I154" s="208"/>
      <c r="J154" s="215"/>
      <c r="K154" s="215"/>
      <c r="L154" s="215"/>
      <c r="M154" s="215"/>
      <c r="N154" s="232" t="str">
        <f>IF(ROUND(CF!N45,0)=ROUND(SUM(CF!J45:M45),0),"OK","ERROR")</f>
        <v>OK</v>
      </c>
      <c r="O154" s="208"/>
      <c r="P154" s="215"/>
      <c r="Q154" s="215"/>
      <c r="R154" s="215"/>
      <c r="S154" s="215"/>
      <c r="T154" s="232" t="str">
        <f>IF(ROUND(CF!T45,0)=ROUND(SUM(CF!P45:S45),0),"OK","ERROR")</f>
        <v>ERROR</v>
      </c>
      <c r="U154" s="208"/>
      <c r="V154" s="215"/>
      <c r="W154" s="215"/>
      <c r="X154" s="215"/>
      <c r="Y154" s="215"/>
      <c r="Z154" s="232" t="str">
        <f>IF(ROUND(CF!Z45,0)=ROUND(SUM(CF!V45:Y45),0),"OK","ERROR")</f>
        <v>OK</v>
      </c>
      <c r="AA154" s="208"/>
      <c r="AB154" s="215"/>
      <c r="AC154" s="215"/>
      <c r="AD154" s="215"/>
      <c r="AE154" s="215"/>
      <c r="AF154" s="232" t="str">
        <f>IF(ROUND(CF!AF45,0)=ROUND(SUM(CF!AB45:AE45),0),"OK","ERROR")</f>
        <v>OK</v>
      </c>
      <c r="AG154" s="233"/>
      <c r="AH154" s="215"/>
      <c r="AI154" s="215"/>
      <c r="AJ154" s="210"/>
      <c r="AK154" s="210"/>
      <c r="AL154" s="232" t="str">
        <f>IF(ROUND(CF!AL45,0)=ROUND(SUM(CF!AH45:AK45),0),"OK","ERROR")</f>
        <v>ERROR</v>
      </c>
      <c r="AM154" s="234"/>
      <c r="AN154" s="210"/>
      <c r="AO154" s="210"/>
      <c r="AP154" s="210"/>
      <c r="AQ154" s="210"/>
      <c r="AR154" s="232" t="str">
        <f>IF(ROUND(CF!AR45,0)=ROUND(SUM(CF!AN45:AQ45),0),"OK","ERROR")</f>
        <v>OK</v>
      </c>
      <c r="AS154" s="234"/>
      <c r="AT154" s="232" t="str">
        <f>IF(ROUND(CF!AT45,0)=ROUND(SUM(CF!AP45:AS45),0),"OK","ERROR")</f>
        <v>OK</v>
      </c>
      <c r="AU154" s="234"/>
      <c r="AV154" s="232" t="str">
        <f>IF(ROUND(CF!AV45,0)=ROUND(SUM(CF!AR45:AU45),0),"OK","ERROR")</f>
        <v>OK</v>
      </c>
      <c r="AW154" s="240"/>
      <c r="AX154" s="232" t="str">
        <f>IF(ROUND(CF!AX45,0)=ROUND(SUM(CF!AT45:AW45),0),"OK","ERROR")</f>
        <v>OK</v>
      </c>
    </row>
    <row r="155" spans="1:50" s="54" customFormat="1" ht="15" customHeight="1" thickTop="1">
      <c r="A155" s="113"/>
      <c r="B155" s="9"/>
      <c r="C155" s="115"/>
      <c r="D155" s="206"/>
      <c r="E155" s="206"/>
      <c r="F155" s="206"/>
      <c r="G155" s="206"/>
      <c r="H155" s="217"/>
      <c r="I155" s="208"/>
      <c r="J155" s="206"/>
      <c r="K155" s="206"/>
      <c r="L155" s="206"/>
      <c r="M155" s="206"/>
      <c r="N155" s="217"/>
      <c r="O155" s="208"/>
      <c r="P155" s="206"/>
      <c r="Q155" s="206"/>
      <c r="R155" s="206"/>
      <c r="S155" s="206"/>
      <c r="T155" s="217"/>
      <c r="U155" s="208"/>
      <c r="V155" s="206"/>
      <c r="W155" s="206"/>
      <c r="X155" s="206"/>
      <c r="Y155" s="206"/>
      <c r="Z155" s="217"/>
      <c r="AA155" s="225"/>
      <c r="AB155" s="206"/>
      <c r="AC155" s="206"/>
      <c r="AD155" s="206"/>
      <c r="AE155" s="206"/>
      <c r="AF155" s="217"/>
      <c r="AG155" s="226"/>
      <c r="AH155" s="206"/>
      <c r="AI155" s="206"/>
      <c r="AJ155" s="210"/>
      <c r="AK155" s="210"/>
      <c r="AL155" s="217"/>
      <c r="AM155" s="227"/>
      <c r="AN155" s="210"/>
      <c r="AO155" s="210"/>
      <c r="AP155" s="210"/>
      <c r="AQ155" s="210"/>
      <c r="AR155" s="217"/>
      <c r="AS155" s="227"/>
      <c r="AT155" s="217"/>
      <c r="AU155" s="227"/>
      <c r="AV155" s="217"/>
      <c r="AW155" s="240"/>
      <c r="AX155" s="217"/>
    </row>
    <row r="156" spans="1:50" s="54" customFormat="1" ht="15" customHeight="1">
      <c r="A156" s="44" t="s">
        <v>41</v>
      </c>
      <c r="B156" s="158" t="s">
        <v>835</v>
      </c>
      <c r="C156" s="17"/>
      <c r="D156" s="215"/>
      <c r="E156" s="215"/>
      <c r="F156" s="215"/>
      <c r="G156" s="215"/>
      <c r="H156" s="217" t="str">
        <f>IF(ROUND(CF!H47,0)=ROUND(SUM(CF!D47:G47),0),"OK","ERROR")</f>
        <v>OK</v>
      </c>
      <c r="I156" s="208"/>
      <c r="J156" s="215"/>
      <c r="K156" s="215"/>
      <c r="L156" s="215"/>
      <c r="M156" s="215"/>
      <c r="N156" s="217" t="str">
        <f>IF(ROUND(CF!N47,0)=ROUND(SUM(CF!J47:M47),0),"OK","ERROR")</f>
        <v>OK</v>
      </c>
      <c r="O156" s="208"/>
      <c r="P156" s="215"/>
      <c r="Q156" s="215"/>
      <c r="R156" s="215"/>
      <c r="S156" s="215"/>
      <c r="T156" s="217" t="str">
        <f>IF(ROUND(CF!T47,0)=ROUND(SUM(CF!P47:S47),0),"OK","ERROR")</f>
        <v>OK</v>
      </c>
      <c r="U156" s="208"/>
      <c r="V156" s="215"/>
      <c r="W156" s="215"/>
      <c r="X156" s="215"/>
      <c r="Y156" s="215"/>
      <c r="Z156" s="217" t="str">
        <f>IF(ROUND(CF!Z47,0)=ROUND(SUM(CF!V47:Y47),0),"OK","ERROR")</f>
        <v>OK</v>
      </c>
      <c r="AA156" s="208"/>
      <c r="AB156" s="215"/>
      <c r="AC156" s="215"/>
      <c r="AD156" s="215"/>
      <c r="AE156" s="215"/>
      <c r="AF156" s="217" t="str">
        <f>IF(ROUND(CF!AF47,0)=ROUND(SUM(CF!AB47:AE47),0),"OK","ERROR")</f>
        <v>OK</v>
      </c>
      <c r="AG156" s="233"/>
      <c r="AH156" s="215"/>
      <c r="AI156" s="215"/>
      <c r="AJ156" s="210"/>
      <c r="AK156" s="210"/>
      <c r="AL156" s="217" t="str">
        <f>IF(ROUND(CF!AL47,0)=ROUND(SUM(CF!AH47:AK47),0),"OK","ERROR")</f>
        <v>OK</v>
      </c>
      <c r="AM156" s="222"/>
      <c r="AN156" s="210"/>
      <c r="AO156" s="210"/>
      <c r="AP156" s="210"/>
      <c r="AQ156" s="210"/>
      <c r="AR156" s="217" t="str">
        <f>IF(ROUND(CF!AR47,0)=ROUND(SUM(CF!AN47:AQ47),0),"OK","ERROR")</f>
        <v>OK</v>
      </c>
      <c r="AS156" s="222"/>
      <c r="AT156" s="217" t="str">
        <f>IF(ROUND(CF!AT47,0)=ROUND(SUM(CF!AP47:AS47),0),"OK","ERROR")</f>
        <v>OK</v>
      </c>
      <c r="AU156" s="222"/>
      <c r="AV156" s="217" t="str">
        <f>IF(ROUND(CF!AV47,0)=ROUND(SUM(CF!AR47:AU47),0),"OK","ERROR")</f>
        <v>OK</v>
      </c>
      <c r="AW156" s="240"/>
      <c r="AX156" s="217" t="str">
        <f>IF(ROUND(CF!AX47,0)=ROUND(SUM(CF!AT47:AW47),0),"OK","ERROR")</f>
        <v>OK</v>
      </c>
    </row>
    <row r="157" spans="1:50" s="54" customFormat="1" ht="15" customHeight="1">
      <c r="A157" s="113"/>
      <c r="C157" s="115"/>
      <c r="D157" s="206"/>
      <c r="E157" s="206"/>
      <c r="F157" s="206"/>
      <c r="G157" s="206"/>
      <c r="H157" s="217"/>
      <c r="I157" s="208"/>
      <c r="J157" s="206"/>
      <c r="K157" s="206"/>
      <c r="L157" s="206"/>
      <c r="M157" s="206"/>
      <c r="N157" s="217"/>
      <c r="O157" s="208"/>
      <c r="P157" s="206"/>
      <c r="Q157" s="206"/>
      <c r="R157" s="206"/>
      <c r="S157" s="206"/>
      <c r="T157" s="217"/>
      <c r="U157" s="208"/>
      <c r="V157" s="206"/>
      <c r="W157" s="206"/>
      <c r="X157" s="206"/>
      <c r="Y157" s="206"/>
      <c r="Z157" s="217"/>
      <c r="AA157" s="208"/>
      <c r="AB157" s="206"/>
      <c r="AC157" s="206"/>
      <c r="AD157" s="206"/>
      <c r="AE157" s="206"/>
      <c r="AF157" s="217"/>
      <c r="AG157" s="233"/>
      <c r="AH157" s="206"/>
      <c r="AI157" s="206"/>
      <c r="AJ157" s="210"/>
      <c r="AK157" s="210"/>
      <c r="AL157" s="217"/>
      <c r="AM157" s="234"/>
      <c r="AN157" s="210"/>
      <c r="AO157" s="210"/>
      <c r="AP157" s="210"/>
      <c r="AQ157" s="210"/>
      <c r="AR157" s="217"/>
      <c r="AS157" s="234"/>
      <c r="AT157" s="217"/>
      <c r="AU157" s="234"/>
      <c r="AV157" s="217"/>
      <c r="AW157" s="240"/>
      <c r="AX157" s="217"/>
    </row>
    <row r="158" spans="1:50" s="54" customFormat="1" ht="15" customHeight="1">
      <c r="A158" s="44" t="s">
        <v>41</v>
      </c>
      <c r="B158" s="158" t="s">
        <v>836</v>
      </c>
      <c r="C158" s="17"/>
      <c r="D158" s="215"/>
      <c r="E158" s="215"/>
      <c r="F158" s="215"/>
      <c r="G158" s="215"/>
      <c r="H158" s="223" t="str">
        <f>IF(ROUND(CF!H49,0)=ROUND(SUM(CF!D49:G49),0),"OK","ERROR")</f>
        <v>OK</v>
      </c>
      <c r="I158" s="208"/>
      <c r="J158" s="215"/>
      <c r="K158" s="215"/>
      <c r="L158" s="215"/>
      <c r="M158" s="215"/>
      <c r="N158" s="223" t="str">
        <f>IF(ROUND(CF!N49,0)=ROUND(SUM(CF!J49:M49),0),"OK","ERROR")</f>
        <v>OK</v>
      </c>
      <c r="O158" s="208"/>
      <c r="P158" s="215"/>
      <c r="Q158" s="215"/>
      <c r="R158" s="215"/>
      <c r="S158" s="215"/>
      <c r="T158" s="223" t="str">
        <f>IF(ROUND(CF!T49,0)=ROUND(SUM(CF!P49:S49),0),"OK","ERROR")</f>
        <v>ERROR</v>
      </c>
      <c r="U158" s="208"/>
      <c r="V158" s="215"/>
      <c r="W158" s="215"/>
      <c r="X158" s="215"/>
      <c r="Y158" s="215"/>
      <c r="Z158" s="223" t="str">
        <f>IF(ROUND(CF!Z49,0)=ROUND(SUM(CF!V49:Y49),0),"OK","ERROR")</f>
        <v>OK</v>
      </c>
      <c r="AA158" s="208"/>
      <c r="AB158" s="215"/>
      <c r="AC158" s="215"/>
      <c r="AD158" s="215"/>
      <c r="AE158" s="215"/>
      <c r="AF158" s="223" t="str">
        <f>IF(ROUND(CF!AF49,0)=ROUND(SUM(CF!AB49:AE49),0),"OK","ERROR")</f>
        <v>OK</v>
      </c>
      <c r="AG158" s="233"/>
      <c r="AH158" s="215"/>
      <c r="AI158" s="215"/>
      <c r="AJ158" s="210"/>
      <c r="AK158" s="210"/>
      <c r="AL158" s="223" t="str">
        <f>IF(ROUND(CF!AL49,0)=ROUND(SUM(CF!AH49:AK49),0),"OK","ERROR")</f>
        <v>ERROR</v>
      </c>
      <c r="AM158" s="234"/>
      <c r="AN158" s="210"/>
      <c r="AO158" s="210"/>
      <c r="AP158" s="210"/>
      <c r="AQ158" s="210"/>
      <c r="AR158" s="223" t="str">
        <f>IF(ROUND(CF!AR49,0)=ROUND(SUM(CF!AN49:AQ49),0),"OK","ERROR")</f>
        <v>OK</v>
      </c>
      <c r="AS158" s="234"/>
      <c r="AT158" s="223" t="str">
        <f>IF(ROUND(CF!AT49,0)=ROUND(SUM(CF!AP49:AS49),0),"OK","ERROR")</f>
        <v>OK</v>
      </c>
      <c r="AU158" s="234"/>
      <c r="AV158" s="223" t="str">
        <f>IF(ROUND(CF!AV49,0)=ROUND(SUM(CF!AR49:AU49),0),"OK","ERROR")</f>
        <v>OK</v>
      </c>
      <c r="AW158" s="240"/>
      <c r="AX158" s="223" t="str">
        <f>IF(ROUND(CF!AX49,0)=ROUND(SUM(CF!AT49:AW49),0),"OK","ERROR")</f>
        <v>OK</v>
      </c>
    </row>
    <row r="160" spans="1:50" s="41" customFormat="1" ht="15" customHeight="1">
      <c r="A160" s="44" t="s">
        <v>41</v>
      </c>
      <c r="B160" s="161" t="s">
        <v>1212</v>
      </c>
      <c r="C160" s="18"/>
      <c r="D160" s="200"/>
      <c r="E160" s="200">
        <f>F160</f>
        <v>2020</v>
      </c>
      <c r="F160" s="200">
        <v>2020</v>
      </c>
      <c r="G160" s="200">
        <f>F160</f>
        <v>2020</v>
      </c>
      <c r="H160" s="200">
        <f>F160</f>
        <v>2020</v>
      </c>
      <c r="I160" s="18"/>
      <c r="J160" s="200">
        <f>L160</f>
        <v>2021</v>
      </c>
      <c r="K160" s="200">
        <f>L160</f>
        <v>2021</v>
      </c>
      <c r="L160" s="200">
        <v>2021</v>
      </c>
      <c r="M160" s="200">
        <f>L160</f>
        <v>2021</v>
      </c>
      <c r="N160" s="200">
        <f>L160</f>
        <v>2021</v>
      </c>
      <c r="O160" s="169"/>
      <c r="P160" s="200">
        <f>R160</f>
        <v>2022</v>
      </c>
      <c r="Q160" s="200">
        <f>R160</f>
        <v>2022</v>
      </c>
      <c r="R160" s="200">
        <v>2022</v>
      </c>
      <c r="S160" s="200">
        <f>R160</f>
        <v>2022</v>
      </c>
      <c r="T160" s="200">
        <f>R160</f>
        <v>2022</v>
      </c>
      <c r="U160" s="169"/>
      <c r="V160" s="200">
        <f>X160</f>
        <v>2023</v>
      </c>
      <c r="W160" s="200">
        <f>X160</f>
        <v>2023</v>
      </c>
      <c r="X160" s="200">
        <v>2023</v>
      </c>
      <c r="Y160" s="200">
        <f>X160</f>
        <v>2023</v>
      </c>
      <c r="Z160" s="200">
        <f>X160</f>
        <v>2023</v>
      </c>
      <c r="AA160" s="170"/>
      <c r="AB160" s="200">
        <f>AD160</f>
        <v>2024</v>
      </c>
      <c r="AC160" s="200">
        <f>AD160</f>
        <v>2024</v>
      </c>
      <c r="AD160" s="200">
        <v>2024</v>
      </c>
      <c r="AE160" s="200">
        <f>AD160</f>
        <v>2024</v>
      </c>
      <c r="AF160" s="200">
        <f>AD160</f>
        <v>2024</v>
      </c>
      <c r="AG160" s="170"/>
      <c r="AH160" s="200">
        <f>AJ160</f>
        <v>2025</v>
      </c>
      <c r="AI160" s="200">
        <f>AJ160</f>
        <v>2025</v>
      </c>
      <c r="AJ160" s="201">
        <v>2025</v>
      </c>
      <c r="AK160" s="200">
        <f>AJ160</f>
        <v>2025</v>
      </c>
      <c r="AL160" s="200">
        <f>AJ160</f>
        <v>2025</v>
      </c>
      <c r="AM160" s="171"/>
      <c r="AN160" s="200">
        <f>AP160</f>
        <v>2025</v>
      </c>
      <c r="AO160" s="200">
        <f>AP160</f>
        <v>2025</v>
      </c>
      <c r="AP160" s="201">
        <v>2025</v>
      </c>
      <c r="AQ160" s="200">
        <f>AP160</f>
        <v>2025</v>
      </c>
      <c r="AR160" s="200">
        <f>AP160</f>
        <v>2025</v>
      </c>
      <c r="AS160" s="18"/>
      <c r="AT160" s="162"/>
      <c r="AU160" s="18"/>
      <c r="AV160" s="163"/>
      <c r="AW160" s="18"/>
      <c r="AX160" s="163"/>
    </row>
    <row r="161" spans="1:50" s="41" customFormat="1" ht="15" customHeight="1">
      <c r="B161" s="164"/>
      <c r="C161" s="18"/>
      <c r="D161" s="893">
        <v>2020</v>
      </c>
      <c r="E161" s="893"/>
      <c r="F161" s="893"/>
      <c r="G161" s="893"/>
      <c r="H161" s="893"/>
      <c r="I161" s="169"/>
      <c r="J161" s="893">
        <f>D161+1</f>
        <v>2021</v>
      </c>
      <c r="K161" s="893"/>
      <c r="L161" s="893"/>
      <c r="M161" s="893"/>
      <c r="N161" s="893"/>
      <c r="O161" s="169"/>
      <c r="P161" s="893">
        <f>J161+1</f>
        <v>2022</v>
      </c>
      <c r="Q161" s="893"/>
      <c r="R161" s="893"/>
      <c r="S161" s="893"/>
      <c r="T161" s="893"/>
      <c r="U161" s="169"/>
      <c r="V161" s="893">
        <f>P161+1</f>
        <v>2023</v>
      </c>
      <c r="W161" s="893"/>
      <c r="X161" s="893"/>
      <c r="Y161" s="893"/>
      <c r="Z161" s="893"/>
      <c r="AA161" s="169"/>
      <c r="AB161" s="893">
        <f>V161+1</f>
        <v>2024</v>
      </c>
      <c r="AC161" s="893"/>
      <c r="AD161" s="893"/>
      <c r="AE161" s="893"/>
      <c r="AF161" s="893"/>
      <c r="AG161" s="169"/>
      <c r="AH161" s="892">
        <f>AB161+1</f>
        <v>2025</v>
      </c>
      <c r="AI161" s="892"/>
      <c r="AJ161" s="892"/>
      <c r="AK161" s="892"/>
      <c r="AL161" s="892"/>
      <c r="AM161" s="169"/>
      <c r="AN161" s="892">
        <f>AH161+1</f>
        <v>2026</v>
      </c>
      <c r="AO161" s="892"/>
      <c r="AP161" s="892"/>
      <c r="AQ161" s="892"/>
      <c r="AR161" s="892"/>
      <c r="AS161" s="171"/>
      <c r="AT161" s="166">
        <f>AN161+1</f>
        <v>2027</v>
      </c>
      <c r="AU161" s="167"/>
      <c r="AV161" s="166">
        <f>+AT161+1</f>
        <v>2028</v>
      </c>
      <c r="AW161" s="167"/>
      <c r="AX161" s="166">
        <f>+AV161+1</f>
        <v>2029</v>
      </c>
    </row>
    <row r="162" spans="1:50" s="41" customFormat="1" ht="15" customHeight="1">
      <c r="B162" s="164"/>
      <c r="C162" s="18"/>
      <c r="D162" s="168" t="s">
        <v>292</v>
      </c>
      <c r="E162" s="168" t="s">
        <v>293</v>
      </c>
      <c r="F162" s="168" t="s">
        <v>294</v>
      </c>
      <c r="G162" s="168" t="s">
        <v>295</v>
      </c>
      <c r="H162" s="168" t="s">
        <v>296</v>
      </c>
      <c r="I162" s="18"/>
      <c r="J162" s="168" t="s">
        <v>292</v>
      </c>
      <c r="K162" s="168" t="s">
        <v>293</v>
      </c>
      <c r="L162" s="168" t="s">
        <v>294</v>
      </c>
      <c r="M162" s="168" t="s">
        <v>295</v>
      </c>
      <c r="N162" s="168" t="s">
        <v>296</v>
      </c>
      <c r="O162" s="165"/>
      <c r="P162" s="168" t="s">
        <v>292</v>
      </c>
      <c r="Q162" s="168" t="s">
        <v>293</v>
      </c>
      <c r="R162" s="168" t="s">
        <v>294</v>
      </c>
      <c r="S162" s="168" t="s">
        <v>295</v>
      </c>
      <c r="T162" s="168" t="s">
        <v>296</v>
      </c>
      <c r="U162" s="165"/>
      <c r="V162" s="168" t="s">
        <v>292</v>
      </c>
      <c r="W162" s="168" t="s">
        <v>293</v>
      </c>
      <c r="X162" s="168" t="s">
        <v>294</v>
      </c>
      <c r="Y162" s="168" t="s">
        <v>295</v>
      </c>
      <c r="Z162" s="168" t="s">
        <v>296</v>
      </c>
      <c r="AA162" s="165"/>
      <c r="AB162" s="168" t="s">
        <v>292</v>
      </c>
      <c r="AC162" s="168" t="s">
        <v>293</v>
      </c>
      <c r="AD162" s="168" t="s">
        <v>294</v>
      </c>
      <c r="AE162" s="168" t="s">
        <v>295</v>
      </c>
      <c r="AF162" s="168" t="s">
        <v>296</v>
      </c>
      <c r="AG162" s="165"/>
      <c r="AH162" s="168" t="s">
        <v>292</v>
      </c>
      <c r="AI162" s="168" t="s">
        <v>293</v>
      </c>
      <c r="AJ162" s="168" t="s">
        <v>294</v>
      </c>
      <c r="AK162" s="168" t="s">
        <v>295</v>
      </c>
      <c r="AL162" s="168" t="s">
        <v>296</v>
      </c>
      <c r="AM162" s="165"/>
      <c r="AN162" s="168" t="s">
        <v>292</v>
      </c>
      <c r="AO162" s="168" t="s">
        <v>293</v>
      </c>
      <c r="AP162" s="168" t="s">
        <v>294</v>
      </c>
      <c r="AQ162" s="168" t="s">
        <v>295</v>
      </c>
      <c r="AR162" s="168" t="s">
        <v>296</v>
      </c>
      <c r="AS162" s="165"/>
      <c r="AT162" s="168" t="s">
        <v>296</v>
      </c>
      <c r="AU162" s="165"/>
      <c r="AV162" s="168" t="s">
        <v>296</v>
      </c>
      <c r="AW162" s="165"/>
      <c r="AX162" s="168" t="s">
        <v>296</v>
      </c>
    </row>
    <row r="163" spans="1:50" s="41" customFormat="1" ht="3.95" customHeight="1">
      <c r="A163" s="43"/>
      <c r="B163" s="176"/>
      <c r="C163" s="35"/>
      <c r="D163" s="177"/>
      <c r="E163" s="177"/>
      <c r="F163" s="177"/>
      <c r="G163" s="177"/>
      <c r="H163" s="177"/>
      <c r="I163" s="35"/>
      <c r="J163" s="177"/>
      <c r="K163" s="177"/>
      <c r="L163" s="177"/>
      <c r="M163" s="177"/>
      <c r="N163" s="177"/>
      <c r="O163" s="178"/>
      <c r="P163" s="177"/>
      <c r="Q163" s="177"/>
      <c r="R163" s="177"/>
      <c r="S163" s="177"/>
      <c r="T163" s="177"/>
      <c r="U163" s="178"/>
      <c r="V163" s="177"/>
      <c r="W163" s="177"/>
      <c r="X163" s="177"/>
      <c r="Y163" s="177"/>
      <c r="Z163" s="177"/>
      <c r="AA163" s="178"/>
      <c r="AB163" s="177"/>
      <c r="AC163" s="177"/>
      <c r="AD163" s="177"/>
      <c r="AE163" s="177"/>
      <c r="AF163" s="177"/>
      <c r="AG163" s="178"/>
      <c r="AH163" s="177"/>
      <c r="AI163" s="177"/>
      <c r="AJ163" s="177"/>
      <c r="AK163" s="177"/>
      <c r="AL163" s="179"/>
      <c r="AM163" s="180"/>
      <c r="AN163" s="179"/>
      <c r="AO163" s="179"/>
      <c r="AP163" s="179"/>
      <c r="AQ163" s="179"/>
      <c r="AR163" s="179"/>
      <c r="AS163" s="180"/>
      <c r="AT163" s="179"/>
      <c r="AU163" s="180"/>
      <c r="AV163" s="179"/>
      <c r="AW163" s="180"/>
      <c r="AX163" s="179"/>
    </row>
    <row r="164" spans="1:50" s="41" customFormat="1" ht="3.95" customHeight="1">
      <c r="A164" s="43"/>
      <c r="B164" s="172"/>
      <c r="C164" s="19"/>
      <c r="D164" s="173"/>
      <c r="E164" s="173"/>
      <c r="F164" s="173"/>
      <c r="G164" s="173"/>
      <c r="H164" s="173"/>
      <c r="I164" s="19"/>
      <c r="J164" s="173"/>
      <c r="K164" s="173"/>
      <c r="L164" s="173"/>
      <c r="M164" s="173"/>
      <c r="N164" s="173"/>
      <c r="O164" s="174"/>
      <c r="P164" s="173"/>
      <c r="Q164" s="173"/>
      <c r="R164" s="173"/>
      <c r="S164" s="173"/>
      <c r="T164" s="173"/>
      <c r="U164" s="174"/>
      <c r="V164" s="173"/>
      <c r="W164" s="173"/>
      <c r="X164" s="173"/>
      <c r="Y164" s="173"/>
      <c r="Z164" s="173"/>
      <c r="AA164" s="174"/>
      <c r="AB164" s="173"/>
      <c r="AC164" s="173"/>
      <c r="AD164" s="173"/>
      <c r="AE164" s="173"/>
      <c r="AF164" s="173"/>
      <c r="AG164" s="202"/>
      <c r="AH164" s="173"/>
      <c r="AI164" s="173"/>
      <c r="AJ164" s="173"/>
      <c r="AK164" s="173"/>
      <c r="AL164" s="175"/>
      <c r="AM164" s="34"/>
      <c r="AN164" s="175"/>
      <c r="AO164" s="175"/>
      <c r="AP164" s="175"/>
      <c r="AQ164" s="175"/>
      <c r="AR164" s="175"/>
      <c r="AS164" s="34"/>
      <c r="AT164" s="175"/>
      <c r="AU164" s="34"/>
      <c r="AV164" s="175"/>
      <c r="AW164" s="34"/>
      <c r="AX164" s="175"/>
    </row>
    <row r="165" spans="1:50" s="54" customFormat="1" ht="15" customHeight="1">
      <c r="A165" s="43"/>
      <c r="B165" s="154"/>
      <c r="C165" s="17"/>
      <c r="D165" s="46"/>
      <c r="E165" s="46"/>
      <c r="F165" s="46"/>
      <c r="G165" s="46"/>
      <c r="H165" s="57"/>
      <c r="I165" s="48"/>
      <c r="J165" s="46"/>
      <c r="K165" s="46"/>
      <c r="L165" s="46"/>
      <c r="M165" s="46"/>
      <c r="N165" s="57"/>
      <c r="O165" s="47"/>
      <c r="P165" s="46"/>
      <c r="Q165" s="46"/>
      <c r="R165" s="46"/>
      <c r="S165" s="46"/>
      <c r="T165" s="57"/>
      <c r="U165" s="47"/>
      <c r="V165" s="46"/>
      <c r="W165" s="46"/>
      <c r="X165" s="46"/>
      <c r="Y165" s="46"/>
      <c r="Z165" s="57"/>
      <c r="AA165" s="47"/>
      <c r="AB165" s="46"/>
      <c r="AC165" s="46"/>
      <c r="AD165" s="46"/>
      <c r="AE165" s="46"/>
      <c r="AF165" s="57"/>
      <c r="AG165" s="49"/>
      <c r="AH165" s="46"/>
      <c r="AI165" s="46"/>
      <c r="AJ165" s="50"/>
      <c r="AK165" s="50"/>
      <c r="AL165" s="58"/>
      <c r="AM165" s="53"/>
      <c r="AN165" s="50"/>
      <c r="AO165" s="50"/>
      <c r="AP165" s="50"/>
      <c r="AQ165" s="50"/>
      <c r="AR165" s="58"/>
      <c r="AS165" s="53"/>
      <c r="AT165" s="58"/>
      <c r="AU165" s="53"/>
      <c r="AV165" s="58"/>
      <c r="AX165" s="58"/>
    </row>
    <row r="166" spans="1:50" s="54" customFormat="1" ht="15" customHeight="1">
      <c r="A166" s="44" t="s">
        <v>41</v>
      </c>
      <c r="B166" s="154" t="s">
        <v>811</v>
      </c>
      <c r="C166" s="17"/>
      <c r="D166" s="206"/>
      <c r="E166" s="206"/>
      <c r="F166" s="206"/>
      <c r="G166" s="206"/>
      <c r="H166" s="217"/>
      <c r="I166" s="208"/>
      <c r="J166" s="206"/>
      <c r="K166" s="206"/>
      <c r="L166" s="206"/>
      <c r="M166" s="206"/>
      <c r="N166" s="217"/>
      <c r="O166" s="207"/>
      <c r="P166" s="206"/>
      <c r="Q166" s="206"/>
      <c r="R166" s="206"/>
      <c r="S166" s="206"/>
      <c r="T166" s="217"/>
      <c r="U166" s="207"/>
      <c r="V166" s="206"/>
      <c r="W166" s="206"/>
      <c r="X166" s="206"/>
      <c r="Y166" s="206"/>
      <c r="Z166" s="217"/>
      <c r="AA166" s="207"/>
      <c r="AB166" s="206"/>
      <c r="AC166" s="206"/>
      <c r="AD166" s="206"/>
      <c r="AE166" s="206"/>
      <c r="AF166" s="217"/>
      <c r="AG166" s="209"/>
      <c r="AH166" s="206"/>
      <c r="AI166" s="206"/>
      <c r="AJ166" s="210"/>
      <c r="AK166" s="210"/>
      <c r="AL166" s="219"/>
      <c r="AM166" s="213"/>
      <c r="AN166" s="210"/>
      <c r="AO166" s="210"/>
      <c r="AP166" s="210"/>
      <c r="AQ166" s="210"/>
      <c r="AR166" s="219"/>
      <c r="AS166" s="213"/>
      <c r="AT166" s="219"/>
      <c r="AU166" s="213"/>
      <c r="AV166" s="219"/>
      <c r="AW166" s="240"/>
      <c r="AX166" s="219"/>
    </row>
    <row r="167" spans="1:50" s="54" customFormat="1" ht="15" customHeight="1" thickBot="1">
      <c r="A167" s="84"/>
      <c r="B167" s="157" t="s">
        <v>816</v>
      </c>
      <c r="C167" s="26"/>
      <c r="D167" s="215" t="str">
        <f>IF(ROUND(CF!D25,0)=ROUND(SUM(CF!D15,CF!D17:D19,CF!D21:D24),0),"OK","ERROR")</f>
        <v>ERROR</v>
      </c>
      <c r="E167" s="215" t="str">
        <f>IF(ROUND(CF!E25,0)=ROUND(SUM(CF!E15,CF!E17:E19,CF!E21:E24),0),"OK","ERROR")</f>
        <v>ERROR</v>
      </c>
      <c r="F167" s="215" t="str">
        <f>IF(ROUND(CF!F25,0)=ROUND(SUM(CF!F15,CF!F17:F19,CF!F21:F24),0),"OK","ERROR")</f>
        <v>ERROR</v>
      </c>
      <c r="G167" s="215" t="str">
        <f>IF(ROUND(CF!G25,0)=ROUND(SUM(CF!G15,CF!G17:G19,CF!G21:G24),0),"OK","ERROR")</f>
        <v>ERROR</v>
      </c>
      <c r="H167" s="232" t="str">
        <f>IF(ROUND(CF!H25,0)=ROUND(SUM(CF!H15,CF!H17:H19,CF!H21:H24),0),"OK","ERROR")</f>
        <v>ERROR</v>
      </c>
      <c r="I167" s="208"/>
      <c r="J167" s="215" t="str">
        <f>IF(ROUND(CF!J25,0)=ROUND(SUM(CF!J15,CF!J17:J19,CF!J21:J24),0),"OK","ERROR")</f>
        <v>ERROR</v>
      </c>
      <c r="K167" s="215" t="str">
        <f>IF(ROUND(CF!K25,0)=ROUND(SUM(CF!K15,CF!K17:K19,CF!K21:K24),0),"OK","ERROR")</f>
        <v>ERROR</v>
      </c>
      <c r="L167" s="215" t="str">
        <f>IF(ROUND(CF!L25,0)=ROUND(SUM(CF!L15,CF!L17:L19,CF!L21:L24),0),"OK","ERROR")</f>
        <v>ERROR</v>
      </c>
      <c r="M167" s="215" t="str">
        <f>IF(ROUND(CF!M25,0)=ROUND(SUM(CF!M15,CF!M17:M19,CF!M21:M24),0),"OK","ERROR")</f>
        <v>ERROR</v>
      </c>
      <c r="N167" s="232" t="str">
        <f>IF(ROUND(CF!N25,0)=ROUND(SUM(CF!N15,CF!N17:N19,CF!N21:N24),0),"OK","ERROR")</f>
        <v>ERROR</v>
      </c>
      <c r="O167" s="208"/>
      <c r="P167" s="215" t="str">
        <f>IF(ROUND(CF!P25,0)=ROUND(SUM(CF!P15,CF!P17:P19,CF!P21:P24),0),"OK","ERROR")</f>
        <v>ERROR</v>
      </c>
      <c r="Q167" s="215" t="str">
        <f>IF(ROUND(CF!Q25,0)=ROUND(SUM(CF!Q15,CF!Q17:Q19,CF!Q21:Q24),0),"OK","ERROR")</f>
        <v>ERROR</v>
      </c>
      <c r="R167" s="215" t="str">
        <f>IF(ROUND(CF!R25,0)=ROUND(SUM(CF!R15,CF!R17:R19,CF!R21:R24),0),"OK","ERROR")</f>
        <v>ERROR</v>
      </c>
      <c r="S167" s="215" t="str">
        <f>IF(ROUND(CF!S25,0)=ROUND(SUM(CF!S15,CF!S17:S19,CF!S21:S24),0),"OK","ERROR")</f>
        <v>ERROR</v>
      </c>
      <c r="T167" s="232" t="str">
        <f>IF(ROUND(CF!T25,0)=ROUND(SUM(CF!T15,CF!T17:T19,CF!T21:T24),0),"OK","ERROR")</f>
        <v>ERROR</v>
      </c>
      <c r="U167" s="208"/>
      <c r="V167" s="215" t="str">
        <f>IF(ROUND(CF!V25,0)=ROUND(SUM(CF!V15,CF!V17:V19,CF!V21:V24),0),"OK","ERROR")</f>
        <v>ERROR</v>
      </c>
      <c r="W167" s="215" t="str">
        <f>IF(ROUND(CF!W25,0)=ROUND(SUM(CF!W15,CF!W17:W19,CF!W21:W24),0),"OK","ERROR")</f>
        <v>ERROR</v>
      </c>
      <c r="X167" s="215" t="str">
        <f>IF(ROUND(CF!X25,0)=ROUND(SUM(CF!X15,CF!X17:X19,CF!X21:X24),0),"OK","ERROR")</f>
        <v>ERROR</v>
      </c>
      <c r="Y167" s="215" t="str">
        <f>IF(ROUND(CF!Y25,0)=ROUND(SUM(CF!Y15,CF!Y17:Y19,CF!Y21:Y24),0),"OK","ERROR")</f>
        <v>ERROR</v>
      </c>
      <c r="Z167" s="232" t="str">
        <f>IF(ROUND(CF!Z25,0)=ROUND(SUM(CF!Z15,CF!Z17:Z19,CF!Z21:Z24),0),"OK","ERROR")</f>
        <v>ERROR</v>
      </c>
      <c r="AA167" s="225"/>
      <c r="AB167" s="215" t="str">
        <f>IF(ROUND(CF!AB25,0)=ROUND(SUM(CF!AB15,CF!AB17:AB19,CF!AB21:AB24),0),"OK","ERROR")</f>
        <v>ERROR</v>
      </c>
      <c r="AC167" s="215" t="str">
        <f>IF(ROUND(CF!AC25,0)=ROUND(SUM(CF!AC15,CF!AC17:AC19,CF!AC21:AC24),0),"OK","ERROR")</f>
        <v>ERROR</v>
      </c>
      <c r="AD167" s="215" t="str">
        <f>IF(ROUND(CF!AD25,0)=ROUND(SUM(CF!AD15,CF!AD17:AD19,CF!AD21:AD24),0),"OK","ERROR")</f>
        <v>ERROR</v>
      </c>
      <c r="AE167" s="215" t="str">
        <f>IF(ROUND(CF!AE25,0)=ROUND(SUM(CF!AE15,CF!AE17:AE19,CF!AE21:AE24),0),"OK","ERROR")</f>
        <v>ERROR</v>
      </c>
      <c r="AF167" s="232" t="str">
        <f>IF(ROUND(CF!AF25,0)=ROUND(SUM(CF!AF15,CF!AF17:AF19,CF!AF21:AF24),0),"OK","ERROR")</f>
        <v>ERROR</v>
      </c>
      <c r="AG167" s="226"/>
      <c r="AH167" s="215" t="str">
        <f>IF(ROUND(CF!AH25,0)=ROUND(SUM(CF!AH15,CF!AH17:AH19,CF!AH21:AH24),0),"OK","ERROR")</f>
        <v>ERROR</v>
      </c>
      <c r="AI167" s="215" t="str">
        <f>IF(ROUND(CF!AI25,0)=ROUND(SUM(CF!AI15,CF!AI17:AI19,CF!AI21:AI24),0),"OK","ERROR")</f>
        <v>ERROR</v>
      </c>
      <c r="AJ167" s="215" t="str">
        <f>IF(ROUND(CF!AJ24,0)=ROUND(SUM(CF!AJ15,CF!AJ17:AJ19,CF!AJ21:AJ24),0),"OK","ERROR")</f>
        <v>ERROR</v>
      </c>
      <c r="AK167" s="215" t="str">
        <f>IF(ROUND(CF!AK25,0)=ROUND(SUM(CF!AK15,CF!AK17:AK19,CF!AK21:AK24),0),"OK","ERROR")</f>
        <v>OK</v>
      </c>
      <c r="AL167" s="232" t="str">
        <f>IF(ROUND(CF!AL25,0)=ROUND(SUM(CF!AL15,CF!AL17:AL19,CF!AL21:AL24),0),"OK","ERROR")</f>
        <v>ERROR</v>
      </c>
      <c r="AM167" s="227"/>
      <c r="AN167" s="215" t="str">
        <f>IF(ROUND(CF!AN25,0)=ROUND(SUM(CF!AN15,CF!AN17:AN19,CF!AN21:AN24),0),"OK","ERROR")</f>
        <v>OK</v>
      </c>
      <c r="AO167" s="215" t="str">
        <f>IF(ROUND(CF!AO25,0)=ROUND(SUM(CF!AO15,CF!AO17:AO19,CF!AO21:AO24),0),"OK","ERROR")</f>
        <v>OK</v>
      </c>
      <c r="AP167" s="215" t="str">
        <f>IF(ROUND(CF!AP25,0)=ROUND(SUM(CF!AP15,CF!AP17:AP19,CF!AP21:AP24),0),"OK","ERROR")</f>
        <v>OK</v>
      </c>
      <c r="AQ167" s="215" t="str">
        <f>IF(ROUND(CF!AQ25,0)=ROUND(SUM(CF!AQ15,CF!AQ17:AQ19,CF!AQ21:AQ24),0),"OK","ERROR")</f>
        <v>OK</v>
      </c>
      <c r="AR167" s="232" t="str">
        <f>IF(ROUND(CF!AR25,0)=ROUND(SUM(CF!AR15,CF!AR17:AR19,CF!AR21:AR24),0),"OK","ERROR")</f>
        <v>OK</v>
      </c>
      <c r="AS167" s="227"/>
      <c r="AT167" s="232" t="str">
        <f>IF(ROUND(CF!AT25,0)=ROUND(SUM(CF!AT15,CF!AT17:AT19,CF!AT21:AT24),0),"OK","ERROR")</f>
        <v>OK</v>
      </c>
      <c r="AU167" s="227"/>
      <c r="AV167" s="232" t="str">
        <f>IF(ROUND(CF!AV25,0)=ROUND(SUM(CF!AV15,CF!AV17:AV19,CF!AV21:AV24),0),"OK","ERROR")</f>
        <v>OK</v>
      </c>
      <c r="AW167" s="240"/>
      <c r="AX167" s="232" t="str">
        <f>IF(ROUND(CF!AX25,0)=ROUND(SUM(CF!AX15,CF!AX17:AX19,CF!AX21:AX24),0),"OK","ERROR")</f>
        <v>OK</v>
      </c>
    </row>
    <row r="168" spans="1:50" s="54" customFormat="1" ht="15" customHeight="1" thickTop="1">
      <c r="A168" s="43"/>
      <c r="B168" s="154"/>
      <c r="C168" s="17"/>
      <c r="D168" s="206"/>
      <c r="E168" s="206"/>
      <c r="F168" s="206"/>
      <c r="G168" s="206"/>
      <c r="H168" s="217"/>
      <c r="I168" s="208"/>
      <c r="J168" s="206"/>
      <c r="K168" s="206"/>
      <c r="L168" s="206"/>
      <c r="M168" s="206"/>
      <c r="N168" s="217"/>
      <c r="O168" s="208"/>
      <c r="P168" s="206"/>
      <c r="Q168" s="206"/>
      <c r="R168" s="206"/>
      <c r="S168" s="206"/>
      <c r="T168" s="217"/>
      <c r="U168" s="208"/>
      <c r="V168" s="206"/>
      <c r="W168" s="206"/>
      <c r="X168" s="206"/>
      <c r="Y168" s="206"/>
      <c r="Z168" s="217"/>
      <c r="AA168" s="211"/>
      <c r="AB168" s="206"/>
      <c r="AC168" s="206"/>
      <c r="AD168" s="206"/>
      <c r="AE168" s="206"/>
      <c r="AF168" s="217"/>
      <c r="AG168" s="209"/>
      <c r="AH168" s="206"/>
      <c r="AI168" s="206"/>
      <c r="AJ168" s="206"/>
      <c r="AK168" s="206"/>
      <c r="AL168" s="217"/>
      <c r="AM168" s="222"/>
      <c r="AN168" s="206"/>
      <c r="AO168" s="206"/>
      <c r="AP168" s="206"/>
      <c r="AQ168" s="206"/>
      <c r="AR168" s="217"/>
      <c r="AS168" s="222"/>
      <c r="AT168" s="217"/>
      <c r="AU168" s="222"/>
      <c r="AV168" s="217"/>
      <c r="AW168" s="240"/>
      <c r="AX168" s="217"/>
    </row>
    <row r="169" spans="1:50" s="54" customFormat="1" ht="15" customHeight="1">
      <c r="A169" s="44" t="s">
        <v>41</v>
      </c>
      <c r="B169" s="158" t="s">
        <v>817</v>
      </c>
      <c r="C169" s="115"/>
      <c r="D169" s="206"/>
      <c r="E169" s="206"/>
      <c r="F169" s="206"/>
      <c r="G169" s="206"/>
      <c r="H169" s="217"/>
      <c r="I169" s="208"/>
      <c r="J169" s="206"/>
      <c r="K169" s="206"/>
      <c r="L169" s="206"/>
      <c r="M169" s="206"/>
      <c r="N169" s="217"/>
      <c r="O169" s="208"/>
      <c r="P169" s="206"/>
      <c r="Q169" s="206"/>
      <c r="R169" s="206"/>
      <c r="S169" s="206"/>
      <c r="T169" s="217"/>
      <c r="U169" s="208"/>
      <c r="V169" s="206"/>
      <c r="W169" s="206"/>
      <c r="X169" s="206"/>
      <c r="Y169" s="206"/>
      <c r="Z169" s="217"/>
      <c r="AA169" s="225"/>
      <c r="AB169" s="206"/>
      <c r="AC169" s="206"/>
      <c r="AD169" s="206"/>
      <c r="AE169" s="206"/>
      <c r="AF169" s="217"/>
      <c r="AG169" s="226"/>
      <c r="AH169" s="206"/>
      <c r="AI169" s="206"/>
      <c r="AJ169" s="206"/>
      <c r="AK169" s="206"/>
      <c r="AL169" s="217"/>
      <c r="AM169" s="227"/>
      <c r="AN169" s="206"/>
      <c r="AO169" s="206"/>
      <c r="AP169" s="206"/>
      <c r="AQ169" s="206"/>
      <c r="AR169" s="217"/>
      <c r="AS169" s="227"/>
      <c r="AT169" s="217"/>
      <c r="AU169" s="227"/>
      <c r="AV169" s="217"/>
      <c r="AW169" s="240"/>
      <c r="AX169" s="217"/>
    </row>
    <row r="170" spans="1:50" s="54" customFormat="1" ht="15" customHeight="1" thickBot="1">
      <c r="A170" s="113"/>
      <c r="B170" s="160" t="s">
        <v>826</v>
      </c>
      <c r="C170" s="17"/>
      <c r="D170" s="215" t="str">
        <f>IF(ROUND(CF!D36,0)=ROUND(SUM(CF!D28:D35),0),"OK","ERROR")</f>
        <v>OK</v>
      </c>
      <c r="E170" s="215" t="str">
        <f>IF(ROUND(CF!E36,0)=ROUND(SUM(CF!E28:E35),0),"OK","ERROR")</f>
        <v>OK</v>
      </c>
      <c r="F170" s="215" t="str">
        <f>IF(ROUND(CF!F36,0)=ROUND(SUM(CF!F28:F35),0),"OK","ERROR")</f>
        <v>OK</v>
      </c>
      <c r="G170" s="215" t="str">
        <f>IF(ROUND(CF!G36,0)=ROUND(SUM(CF!G28:G35),0),"OK","ERROR")</f>
        <v>OK</v>
      </c>
      <c r="H170" s="232" t="str">
        <f>IF(ROUND(CF!H36,0)=ROUND(SUM(CF!H28:H35),0),"OK","ERROR")</f>
        <v>OK</v>
      </c>
      <c r="I170" s="208"/>
      <c r="J170" s="215" t="str">
        <f>IF(ROUND(CF!J36,0)=ROUND(SUM(CF!J28:J35),0),"OK","ERROR")</f>
        <v>OK</v>
      </c>
      <c r="K170" s="215" t="str">
        <f>IF(ROUND(CF!K36,0)=ROUND(SUM(CF!K28:K35),0),"OK","ERROR")</f>
        <v>OK</v>
      </c>
      <c r="L170" s="215" t="str">
        <f>IF(ROUND(CF!L36,0)=ROUND(SUM(CF!L28:L35),0),"OK","ERROR")</f>
        <v>OK</v>
      </c>
      <c r="M170" s="215" t="str">
        <f>IF(ROUND(CF!M36,0)=ROUND(SUM(CF!M28:M35),0),"OK","ERROR")</f>
        <v>OK</v>
      </c>
      <c r="N170" s="232" t="str">
        <f>IF(ROUND(CF!N36,0)=ROUND(SUM(CF!N28:N35),0),"OK","ERROR")</f>
        <v>OK</v>
      </c>
      <c r="O170" s="208"/>
      <c r="P170" s="215" t="str">
        <f>IF(ROUND(CF!P36,0)=ROUND(SUM(CF!P28:P35),0),"OK","ERROR")</f>
        <v>OK</v>
      </c>
      <c r="Q170" s="215" t="str">
        <f>IF(ROUND(CF!Q36,0)=ROUND(SUM(CF!Q28:Q35),0),"OK","ERROR")</f>
        <v>OK</v>
      </c>
      <c r="R170" s="215" t="str">
        <f>IF(ROUND(CF!R36,0)=ROUND(SUM(CF!R28:R35),0),"OK","ERROR")</f>
        <v>OK</v>
      </c>
      <c r="S170" s="215" t="str">
        <f>IF(ROUND(CF!S36,0)=ROUND(SUM(CF!S28:S35),0),"OK","ERROR")</f>
        <v>OK</v>
      </c>
      <c r="T170" s="232" t="str">
        <f>IF(ROUND(CF!T36,0)=ROUND(SUM(CF!T28:T35),0),"OK","ERROR")</f>
        <v>OK</v>
      </c>
      <c r="U170" s="208"/>
      <c r="V170" s="215" t="str">
        <f>IF(ROUND(CF!V36,0)=ROUND(SUM(CF!V28:V35),0),"OK","ERROR")</f>
        <v>OK</v>
      </c>
      <c r="W170" s="215" t="str">
        <f>IF(ROUND(CF!W36,0)=ROUND(SUM(CF!W28:W35),0),"OK","ERROR")</f>
        <v>OK</v>
      </c>
      <c r="X170" s="215" t="str">
        <f>IF(ROUND(CF!X36,0)=ROUND(SUM(CF!X28:X35),0),"OK","ERROR")</f>
        <v>OK</v>
      </c>
      <c r="Y170" s="215" t="str">
        <f>IF(ROUND(CF!Y36,0)=ROUND(SUM(CF!Y28:Y35),0),"OK","ERROR")</f>
        <v>OK</v>
      </c>
      <c r="Z170" s="232" t="str">
        <f>IF(ROUND(CF!Z36,0)=ROUND(SUM(CF!Z28:Z35),0),"OK","ERROR")</f>
        <v>OK</v>
      </c>
      <c r="AA170" s="211"/>
      <c r="AB170" s="215" t="str">
        <f>IF(ROUND(CF!AB36,0)=ROUND(SUM(CF!AB28:AB35),0),"OK","ERROR")</f>
        <v>OK</v>
      </c>
      <c r="AC170" s="215" t="str">
        <f>IF(ROUND(CF!AC36,0)=ROUND(SUM(CF!AC28:AC35),0),"OK","ERROR")</f>
        <v>OK</v>
      </c>
      <c r="AD170" s="215" t="str">
        <f>IF(ROUND(CF!AD36,0)=ROUND(SUM(CF!AD28:AD35),0),"OK","ERROR")</f>
        <v>OK</v>
      </c>
      <c r="AE170" s="215" t="str">
        <f>IF(ROUND(CF!AE36,0)=ROUND(SUM(CF!AE28:AE35),0),"OK","ERROR")</f>
        <v>OK</v>
      </c>
      <c r="AF170" s="232" t="str">
        <f>IF(ROUND(CF!AF36,0)=ROUND(SUM(CF!AF28:AF35),0),"OK","ERROR")</f>
        <v>OK</v>
      </c>
      <c r="AG170" s="209"/>
      <c r="AH170" s="215" t="str">
        <f>IF(ROUND(CF!AH36,0)=ROUND(SUM(CF!AH28:AH35),0),"OK","ERROR")</f>
        <v>OK</v>
      </c>
      <c r="AI170" s="215" t="str">
        <f>IF(ROUND(CF!AI36,0)=ROUND(SUM(CF!AI28:AI35),0),"OK","ERROR")</f>
        <v>OK</v>
      </c>
      <c r="AJ170" s="215" t="str">
        <f>IF(ROUND(CF!AJ36,0)=ROUND(SUM(CF!AJ28:AJ35),0),"OK","ERROR")</f>
        <v>OK</v>
      </c>
      <c r="AK170" s="215" t="str">
        <f>IF(ROUND(CF!AK36,0)=ROUND(SUM(CF!AK28:AK35),0),"OK","ERROR")</f>
        <v>OK</v>
      </c>
      <c r="AL170" s="232" t="str">
        <f>IF(ROUND(CF!AL36,0)=ROUND(SUM(CF!AL28:AL35),0),"OK","ERROR")</f>
        <v>ERROR</v>
      </c>
      <c r="AM170" s="213"/>
      <c r="AN170" s="215" t="str">
        <f>IF(ROUND(CF!AN36,0)=ROUND(SUM(CF!AN28:AN35),0),"OK","ERROR")</f>
        <v>OK</v>
      </c>
      <c r="AO170" s="215" t="str">
        <f>IF(ROUND(CF!AO36,0)=ROUND(SUM(CF!AO28:AO35),0),"OK","ERROR")</f>
        <v>OK</v>
      </c>
      <c r="AP170" s="215" t="str">
        <f>IF(ROUND(CF!AP36,0)=ROUND(SUM(CF!AP28:AP35),0),"OK","ERROR")</f>
        <v>OK</v>
      </c>
      <c r="AQ170" s="215" t="str">
        <f>IF(ROUND(CF!AQ36,0)=ROUND(SUM(CF!AQ28:AQ35),0),"OK","ERROR")</f>
        <v>OK</v>
      </c>
      <c r="AR170" s="232" t="str">
        <f>IF(ROUND(CF!AR36,0)=ROUND(SUM(CF!AR28:AR35),0),"OK","ERROR")</f>
        <v>OK</v>
      </c>
      <c r="AS170" s="213"/>
      <c r="AT170" s="232" t="str">
        <f>IF(ROUND(CF!AT36,0)=ROUND(SUM(CF!AT28:AT35),0),"OK","ERROR")</f>
        <v>OK</v>
      </c>
      <c r="AU170" s="213"/>
      <c r="AV170" s="232" t="str">
        <f>IF(ROUND(CF!AV36,0)=ROUND(SUM(CF!AV28:AV35),0),"OK","ERROR")</f>
        <v>OK</v>
      </c>
      <c r="AW170" s="240"/>
      <c r="AX170" s="232" t="str">
        <f>IF(ROUND(CF!AX36,0)=ROUND(SUM(CF!AX28:AX35),0),"OK","ERROR")</f>
        <v>OK</v>
      </c>
    </row>
    <row r="171" spans="1:50" s="54" customFormat="1" ht="15" customHeight="1" thickTop="1">
      <c r="A171" s="43"/>
      <c r="B171" s="154"/>
      <c r="C171" s="115"/>
      <c r="D171" s="206"/>
      <c r="E171" s="206"/>
      <c r="F171" s="206"/>
      <c r="G171" s="206"/>
      <c r="H171" s="217"/>
      <c r="I171" s="208"/>
      <c r="J171" s="206"/>
      <c r="K171" s="206"/>
      <c r="L171" s="206"/>
      <c r="M171" s="206"/>
      <c r="N171" s="217"/>
      <c r="O171" s="208"/>
      <c r="P171" s="206"/>
      <c r="Q171" s="206"/>
      <c r="R171" s="206"/>
      <c r="S171" s="206"/>
      <c r="T171" s="217"/>
      <c r="U171" s="208"/>
      <c r="V171" s="206"/>
      <c r="W171" s="206"/>
      <c r="X171" s="206"/>
      <c r="Y171" s="206"/>
      <c r="Z171" s="217"/>
      <c r="AA171" s="228"/>
      <c r="AB171" s="206"/>
      <c r="AC171" s="206"/>
      <c r="AD171" s="206"/>
      <c r="AE171" s="206"/>
      <c r="AF171" s="217"/>
      <c r="AG171" s="226"/>
      <c r="AH171" s="206"/>
      <c r="AI171" s="206"/>
      <c r="AJ171" s="206"/>
      <c r="AK171" s="206"/>
      <c r="AL171" s="217"/>
      <c r="AM171" s="227"/>
      <c r="AN171" s="206"/>
      <c r="AO171" s="206"/>
      <c r="AP171" s="206"/>
      <c r="AQ171" s="206"/>
      <c r="AR171" s="217"/>
      <c r="AS171" s="227"/>
      <c r="AT171" s="217"/>
      <c r="AU171" s="227"/>
      <c r="AV171" s="217"/>
      <c r="AW171" s="240"/>
      <c r="AX171" s="217"/>
    </row>
    <row r="172" spans="1:50" s="54" customFormat="1" ht="15" customHeight="1">
      <c r="A172" s="44" t="s">
        <v>41</v>
      </c>
      <c r="B172" s="158" t="s">
        <v>827</v>
      </c>
      <c r="C172" s="27"/>
      <c r="D172" s="206"/>
      <c r="E172" s="206"/>
      <c r="F172" s="206"/>
      <c r="G172" s="206"/>
      <c r="H172" s="217"/>
      <c r="I172" s="208"/>
      <c r="J172" s="206"/>
      <c r="K172" s="206"/>
      <c r="L172" s="206"/>
      <c r="M172" s="206"/>
      <c r="N172" s="217"/>
      <c r="O172" s="208"/>
      <c r="P172" s="206"/>
      <c r="Q172" s="206"/>
      <c r="R172" s="206"/>
      <c r="S172" s="206"/>
      <c r="T172" s="217"/>
      <c r="U172" s="208"/>
      <c r="V172" s="206"/>
      <c r="W172" s="206"/>
      <c r="X172" s="206"/>
      <c r="Y172" s="206"/>
      <c r="Z172" s="217"/>
      <c r="AA172" s="211"/>
      <c r="AB172" s="206"/>
      <c r="AC172" s="206"/>
      <c r="AD172" s="206"/>
      <c r="AE172" s="206"/>
      <c r="AF172" s="217"/>
      <c r="AG172" s="209"/>
      <c r="AH172" s="206"/>
      <c r="AI172" s="206"/>
      <c r="AJ172" s="206"/>
      <c r="AK172" s="206"/>
      <c r="AL172" s="217"/>
      <c r="AM172" s="213"/>
      <c r="AN172" s="206"/>
      <c r="AO172" s="206"/>
      <c r="AP172" s="206"/>
      <c r="AQ172" s="206"/>
      <c r="AR172" s="217"/>
      <c r="AS172" s="213"/>
      <c r="AT172" s="217"/>
      <c r="AU172" s="213"/>
      <c r="AV172" s="217"/>
      <c r="AW172" s="240"/>
      <c r="AX172" s="217"/>
    </row>
    <row r="173" spans="1:50" s="54" customFormat="1" ht="15" customHeight="1" thickBot="1">
      <c r="A173" s="113"/>
      <c r="B173" s="160" t="s">
        <v>834</v>
      </c>
      <c r="C173" s="17"/>
      <c r="D173" s="215" t="str">
        <f>IF(ROUND(CF!D45,0)=ROUND(SUM(CF!D39:D44),0),"OK","ERROR")</f>
        <v>OK</v>
      </c>
      <c r="E173" s="215" t="str">
        <f>IF(ROUND(CF!E45,0)=ROUND(SUM(CF!E39:E44),0),"OK","ERROR")</f>
        <v>OK</v>
      </c>
      <c r="F173" s="215" t="str">
        <f>IF(ROUND(CF!F45,0)=ROUND(SUM(CF!F39:F44),0),"OK","ERROR")</f>
        <v>OK</v>
      </c>
      <c r="G173" s="215" t="str">
        <f>IF(ROUND(CF!G45,0)=ROUND(SUM(CF!G39:G44),0),"OK","ERROR")</f>
        <v>OK</v>
      </c>
      <c r="H173" s="232" t="str">
        <f>IF(ROUND(CF!H45,0)=ROUND(SUM(CF!H39:H44),0),"OK","ERROR")</f>
        <v>OK</v>
      </c>
      <c r="I173" s="208"/>
      <c r="J173" s="215" t="str">
        <f>IF(ROUND(CF!J45,0)=ROUND(SUM(CF!J39:J44),0),"OK","ERROR")</f>
        <v>OK</v>
      </c>
      <c r="K173" s="215" t="str">
        <f>IF(ROUND(CF!K45,0)=ROUND(SUM(CF!K39:K44),0),"OK","ERROR")</f>
        <v>OK</v>
      </c>
      <c r="L173" s="215" t="str">
        <f>IF(ROUND(CF!L45,0)=ROUND(SUM(CF!L39:L44),0),"OK","ERROR")</f>
        <v>OK</v>
      </c>
      <c r="M173" s="215" t="str">
        <f>IF(ROUND(CF!M45,0)=ROUND(SUM(CF!M39:M44),0),"OK","ERROR")</f>
        <v>OK</v>
      </c>
      <c r="N173" s="232" t="str">
        <f>IF(ROUND(CF!N45,0)=ROUND(SUM(CF!N39:N44),0),"OK","ERROR")</f>
        <v>OK</v>
      </c>
      <c r="O173" s="208"/>
      <c r="P173" s="215" t="str">
        <f>IF(ROUND(CF!P45,0)=ROUND(SUM(CF!P39:P44),0),"OK","ERROR")</f>
        <v>OK</v>
      </c>
      <c r="Q173" s="215" t="str">
        <f>IF(ROUND(CF!Q45,0)=ROUND(SUM(CF!Q39:Q44),0),"OK","ERROR")</f>
        <v>OK</v>
      </c>
      <c r="R173" s="215" t="str">
        <f>IF(ROUND(CF!R45,0)=ROUND(SUM(CF!R39:R44),0),"OK","ERROR")</f>
        <v>OK</v>
      </c>
      <c r="S173" s="215" t="str">
        <f>IF(ROUND(CF!S45,0)=ROUND(SUM(CF!S39:S44),0),"OK","ERROR")</f>
        <v>OK</v>
      </c>
      <c r="T173" s="232" t="str">
        <f>IF(ROUND(CF!T45,0)=ROUND(SUM(CF!T39:T44),0),"OK","ERROR")</f>
        <v>OK</v>
      </c>
      <c r="U173" s="208"/>
      <c r="V173" s="215" t="str">
        <f>IF(ROUND(CF!V45,0)=ROUND(SUM(CF!V39:V44),0),"OK","ERROR")</f>
        <v>OK</v>
      </c>
      <c r="W173" s="215" t="str">
        <f>IF(ROUND(CF!W45,0)=ROUND(SUM(CF!W39:W44),0),"OK","ERROR")</f>
        <v>OK</v>
      </c>
      <c r="X173" s="215" t="str">
        <f>IF(ROUND(CF!X45,0)=ROUND(SUM(CF!X39:X44),0),"OK","ERROR")</f>
        <v>OK</v>
      </c>
      <c r="Y173" s="215" t="str">
        <f>IF(ROUND(CF!Y45,0)=ROUND(SUM(CF!Y39:Y44),0),"OK","ERROR")</f>
        <v>OK</v>
      </c>
      <c r="Z173" s="232" t="str">
        <f>IF(ROUND(CF!Z45,0)=ROUND(SUM(CF!Z39:Z44),0),"OK","ERROR")</f>
        <v>OK</v>
      </c>
      <c r="AA173" s="208"/>
      <c r="AB173" s="215" t="str">
        <f>IF(ROUND(CF!AB45,0)=ROUND(SUM(CF!AB39:AB44),0),"OK","ERROR")</f>
        <v>OK</v>
      </c>
      <c r="AC173" s="215" t="str">
        <f>IF(ROUND(CF!AC45,0)=ROUND(SUM(CF!AC39:AC44),0),"OK","ERROR")</f>
        <v>OK</v>
      </c>
      <c r="AD173" s="215" t="str">
        <f>IF(ROUND(CF!AD45,0)=ROUND(SUM(CF!AD39:AD44),0),"OK","ERROR")</f>
        <v>OK</v>
      </c>
      <c r="AE173" s="215" t="str">
        <f>IF(ROUND(CF!AE45,0)=ROUND(SUM(CF!AE39:AE44),0),"OK","ERROR")</f>
        <v>OK</v>
      </c>
      <c r="AF173" s="232" t="str">
        <f>IF(ROUND(CF!AF45,0)=ROUND(SUM(CF!AF39:AF44),0),"OK","ERROR")</f>
        <v>OK</v>
      </c>
      <c r="AG173" s="233"/>
      <c r="AH173" s="215" t="str">
        <f>IF(ROUND(CF!AH45,0)=ROUND(SUM(CF!AH39:AH44),0),"OK","ERROR")</f>
        <v>OK</v>
      </c>
      <c r="AI173" s="215" t="str">
        <f>IF(ROUND(CF!AI45,0)=ROUND(SUM(CF!AI39:AI44),0),"OK","ERROR")</f>
        <v>OK</v>
      </c>
      <c r="AJ173" s="215" t="str">
        <f>IF(ROUND(CF!AJ45,0)=ROUND(SUM(CF!AJ39:AJ44),0),"OK","ERROR")</f>
        <v>OK</v>
      </c>
      <c r="AK173" s="215" t="str">
        <f>IF(ROUND(CF!AK45,0)=ROUND(SUM(CF!AK39:AK44),0),"OK","ERROR")</f>
        <v>OK</v>
      </c>
      <c r="AL173" s="232" t="str">
        <f>IF(ROUND(CF!AL45,0)=ROUND(SUM(CF!AL39:AL44),0),"OK","ERROR")</f>
        <v>OK</v>
      </c>
      <c r="AM173" s="234"/>
      <c r="AN173" s="215" t="str">
        <f>IF(ROUND(CF!AN45,0)=ROUND(SUM(CF!AN39:AN44),0),"OK","ERROR")</f>
        <v>OK</v>
      </c>
      <c r="AO173" s="215" t="str">
        <f>IF(ROUND(CF!AO45,0)=ROUND(SUM(CF!AO39:AO44),0),"OK","ERROR")</f>
        <v>OK</v>
      </c>
      <c r="AP173" s="215" t="str">
        <f>IF(ROUND(CF!AP45,0)=ROUND(SUM(CF!AP39:AP44),0),"OK","ERROR")</f>
        <v>OK</v>
      </c>
      <c r="AQ173" s="215" t="str">
        <f>IF(ROUND(CF!AQ45,0)=ROUND(SUM(CF!AQ39:AQ44),0),"OK","ERROR")</f>
        <v>OK</v>
      </c>
      <c r="AR173" s="232" t="str">
        <f>IF(ROUND(CF!AR45,0)=ROUND(SUM(CF!AR39:AR44),0),"OK","ERROR")</f>
        <v>OK</v>
      </c>
      <c r="AS173" s="234"/>
      <c r="AT173" s="232" t="str">
        <f>IF(ROUND(CF!AT45,0)=ROUND(SUM(CF!AT39:AT44),0),"OK","ERROR")</f>
        <v>OK</v>
      </c>
      <c r="AU173" s="234"/>
      <c r="AV173" s="232" t="str">
        <f>IF(ROUND(CF!AV45,0)=ROUND(SUM(CF!AV39:AV44),0),"OK","ERROR")</f>
        <v>OK</v>
      </c>
      <c r="AW173" s="240"/>
      <c r="AX173" s="232" t="str">
        <f>IF(ROUND(CF!AX45,0)=ROUND(SUM(CF!AX39:AX44),0),"OK","ERROR")</f>
        <v>OK</v>
      </c>
    </row>
    <row r="174" spans="1:50" s="54" customFormat="1" ht="15" customHeight="1" thickTop="1">
      <c r="A174" s="113"/>
      <c r="B174" s="9"/>
      <c r="C174" s="115"/>
      <c r="D174" s="206"/>
      <c r="E174" s="206"/>
      <c r="F174" s="206"/>
      <c r="G174" s="206"/>
      <c r="H174" s="217"/>
      <c r="I174" s="208"/>
      <c r="J174" s="206"/>
      <c r="K174" s="206"/>
      <c r="L174" s="206"/>
      <c r="M174" s="206"/>
      <c r="N174" s="217"/>
      <c r="O174" s="208"/>
      <c r="P174" s="206"/>
      <c r="Q174" s="206"/>
      <c r="R174" s="206"/>
      <c r="S174" s="206"/>
      <c r="T174" s="217"/>
      <c r="U174" s="208"/>
      <c r="V174" s="206"/>
      <c r="W174" s="206"/>
      <c r="X174" s="206"/>
      <c r="Y174" s="206"/>
      <c r="Z174" s="217"/>
      <c r="AA174" s="225"/>
      <c r="AB174" s="206"/>
      <c r="AC174" s="206"/>
      <c r="AD174" s="206"/>
      <c r="AE174" s="206"/>
      <c r="AF174" s="217"/>
      <c r="AG174" s="226"/>
      <c r="AH174" s="206"/>
      <c r="AI174" s="206"/>
      <c r="AJ174" s="206"/>
      <c r="AK174" s="206"/>
      <c r="AL174" s="217"/>
      <c r="AM174" s="227"/>
      <c r="AN174" s="206"/>
      <c r="AO174" s="206"/>
      <c r="AP174" s="206"/>
      <c r="AQ174" s="206"/>
      <c r="AR174" s="217"/>
      <c r="AS174" s="227"/>
      <c r="AT174" s="217"/>
      <c r="AU174" s="227"/>
      <c r="AV174" s="217"/>
      <c r="AW174" s="240"/>
      <c r="AX174" s="217"/>
    </row>
    <row r="175" spans="1:50" s="54" customFormat="1" ht="15" customHeight="1">
      <c r="A175" s="44" t="s">
        <v>41</v>
      </c>
      <c r="B175" s="158" t="s">
        <v>836</v>
      </c>
      <c r="C175" s="17"/>
      <c r="D175" s="215" t="str">
        <f>IF(ROUND(CF!D49,0)=ROUND(SUM(CF!D25,CF!D36,CF!D45,CF!D47),0),"OK","ERROR")</f>
        <v>OK</v>
      </c>
      <c r="E175" s="215" t="str">
        <f>IF(ROUND(CF!E49,0)=ROUND(SUM(CF!E25,CF!E36,CF!E45,CF!E47),0),"OK","ERROR")</f>
        <v>OK</v>
      </c>
      <c r="F175" s="215" t="str">
        <f>IF(ROUND(CF!F49,0)=ROUND(SUM(CF!F25,CF!F36,CF!F45,CF!F47),0),"OK","ERROR")</f>
        <v>OK</v>
      </c>
      <c r="G175" s="215" t="str">
        <f>IF(ROUND(CF!G49,0)=ROUND(SUM(CF!G25,CF!G36,CF!G45,CF!G47),0),"OK","ERROR")</f>
        <v>OK</v>
      </c>
      <c r="H175" s="223" t="str">
        <f>IF(ROUND(CF!H49,0)=ROUND(SUM(CF!H25,CF!H36,CF!H45,CF!H47),0),"OK","ERROR")</f>
        <v>OK</v>
      </c>
      <c r="I175" s="208"/>
      <c r="J175" s="215" t="str">
        <f>IF(ROUND(CF!J49,0)=ROUND(SUM(CF!J25,CF!J36,CF!J45,CF!J47),0),"OK","ERROR")</f>
        <v>OK</v>
      </c>
      <c r="K175" s="215" t="str">
        <f>IF(ROUND(CF!K49,0)=ROUND(SUM(CF!K25,CF!K36,CF!K45,CF!K47),0),"OK","ERROR")</f>
        <v>OK</v>
      </c>
      <c r="L175" s="215" t="str">
        <f>IF(ROUND(CF!L49,0)=ROUND(SUM(CF!L25,CF!L36,CF!L45,CF!L47),0),"OK","ERROR")</f>
        <v>OK</v>
      </c>
      <c r="M175" s="215" t="str">
        <f>IF(ROUND(CF!M49,0)=ROUND(SUM(CF!M25,CF!M36,CF!M45,CF!M47),0),"OK","ERROR")</f>
        <v>OK</v>
      </c>
      <c r="N175" s="223" t="str">
        <f>IF(ROUND(CF!N49,0)=ROUND(SUM(CF!N25,CF!N36,CF!N45,CF!N47),0),"OK","ERROR")</f>
        <v>OK</v>
      </c>
      <c r="O175" s="208"/>
      <c r="P175" s="215" t="str">
        <f>IF(ROUND(CF!P49,0)=ROUND(SUM(CF!P25,CF!P36,CF!P45,CF!P47),0),"OK","ERROR")</f>
        <v>OK</v>
      </c>
      <c r="Q175" s="215" t="str">
        <f>IF(ROUND(CF!Q49,0)=ROUND(SUM(CF!Q25,CF!Q36,CF!Q45,CF!Q47),0),"OK","ERROR")</f>
        <v>OK</v>
      </c>
      <c r="R175" s="215" t="str">
        <f>IF(ROUND(CF!R49,0)=ROUND(SUM(CF!R25,CF!R36,CF!R45,CF!R47),0),"OK","ERROR")</f>
        <v>OK</v>
      </c>
      <c r="S175" s="215" t="str">
        <f>IF(ROUND(CF!S49,0)=ROUND(SUM(CF!S25,CF!S36,CF!S45,CF!S47),0),"OK","ERROR")</f>
        <v>OK</v>
      </c>
      <c r="T175" s="223" t="str">
        <f>IF(ROUND(CF!T49,0)=ROUND(SUM(CF!T25,CF!T36,CF!T45,CF!T47),0),"OK","ERROR")</f>
        <v>OK</v>
      </c>
      <c r="U175" s="208"/>
      <c r="V175" s="215" t="str">
        <f>IF(ROUND(CF!V49,0)=ROUND(SUM(CF!V25,CF!V36,CF!V45,CF!V47),0),"OK","ERROR")</f>
        <v>OK</v>
      </c>
      <c r="W175" s="215" t="str">
        <f>IF(ROUND(CF!W49,0)=ROUND(SUM(CF!W25,CF!W36,CF!W45,CF!W47),0),"OK","ERROR")</f>
        <v>OK</v>
      </c>
      <c r="X175" s="215" t="str">
        <f>IF(ROUND(CF!X49,0)=ROUND(SUM(CF!X25,CF!X36,CF!X45,CF!X47),0),"OK","ERROR")</f>
        <v>OK</v>
      </c>
      <c r="Y175" s="215" t="str">
        <f>IF(ROUND(CF!Y49,0)=ROUND(SUM(CF!Y25,CF!Y36,CF!Y45,CF!Y47),0),"OK","ERROR")</f>
        <v>OK</v>
      </c>
      <c r="Z175" s="223" t="str">
        <f>IF(ROUND(CF!Z49,0)=ROUND(SUM(CF!Z25,CF!Z36,CF!Z45,CF!Z47),0),"OK","ERROR")</f>
        <v>OK</v>
      </c>
      <c r="AA175" s="208"/>
      <c r="AB175" s="215" t="str">
        <f>IF(ROUND(CF!AB49,0)=ROUND(SUM(CF!AB25,CF!AB36,CF!AB45,CF!AB47),0),"OK","ERROR")</f>
        <v>OK</v>
      </c>
      <c r="AC175" s="215" t="str">
        <f>IF(ROUND(CF!AC49,0)=ROUND(SUM(CF!AC25,CF!AC36,CF!AC45,CF!AC47),0),"OK","ERROR")</f>
        <v>OK</v>
      </c>
      <c r="AD175" s="215" t="str">
        <f>IF(ROUND(CF!AD49,0)=ROUND(SUM(CF!AD25,CF!AD36,CF!AD45,CF!AD47),0),"OK","ERROR")</f>
        <v>OK</v>
      </c>
      <c r="AE175" s="215" t="str">
        <f>IF(ROUND(CF!AE49,0)=ROUND(SUM(CF!AE25,CF!AE36,CF!AE45,CF!AE47),0),"OK","ERROR")</f>
        <v>OK</v>
      </c>
      <c r="AF175" s="223" t="str">
        <f>IF(ROUND(CF!AF49,0)=ROUND(SUM(CF!AF25,CF!AF36,CF!AF45,CF!AF47),0),"OK","ERROR")</f>
        <v>OK</v>
      </c>
      <c r="AG175" s="233"/>
      <c r="AH175" s="215" t="str">
        <f>IF(ROUND(CF!AH49,0)=ROUND(SUM(CF!AH25,CF!AH36,CF!AH45,CF!AH47),0),"OK","ERROR")</f>
        <v>OK</v>
      </c>
      <c r="AI175" s="215" t="str">
        <f>IF(ROUND(CF!AI49,0)=ROUND(SUM(CF!AI25,CF!AI36,CF!AI45,CF!AI47),0),"OK","ERROR")</f>
        <v>OK</v>
      </c>
      <c r="AJ175" s="215" t="str">
        <f>IF(ROUND(CF!AJ49,0)=ROUND(SUM(CF!AJ24,CF!AJ36,CF!AJ45,CF!AJ47),0),"OK","ERROR")</f>
        <v>ERROR</v>
      </c>
      <c r="AK175" s="215" t="str">
        <f>IF(ROUND(CF!AK49,0)=ROUND(SUM(CF!AK25,CF!AK36,CF!AK45,CF!AK47),0),"OK","ERROR")</f>
        <v>OK</v>
      </c>
      <c r="AL175" s="223" t="str">
        <f>IF(ROUND(CF!AL49,0)=ROUND(SUM(CF!AL25,CF!AL36,CF!AL45,CF!AL47),0),"OK","ERROR")</f>
        <v>OK</v>
      </c>
      <c r="AM175" s="234"/>
      <c r="AN175" s="215" t="str">
        <f>IF(ROUND(CF!AN49,0)=ROUND(SUM(CF!AN25,CF!AN36,CF!AN45,CF!AN47),0),"OK","ERROR")</f>
        <v>OK</v>
      </c>
      <c r="AO175" s="215" t="str">
        <f>IF(ROUND(CF!AO49,0)=ROUND(SUM(CF!AO25,CF!AO36,CF!AO45,CF!AO47),0),"OK","ERROR")</f>
        <v>OK</v>
      </c>
      <c r="AP175" s="215" t="str">
        <f>IF(ROUND(CF!AP49,0)=ROUND(SUM(CF!AP25,CF!AP36,CF!AP45,CF!AP47),0),"OK","ERROR")</f>
        <v>OK</v>
      </c>
      <c r="AQ175" s="215" t="str">
        <f>IF(ROUND(CF!AQ49,0)=ROUND(SUM(CF!AQ25,CF!AQ36,CF!AQ45,CF!AQ47),0),"OK","ERROR")</f>
        <v>OK</v>
      </c>
      <c r="AR175" s="223" t="str">
        <f>IF(ROUND(CF!AR49,0)=ROUND(SUM(CF!AR25,CF!AR36,CF!AR45,CF!AR47),0),"OK","ERROR")</f>
        <v>OK</v>
      </c>
      <c r="AS175" s="234"/>
      <c r="AT175" s="223" t="str">
        <f>IF(ROUND(CF!AT49,0)=ROUND(SUM(CF!AT25,CF!AT36,CF!AT45,CF!AT47),0),"OK","ERROR")</f>
        <v>OK</v>
      </c>
      <c r="AU175" s="234"/>
      <c r="AV175" s="223" t="str">
        <f>IF(ROUND(CF!AV49,0)=ROUND(SUM(CF!AV25,CF!AV36,CF!AV45,CF!AV47),0),"OK","ERROR")</f>
        <v>OK</v>
      </c>
      <c r="AW175" s="240"/>
      <c r="AX175" s="223" t="str">
        <f>IF(ROUND(CF!AX49,0)=ROUND(SUM(CF!AX25,CF!AX36,CF!AX45,CF!AX47),0),"OK","ERROR")</f>
        <v>OK</v>
      </c>
    </row>
    <row r="176" spans="1:50" s="54" customFormat="1" ht="15" customHeight="1" thickBot="1">
      <c r="B176" s="158" t="s">
        <v>837</v>
      </c>
      <c r="C176" s="115"/>
      <c r="D176" s="206" t="str">
        <f>IF(ROUND(CF!D50,0)=ROUND(SUM(CF!D49,CF!D12),0),"OK","ERROR")</f>
        <v>OK</v>
      </c>
      <c r="E176" s="206" t="str">
        <f>IF(ROUND(CF!E50,0)=ROUND(SUM(CF!E49,CF!E12),0),"OK","ERROR")</f>
        <v>OK</v>
      </c>
      <c r="F176" s="206" t="str">
        <f>IF(ROUND(CF!F50,0)=ROUND(SUM(CF!F49,CF!F12),0),"OK","ERROR")</f>
        <v>OK</v>
      </c>
      <c r="G176" s="206" t="str">
        <f>IF(ROUND(CF!G50,0)=ROUND(SUM(CF!G49,CF!G12),0),"OK","ERROR")</f>
        <v>OK</v>
      </c>
      <c r="H176" s="232" t="str">
        <f>IF(ROUND(CF!H50,0)=ROUND(SUM(CF!H49,CF!H12),0),"OK","ERROR")</f>
        <v>ERROR</v>
      </c>
      <c r="I176" s="208"/>
      <c r="J176" s="206" t="str">
        <f>IF(ROUND(CF!J50,0)=ROUND(SUM(CF!J49,CF!J12),0),"OK","ERROR")</f>
        <v>OK</v>
      </c>
      <c r="K176" s="206" t="str">
        <f>IF(ROUND(CF!K50,0)=ROUND(SUM(CF!K49,CF!K12),0),"OK","ERROR")</f>
        <v>OK</v>
      </c>
      <c r="L176" s="206" t="str">
        <f>IF(ROUND(CF!L50,0)=ROUND(SUM(CF!L49,CF!L12),0),"OK","ERROR")</f>
        <v>OK</v>
      </c>
      <c r="M176" s="206" t="str">
        <f>IF(ROUND(CF!M50,0)=ROUND(SUM(CF!M49,CF!M12),0),"OK","ERROR")</f>
        <v>OK</v>
      </c>
      <c r="N176" s="232" t="str">
        <f>IF(ROUND(CF!N50,0)=ROUND(SUM(CF!N49,CF!N12),0),"OK","ERROR")</f>
        <v>ERROR</v>
      </c>
      <c r="O176" s="208"/>
      <c r="P176" s="206" t="str">
        <f>IF(ROUND(CF!P50,0)=ROUND(SUM(CF!P49,CF!P12),0),"OK","ERROR")</f>
        <v>OK</v>
      </c>
      <c r="Q176" s="206" t="str">
        <f>IF(ROUND(CF!Q50,0)=ROUND(SUM(CF!Q49,CF!Q12),0),"OK","ERROR")</f>
        <v>ERROR</v>
      </c>
      <c r="R176" s="206" t="str">
        <f>IF(ROUND(CF!R50,0)=ROUND(SUM(CF!R49,CF!R12),0),"OK","ERROR")</f>
        <v>OK</v>
      </c>
      <c r="S176" s="206" t="str">
        <f>IF(ROUND(CF!S50,0)=ROUND(SUM(CF!S49,CF!S12),0),"OK","ERROR")</f>
        <v>OK</v>
      </c>
      <c r="T176" s="232" t="str">
        <f>IF(ROUND(CF!T50,0)=ROUND(SUM(CF!T49,CF!T12),0),"OK","ERROR")</f>
        <v>ERROR</v>
      </c>
      <c r="U176" s="208"/>
      <c r="V176" s="206" t="str">
        <f>IF(ROUND(CF!V50,0)=ROUND(SUM(CF!V49,CF!V12),0),"OK","ERROR")</f>
        <v>OK</v>
      </c>
      <c r="W176" s="206" t="str">
        <f>IF(ROUND(CF!W50,0)=ROUND(SUM(CF!W49,CF!W12),0),"OK","ERROR")</f>
        <v>OK</v>
      </c>
      <c r="X176" s="206" t="str">
        <f>IF(ROUND(CF!X50,0)=ROUND(SUM(CF!X49,CF!X12),0),"OK","ERROR")</f>
        <v>OK</v>
      </c>
      <c r="Y176" s="206" t="str">
        <f>IF(ROUND(CF!Y50,0)=ROUND(SUM(CF!Y49,CF!Y12),0),"OK","ERROR")</f>
        <v>OK</v>
      </c>
      <c r="Z176" s="232" t="str">
        <f>IF(ROUND(CF!Z50,0)=ROUND(SUM(CF!Z49,CF!Z12),0),"OK","ERROR")</f>
        <v>ERROR</v>
      </c>
      <c r="AA176" s="208"/>
      <c r="AB176" s="206" t="str">
        <f>IF(ROUND(CF!AB50,0)=ROUND(SUM(CF!AB49,CF!AB12),0),"OK","ERROR")</f>
        <v>OK</v>
      </c>
      <c r="AC176" s="206" t="str">
        <f>IF(ROUND(CF!AC50,0)=ROUND(SUM(CF!AC49,CF!AC12),0),"OK","ERROR")</f>
        <v>OK</v>
      </c>
      <c r="AD176" s="206" t="str">
        <f>IF(ROUND(CF!AD50,0)=ROUND(SUM(CF!AD49,CF!AD12),0),"OK","ERROR")</f>
        <v>OK</v>
      </c>
      <c r="AE176" s="206" t="str">
        <f>IF(ROUND(CF!AE50,0)=ROUND(SUM(CF!AE49,CF!AE12),0),"OK","ERROR")</f>
        <v>OK</v>
      </c>
      <c r="AF176" s="232" t="str">
        <f>IF(ROUND(CF!AF50,0)=ROUND(SUM(CF!AF49,CF!AF12),0),"OK","ERROR")</f>
        <v>ERROR</v>
      </c>
      <c r="AG176" s="233"/>
      <c r="AH176" s="206" t="str">
        <f>IF(ROUND(CF!AH50,0)=ROUND(SUM(CF!AH49,CF!AH12),0),"OK","ERROR")</f>
        <v>OK</v>
      </c>
      <c r="AI176" s="206" t="str">
        <f>IF(ROUND(CF!AI50,0)=ROUND(SUM(CF!AI49,CF!AI12),0),"OK","ERROR")</f>
        <v>OK</v>
      </c>
      <c r="AJ176" s="206" t="str">
        <f>IF(ROUND(CF!AJ50,0)=ROUND(SUM(CF!AJ49,CF!AJ12),0),"OK","ERROR")</f>
        <v>OK</v>
      </c>
      <c r="AK176" s="206" t="str">
        <f>IF(ROUND(CF!AK50,0)=ROUND(SUM(CF!AK49,CF!AK12),0),"OK","ERROR")</f>
        <v>OK</v>
      </c>
      <c r="AL176" s="232" t="str">
        <f>IF(ROUND(CF!AL50,0)=ROUND(SUM(CF!AL49,CF!AL12),0),"OK","ERROR")</f>
        <v>OK</v>
      </c>
      <c r="AM176" s="234"/>
      <c r="AN176" s="206" t="str">
        <f>IF(ROUND(CF!AN50,0)=ROUND(SUM(CF!AN49,CF!AN12),0),"OK","ERROR")</f>
        <v>OK</v>
      </c>
      <c r="AO176" s="206" t="str">
        <f>IF(ROUND(CF!AO50,0)=ROUND(SUM(CF!AO49,CF!AO12),0),"OK","ERROR")</f>
        <v>OK</v>
      </c>
      <c r="AP176" s="206" t="str">
        <f>IF(ROUND(CF!AP50,0)=ROUND(SUM(CF!AP49,CF!AP12),0),"OK","ERROR")</f>
        <v>OK</v>
      </c>
      <c r="AQ176" s="206" t="str">
        <f>IF(ROUND(CF!AQ50,0)=ROUND(SUM(CF!AQ49,CF!AQ12),0),"OK","ERROR")</f>
        <v>OK</v>
      </c>
      <c r="AR176" s="232" t="str">
        <f>IF(ROUND(CF!AR50,0)=ROUND(SUM(CF!AR49,CF!AR12),0),"OK","ERROR")</f>
        <v>OK</v>
      </c>
      <c r="AS176" s="234"/>
      <c r="AT176" s="232" t="str">
        <f>IF(ROUND(CF!AT50,0)=ROUND(SUM(CF!AT49,CF!AT12),0),"OK","ERROR")</f>
        <v>OK</v>
      </c>
      <c r="AU176" s="234"/>
      <c r="AV176" s="232" t="str">
        <f>IF(ROUND(CF!AV50,0)=ROUND(SUM(CF!AV49,CF!AV12),0),"OK","ERROR")</f>
        <v>OK</v>
      </c>
      <c r="AW176" s="240"/>
      <c r="AX176" s="232" t="str">
        <f>IF(ROUND(CF!AX50,0)=ROUND(SUM(CF!AX49,CF!AX12),0),"OK","ERROR")</f>
        <v>OK</v>
      </c>
    </row>
  </sheetData>
  <mergeCells count="28">
    <mergeCell ref="AN161:AR161"/>
    <mergeCell ref="D161:H161"/>
    <mergeCell ref="J161:N161"/>
    <mergeCell ref="P161:T161"/>
    <mergeCell ref="V161:Z161"/>
    <mergeCell ref="AB161:AF161"/>
    <mergeCell ref="AH161:AL161"/>
    <mergeCell ref="AN89:AR89"/>
    <mergeCell ref="D119:H119"/>
    <mergeCell ref="J119:N119"/>
    <mergeCell ref="P119:T119"/>
    <mergeCell ref="V119:Z119"/>
    <mergeCell ref="AB119:AF119"/>
    <mergeCell ref="AH119:AL119"/>
    <mergeCell ref="AN119:AR119"/>
    <mergeCell ref="D89:H89"/>
    <mergeCell ref="J89:N89"/>
    <mergeCell ref="P89:T89"/>
    <mergeCell ref="V89:Z89"/>
    <mergeCell ref="AB89:AF89"/>
    <mergeCell ref="AH89:AL89"/>
    <mergeCell ref="AN8:AR8"/>
    <mergeCell ref="D8:H8"/>
    <mergeCell ref="J8:N8"/>
    <mergeCell ref="P8:T8"/>
    <mergeCell ref="V8:Z8"/>
    <mergeCell ref="AB8:AF8"/>
    <mergeCell ref="AH8:AL8"/>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499984740745262"/>
    <pageSetUpPr autoPageBreaks="0"/>
  </sheetPr>
  <dimension ref="A1:W176"/>
  <sheetViews>
    <sheetView showGridLines="0" zoomScale="85" zoomScaleNormal="85" workbookViewId="0">
      <selection activeCell="E21" sqref="E21"/>
    </sheetView>
  </sheetViews>
  <sheetFormatPr defaultColWidth="9" defaultRowHeight="15" customHeight="1"/>
  <cols>
    <col min="1" max="1" width="2.125" customWidth="1"/>
    <col min="2" max="2" width="12.625" customWidth="1"/>
    <col min="3" max="3" width="9.5" bestFit="1" customWidth="1"/>
    <col min="4" max="4" width="18.125" customWidth="1"/>
    <col min="5" max="5" width="13.625" bestFit="1" customWidth="1"/>
    <col min="6" max="6" width="11.875" customWidth="1"/>
    <col min="7" max="7" width="8.875"/>
    <col min="8" max="8" width="11.375" bestFit="1" customWidth="1"/>
    <col min="9" max="9" width="8.875"/>
    <col min="10" max="10" width="10.375" customWidth="1"/>
    <col min="11" max="11" width="8.875"/>
    <col min="12" max="12" width="14" customWidth="1"/>
    <col min="13" max="13" width="8.875"/>
    <col min="14" max="14" width="11.875" bestFit="1" customWidth="1"/>
    <col min="15" max="15" width="8.875"/>
    <col min="16" max="16" width="10.125" customWidth="1"/>
    <col min="17" max="17" width="8.875"/>
    <col min="18" max="18" width="12.5" customWidth="1"/>
    <col min="19" max="20" width="8.875"/>
    <col min="21" max="21" width="12.375" customWidth="1"/>
    <col min="22" max="23" width="8.875" customWidth="1"/>
    <col min="24" max="16384" width="9" style="4"/>
  </cols>
  <sheetData>
    <row r="1" spans="1:23" s="573" customFormat="1" ht="15" customHeight="1"/>
    <row r="2" spans="1:23" s="573" customFormat="1" ht="15" customHeight="1"/>
    <row r="3" spans="1:23" s="573" customFormat="1" ht="15" customHeight="1"/>
    <row r="4" spans="1:23" s="573" customFormat="1" ht="15" customHeight="1"/>
    <row r="5" spans="1:23" s="572" customFormat="1" ht="3.95" customHeight="1">
      <c r="A5" s="38"/>
      <c r="B5" s="38"/>
      <c r="C5" s="38"/>
      <c r="D5" s="38"/>
      <c r="E5" s="38"/>
      <c r="F5" s="38"/>
      <c r="G5" s="38"/>
      <c r="H5" s="38"/>
      <c r="I5" s="38"/>
      <c r="J5" s="38"/>
      <c r="K5" s="38"/>
      <c r="L5" s="38"/>
      <c r="M5" s="38"/>
      <c r="N5" s="38"/>
      <c r="O5" s="38"/>
      <c r="P5" s="38"/>
      <c r="Q5" s="38"/>
      <c r="R5" s="38"/>
      <c r="S5" s="38"/>
      <c r="T5" s="38"/>
      <c r="U5" s="38"/>
      <c r="V5" s="38"/>
      <c r="W5" s="38"/>
    </row>
    <row r="7" spans="1:23" s="558" customFormat="1" ht="15" customHeight="1">
      <c r="B7" s="2" t="s">
        <v>1213</v>
      </c>
      <c r="C7" s="2"/>
      <c r="D7" s="2"/>
      <c r="E7" s="2"/>
      <c r="F7" s="2"/>
      <c r="G7" s="2"/>
      <c r="H7" s="2"/>
      <c r="I7" s="2"/>
      <c r="J7" s="2"/>
      <c r="K7" s="2"/>
      <c r="L7" s="2"/>
      <c r="M7" s="2"/>
      <c r="N7" s="2"/>
      <c r="O7" s="2"/>
      <c r="P7" s="2"/>
      <c r="Q7" s="2"/>
      <c r="R7" s="2"/>
      <c r="S7" s="13" t="s">
        <v>368</v>
      </c>
    </row>
    <row r="8" spans="1:23" s="558" customFormat="1" ht="15" customHeight="1">
      <c r="B8" s="2"/>
      <c r="C8" s="2"/>
      <c r="D8" s="2"/>
      <c r="E8" s="2"/>
      <c r="F8" s="2"/>
      <c r="G8" s="2"/>
      <c r="H8" s="2"/>
      <c r="I8" s="2"/>
      <c r="J8" s="2"/>
      <c r="K8" s="2"/>
      <c r="L8" s="2"/>
      <c r="M8" s="2"/>
      <c r="N8" s="2"/>
      <c r="O8" s="2"/>
      <c r="P8" s="2"/>
      <c r="Q8" s="2"/>
      <c r="R8" s="2"/>
    </row>
    <row r="9" spans="1:23" s="558" customFormat="1" ht="15" customHeight="1">
      <c r="B9" s="2"/>
      <c r="C9" s="2"/>
      <c r="D9" s="2"/>
      <c r="E9" s="2"/>
      <c r="F9" s="2"/>
      <c r="G9" s="2"/>
      <c r="H9" s="2"/>
      <c r="I9" s="2"/>
      <c r="J9" s="2"/>
      <c r="K9" s="2"/>
      <c r="L9" s="2"/>
      <c r="M9" s="2"/>
      <c r="N9" s="2"/>
      <c r="O9" s="2"/>
      <c r="P9" s="2"/>
      <c r="Q9" s="2"/>
      <c r="R9" s="2"/>
    </row>
    <row r="10" spans="1:23" ht="3.95" customHeight="1">
      <c r="B10" s="38"/>
      <c r="C10" s="38"/>
      <c r="D10" s="38"/>
      <c r="E10" s="38"/>
      <c r="F10" s="38"/>
      <c r="G10" s="38"/>
      <c r="H10" s="38"/>
      <c r="I10" s="38"/>
      <c r="J10" s="38"/>
      <c r="K10" s="38"/>
      <c r="L10" s="38"/>
      <c r="M10" s="38"/>
      <c r="N10" s="38"/>
      <c r="O10" s="38"/>
      <c r="P10" s="38"/>
      <c r="Q10" s="38"/>
      <c r="R10" s="38"/>
    </row>
    <row r="11" spans="1:23" ht="3.95" customHeight="1"/>
    <row r="12" spans="1:23" ht="15" customHeight="1" thickBot="1">
      <c r="B12" s="400" t="s">
        <v>90</v>
      </c>
      <c r="C12" s="401"/>
      <c r="D12" s="401"/>
      <c r="F12" s="402" t="s">
        <v>1214</v>
      </c>
      <c r="G12" s="401"/>
      <c r="H12" s="401"/>
      <c r="I12" s="401"/>
      <c r="J12" s="401"/>
      <c r="L12" s="402" t="s">
        <v>1215</v>
      </c>
      <c r="M12" s="401"/>
      <c r="O12" s="402" t="s">
        <v>1216</v>
      </c>
      <c r="P12" s="401"/>
      <c r="Q12" s="401"/>
      <c r="R12" s="401"/>
    </row>
    <row r="13" spans="1:23" ht="15" customHeight="1">
      <c r="B13" s="1" t="s">
        <v>1217</v>
      </c>
      <c r="D13" s="399" t="s">
        <v>1218</v>
      </c>
      <c r="F13" s="6" t="s">
        <v>1219</v>
      </c>
      <c r="J13" s="343">
        <v>107186.1436966</v>
      </c>
      <c r="L13" s="1" t="s">
        <v>1220</v>
      </c>
      <c r="M13" s="346">
        <v>1.7751119605896108</v>
      </c>
      <c r="O13" s="10" t="s">
        <v>1221</v>
      </c>
      <c r="R13" s="357" t="s">
        <v>1222</v>
      </c>
    </row>
    <row r="14" spans="1:23" ht="15" customHeight="1">
      <c r="B14" s="1" t="s">
        <v>1223</v>
      </c>
      <c r="D14" s="357" t="s">
        <v>1224</v>
      </c>
      <c r="F14" s="6" t="s">
        <v>1225</v>
      </c>
      <c r="J14" s="343">
        <v>0</v>
      </c>
      <c r="L14" s="1" t="s">
        <v>1226</v>
      </c>
      <c r="M14" s="346">
        <v>16.945408410390645</v>
      </c>
      <c r="O14" s="10" t="s">
        <v>1227</v>
      </c>
      <c r="R14" s="357" t="s">
        <v>1228</v>
      </c>
    </row>
    <row r="15" spans="1:23" ht="15" customHeight="1">
      <c r="B15" s="1" t="s">
        <v>1229</v>
      </c>
      <c r="D15" s="356" t="s">
        <v>465</v>
      </c>
      <c r="F15" s="6" t="s">
        <v>1230</v>
      </c>
      <c r="J15" s="344">
        <v>0</v>
      </c>
      <c r="L15" s="1" t="s">
        <v>1231</v>
      </c>
      <c r="M15" s="346">
        <v>19.678577851063842</v>
      </c>
    </row>
    <row r="16" spans="1:23" ht="15" customHeight="1" thickBot="1">
      <c r="B16" s="362" t="s">
        <v>1232</v>
      </c>
      <c r="D16" s="356"/>
      <c r="F16" s="6" t="s">
        <v>1233</v>
      </c>
      <c r="J16" s="344">
        <v>21638</v>
      </c>
      <c r="L16" s="1" t="s">
        <v>1234</v>
      </c>
      <c r="M16" s="346">
        <v>1.5490999999999999</v>
      </c>
      <c r="O16" s="402" t="s">
        <v>1235</v>
      </c>
      <c r="P16" s="401"/>
      <c r="Q16" s="401"/>
      <c r="R16" s="401"/>
    </row>
    <row r="17" spans="1:23" ht="15" customHeight="1">
      <c r="B17" t="s">
        <v>1236</v>
      </c>
      <c r="C17" s="10"/>
      <c r="D17" s="809">
        <v>46022</v>
      </c>
      <c r="F17" s="16" t="s">
        <v>1237</v>
      </c>
      <c r="G17" s="7"/>
      <c r="H17" s="7"/>
      <c r="I17" s="7"/>
      <c r="J17" s="345">
        <v>1293</v>
      </c>
      <c r="O17" s="1" t="s">
        <v>1217</v>
      </c>
      <c r="R17" s="399" t="s">
        <v>1218</v>
      </c>
    </row>
    <row r="18" spans="1:23" ht="15" customHeight="1">
      <c r="B18" t="s">
        <v>1238</v>
      </c>
      <c r="C18" s="10"/>
      <c r="D18" s="808">
        <v>45931</v>
      </c>
      <c r="F18" s="5" t="s">
        <v>669</v>
      </c>
      <c r="G18" s="1"/>
      <c r="H18" s="1"/>
      <c r="I18" s="1"/>
      <c r="J18" s="8">
        <v>127531.1436966</v>
      </c>
      <c r="L18" s="1" t="s">
        <v>22</v>
      </c>
      <c r="M18" s="40">
        <v>0.47389218211174011</v>
      </c>
      <c r="O18" s="1" t="s">
        <v>1223</v>
      </c>
      <c r="Q18" s="4"/>
      <c r="R18" s="357" t="s">
        <v>1224</v>
      </c>
      <c r="S18" s="4"/>
    </row>
    <row r="19" spans="1:23" ht="15" customHeight="1">
      <c r="C19" s="10"/>
      <c r="D19" t="s">
        <v>1239</v>
      </c>
      <c r="F19" s="5"/>
      <c r="G19" s="1"/>
      <c r="H19" s="1"/>
      <c r="I19" s="1"/>
      <c r="J19" s="8"/>
      <c r="O19" s="10"/>
    </row>
    <row r="20" spans="1:23" ht="15" customHeight="1">
      <c r="B20" s="402" t="s">
        <v>1240</v>
      </c>
      <c r="C20" s="401"/>
      <c r="D20" s="401"/>
      <c r="E20" s="401"/>
      <c r="F20" s="401"/>
      <c r="G20" s="1"/>
      <c r="H20" s="402" t="s">
        <v>1241</v>
      </c>
      <c r="I20" s="401"/>
      <c r="J20" s="401"/>
      <c r="K20" s="401"/>
      <c r="L20" s="401"/>
      <c r="N20" s="402" t="s">
        <v>1242</v>
      </c>
      <c r="O20" s="401"/>
      <c r="P20" s="401"/>
      <c r="Q20" s="401"/>
      <c r="R20" s="401"/>
      <c r="U20" s="10"/>
      <c r="V20" s="10"/>
    </row>
    <row r="21" spans="1:23" ht="15" customHeight="1">
      <c r="B21" s="10" t="s">
        <v>369</v>
      </c>
      <c r="C21" s="10"/>
      <c r="E21" s="363" t="s">
        <v>1243</v>
      </c>
      <c r="F21" s="678"/>
      <c r="G21" s="1"/>
      <c r="H21" s="10" t="s">
        <v>374</v>
      </c>
      <c r="I21" s="10"/>
      <c r="K21" s="363" t="s">
        <v>1244</v>
      </c>
      <c r="L21" s="364"/>
      <c r="N21" s="10" t="s">
        <v>379</v>
      </c>
      <c r="O21" s="10"/>
      <c r="Q21" s="363" t="s">
        <v>1245</v>
      </c>
      <c r="R21" s="364"/>
      <c r="U21" s="10"/>
      <c r="V21" s="10"/>
    </row>
    <row r="22" spans="1:23" ht="15" customHeight="1">
      <c r="B22" s="10" t="s">
        <v>370</v>
      </c>
      <c r="C22" s="10"/>
      <c r="E22" s="365" t="s">
        <v>1246</v>
      </c>
      <c r="F22" s="366"/>
      <c r="G22" s="1"/>
      <c r="H22" s="10" t="s">
        <v>376</v>
      </c>
      <c r="I22" s="10"/>
      <c r="K22" s="365" t="s">
        <v>1247</v>
      </c>
      <c r="L22" s="366"/>
      <c r="N22" s="10" t="s">
        <v>380</v>
      </c>
      <c r="O22" s="10"/>
      <c r="Q22" s="365" t="s">
        <v>1248</v>
      </c>
      <c r="R22" s="366"/>
      <c r="U22" s="10"/>
      <c r="V22" s="10"/>
    </row>
    <row r="23" spans="1:23" ht="15" customHeight="1">
      <c r="B23" s="10" t="s">
        <v>371</v>
      </c>
      <c r="C23" s="10"/>
      <c r="E23" s="365" t="s">
        <v>1249</v>
      </c>
      <c r="F23" s="366"/>
      <c r="G23" s="1"/>
      <c r="H23" s="10" t="s">
        <v>390</v>
      </c>
      <c r="I23" s="10"/>
      <c r="K23" s="365" t="s">
        <v>1250</v>
      </c>
      <c r="L23" s="366"/>
      <c r="N23" s="10" t="s">
        <v>381</v>
      </c>
      <c r="O23" s="10"/>
      <c r="Q23" s="365" t="s">
        <v>1251</v>
      </c>
      <c r="R23" s="366"/>
    </row>
    <row r="24" spans="1:23" ht="15" customHeight="1">
      <c r="B24" s="10" t="s">
        <v>372</v>
      </c>
      <c r="C24" s="10"/>
      <c r="E24" s="365" t="s">
        <v>1252</v>
      </c>
      <c r="F24" s="366"/>
      <c r="G24" s="1"/>
      <c r="H24" s="10" t="s">
        <v>378</v>
      </c>
      <c r="I24" s="10"/>
      <c r="K24" s="363" t="s">
        <v>1253</v>
      </c>
      <c r="L24" s="366"/>
      <c r="N24" s="10" t="s">
        <v>382</v>
      </c>
      <c r="O24" s="10"/>
      <c r="Q24" s="365" t="s">
        <v>1254</v>
      </c>
      <c r="R24" s="366"/>
    </row>
    <row r="25" spans="1:23" ht="15" customHeight="1">
      <c r="B25" s="10" t="s">
        <v>373</v>
      </c>
      <c r="C25" s="10"/>
      <c r="E25" s="363" t="s">
        <v>1255</v>
      </c>
      <c r="F25" s="364"/>
      <c r="G25" s="1"/>
      <c r="H25" s="10"/>
      <c r="I25" s="10"/>
      <c r="K25" s="363"/>
      <c r="L25" s="364"/>
      <c r="N25" s="10" t="s">
        <v>375</v>
      </c>
      <c r="O25" s="10"/>
      <c r="Q25" s="363" t="s">
        <v>1256</v>
      </c>
      <c r="R25" s="364"/>
    </row>
    <row r="26" spans="1:23" ht="15" customHeight="1">
      <c r="A26" s="4"/>
      <c r="B26" s="4"/>
      <c r="C26" s="4"/>
      <c r="D26" s="4"/>
      <c r="E26" s="4"/>
      <c r="F26" s="4"/>
      <c r="G26" s="4"/>
      <c r="H26" s="4"/>
      <c r="I26" s="4"/>
      <c r="J26" s="4"/>
      <c r="K26" s="4"/>
      <c r="L26" s="4"/>
      <c r="M26" s="4"/>
      <c r="N26" s="4"/>
      <c r="O26" s="4"/>
      <c r="P26" s="4"/>
      <c r="Q26" s="4"/>
      <c r="R26" s="4"/>
      <c r="S26" s="4"/>
      <c r="T26" s="4"/>
      <c r="U26" s="4"/>
      <c r="V26" s="4"/>
      <c r="W26" s="4"/>
    </row>
    <row r="27" spans="1:23" s="558" customFormat="1" ht="15" customHeight="1">
      <c r="B27" s="2" t="s">
        <v>3</v>
      </c>
      <c r="C27" s="2"/>
      <c r="D27" s="2"/>
      <c r="E27" s="2"/>
      <c r="F27" s="2"/>
      <c r="G27" s="2"/>
      <c r="H27" s="2"/>
      <c r="I27" s="2"/>
      <c r="J27" s="2"/>
      <c r="K27" s="2"/>
      <c r="L27" s="2"/>
      <c r="M27" s="2"/>
      <c r="N27" s="2"/>
      <c r="O27" s="2"/>
      <c r="P27" s="2"/>
      <c r="Q27" s="2"/>
      <c r="R27" s="2"/>
      <c r="S27" s="2"/>
      <c r="T27" s="2"/>
      <c r="U27" s="2"/>
    </row>
    <row r="28" spans="1:23" ht="3.95" customHeight="1">
      <c r="B28" s="38"/>
      <c r="C28" s="38"/>
      <c r="D28" s="38"/>
      <c r="E28" s="38"/>
      <c r="F28" s="38"/>
      <c r="G28" s="38"/>
      <c r="H28" s="38"/>
      <c r="I28" s="38"/>
      <c r="J28" s="38"/>
      <c r="K28" s="38"/>
      <c r="L28" s="38"/>
      <c r="M28" s="38"/>
      <c r="N28" s="38"/>
      <c r="O28" s="38"/>
      <c r="P28" s="38"/>
      <c r="Q28" s="38"/>
      <c r="R28" s="38"/>
      <c r="S28" s="38"/>
      <c r="T28" s="38"/>
      <c r="U28" s="38"/>
    </row>
    <row r="30" spans="1:23" ht="15" customHeight="1">
      <c r="B30" s="2" t="s">
        <v>1257</v>
      </c>
      <c r="C30" s="2"/>
      <c r="D30" s="2"/>
      <c r="E30" s="2"/>
      <c r="F30" s="2"/>
      <c r="G30" s="2"/>
      <c r="H30" s="2"/>
      <c r="I30" s="2"/>
      <c r="J30" s="2"/>
      <c r="L30" s="2" t="s">
        <v>1258</v>
      </c>
      <c r="M30" s="2"/>
      <c r="N30" s="2"/>
      <c r="O30" s="2"/>
      <c r="P30" s="2"/>
      <c r="Q30" s="2"/>
      <c r="R30" s="2"/>
      <c r="S30" s="2"/>
      <c r="T30" s="2"/>
      <c r="U30" s="2"/>
    </row>
    <row r="56" spans="1:23" s="558" customFormat="1" ht="15" customHeight="1">
      <c r="A56" s="12"/>
      <c r="B56" s="2" t="s">
        <v>1213</v>
      </c>
      <c r="C56" s="2"/>
      <c r="D56" s="2"/>
      <c r="E56" s="2"/>
      <c r="F56" s="2"/>
      <c r="G56" s="2"/>
      <c r="H56" s="2"/>
      <c r="I56" s="2"/>
      <c r="J56" s="2"/>
      <c r="K56" s="2"/>
      <c r="L56" s="2"/>
      <c r="M56" s="2"/>
      <c r="N56" s="2"/>
      <c r="O56" s="2"/>
      <c r="P56" s="2"/>
      <c r="Q56" s="2"/>
      <c r="R56" s="2"/>
      <c r="S56" s="2"/>
      <c r="T56" s="2"/>
      <c r="U56" s="2"/>
      <c r="V56" s="2"/>
      <c r="W56" s="2"/>
    </row>
    <row r="57" spans="1:23" s="558" customFormat="1" ht="15" customHeight="1">
      <c r="A57" s="12"/>
      <c r="B57" s="2"/>
      <c r="C57" s="2"/>
      <c r="D57" s="2"/>
      <c r="E57" s="2"/>
      <c r="F57" s="2"/>
      <c r="G57" s="2"/>
      <c r="H57" s="2"/>
      <c r="I57" s="2"/>
      <c r="J57" s="2"/>
      <c r="K57" s="2"/>
      <c r="L57" s="2"/>
      <c r="M57" s="2"/>
      <c r="N57" s="2"/>
      <c r="O57" s="2"/>
      <c r="P57" s="2"/>
      <c r="Q57" s="2"/>
      <c r="R57" s="2"/>
      <c r="S57" s="2"/>
      <c r="T57" s="2"/>
      <c r="U57" s="2"/>
      <c r="V57" s="2"/>
      <c r="W57" s="2"/>
    </row>
    <row r="58" spans="1:23" s="558" customFormat="1" ht="15" customHeight="1">
      <c r="A58" s="12"/>
      <c r="B58" s="2"/>
      <c r="C58" s="2"/>
      <c r="D58" s="2"/>
      <c r="E58" s="2"/>
      <c r="F58" s="2"/>
      <c r="G58" s="2"/>
      <c r="H58" s="2"/>
      <c r="I58" s="2"/>
      <c r="J58" s="2"/>
      <c r="K58" s="2"/>
      <c r="L58" s="2"/>
      <c r="M58" s="2"/>
      <c r="N58" s="2"/>
      <c r="O58" s="2"/>
      <c r="P58" s="2"/>
      <c r="Q58" s="2"/>
      <c r="R58" s="2"/>
      <c r="S58" s="2"/>
      <c r="T58" s="2"/>
      <c r="U58" s="2"/>
      <c r="V58" s="2"/>
      <c r="W58" s="2"/>
    </row>
    <row r="59" spans="1:23" ht="3.95" customHeight="1">
      <c r="B59" s="38"/>
      <c r="C59" s="38"/>
      <c r="D59" s="38"/>
      <c r="E59" s="38"/>
      <c r="F59" s="38"/>
      <c r="G59" s="38"/>
      <c r="H59" s="38"/>
      <c r="I59" s="38"/>
      <c r="J59" s="38"/>
      <c r="K59" s="38"/>
      <c r="L59" s="38"/>
      <c r="M59" s="38"/>
      <c r="N59" s="38"/>
      <c r="O59" s="38"/>
      <c r="P59" s="38"/>
      <c r="Q59" s="38"/>
      <c r="R59" s="38"/>
      <c r="S59" s="38"/>
      <c r="T59" s="38"/>
      <c r="U59" s="38"/>
      <c r="V59" s="38"/>
      <c r="W59" s="38"/>
    </row>
    <row r="60" spans="1:23" ht="3.95" customHeight="1"/>
    <row r="61" spans="1:23" ht="15" customHeight="1">
      <c r="A61" s="13" t="s">
        <v>1218</v>
      </c>
      <c r="B61" s="10"/>
      <c r="C61" s="10"/>
      <c r="D61" s="10"/>
      <c r="E61" s="10"/>
      <c r="F61" s="10"/>
      <c r="G61" s="10"/>
      <c r="H61" s="10"/>
      <c r="I61" s="10"/>
      <c r="J61" s="10"/>
      <c r="K61" s="10"/>
      <c r="L61" s="10"/>
      <c r="M61" s="10"/>
      <c r="N61" s="10"/>
      <c r="O61" s="10"/>
      <c r="P61" s="10"/>
      <c r="Q61" s="10"/>
      <c r="R61" s="10"/>
      <c r="S61" s="10"/>
      <c r="T61" s="10"/>
      <c r="U61" s="10"/>
      <c r="V61" s="10"/>
      <c r="W61" s="10"/>
    </row>
    <row r="62" spans="1:23" ht="15" customHeight="1">
      <c r="A62" s="10" t="s">
        <v>41</v>
      </c>
      <c r="B62" s="360" t="s">
        <v>465</v>
      </c>
      <c r="C62" s="361"/>
      <c r="D62" s="361"/>
      <c r="E62" s="358">
        <v>2015</v>
      </c>
      <c r="F62" s="358">
        <v>2016</v>
      </c>
      <c r="G62" s="358">
        <v>2017</v>
      </c>
      <c r="H62" s="358">
        <v>2018</v>
      </c>
      <c r="I62" s="358">
        <v>2019</v>
      </c>
      <c r="J62" s="358">
        <v>2020</v>
      </c>
      <c r="K62" s="358">
        <v>2021</v>
      </c>
      <c r="L62" s="358">
        <v>2022</v>
      </c>
      <c r="M62" s="358">
        <v>2023</v>
      </c>
      <c r="N62" s="358">
        <v>2024</v>
      </c>
      <c r="O62" s="10"/>
      <c r="P62" s="3"/>
      <c r="Q62" s="3"/>
      <c r="R62" s="404" t="s">
        <v>460</v>
      </c>
      <c r="S62" s="559" t="s">
        <v>1259</v>
      </c>
      <c r="T62" s="3"/>
      <c r="U62" s="404" t="s">
        <v>1260</v>
      </c>
      <c r="V62" s="3"/>
      <c r="W62" s="404" t="s">
        <v>1261</v>
      </c>
    </row>
    <row r="63" spans="1:23" ht="15" customHeight="1">
      <c r="A63" s="10"/>
      <c r="B63" s="10" t="s">
        <v>537</v>
      </c>
      <c r="C63" s="10"/>
      <c r="D63" s="10"/>
      <c r="E63" s="11">
        <v>40536</v>
      </c>
      <c r="F63" s="11">
        <v>47290</v>
      </c>
      <c r="G63" s="11">
        <v>49960</v>
      </c>
      <c r="H63" s="11">
        <v>53762</v>
      </c>
      <c r="I63" s="11">
        <v>59812</v>
      </c>
      <c r="J63" s="11">
        <v>65398</v>
      </c>
      <c r="K63" s="11">
        <v>67044</v>
      </c>
      <c r="L63" s="11">
        <v>65984</v>
      </c>
      <c r="M63" s="11">
        <v>67571</v>
      </c>
      <c r="N63" s="11">
        <v>71043</v>
      </c>
      <c r="O63" s="10"/>
      <c r="P63" s="10"/>
      <c r="Q63" s="15">
        <v>45919</v>
      </c>
      <c r="R63" s="296">
        <v>0</v>
      </c>
      <c r="S63" s="296">
        <v>233.46505999999999</v>
      </c>
      <c r="U63" s="403">
        <v>0</v>
      </c>
      <c r="W63" s="346">
        <v>1.5490999999999999</v>
      </c>
    </row>
    <row r="64" spans="1:23" ht="15" customHeight="1">
      <c r="A64" s="10"/>
      <c r="B64" s="10" t="s">
        <v>1262</v>
      </c>
      <c r="C64" s="10"/>
      <c r="D64" s="10"/>
      <c r="E64" s="11">
        <v>4995</v>
      </c>
      <c r="F64" s="11">
        <v>7138</v>
      </c>
      <c r="G64" s="11">
        <v>8343</v>
      </c>
      <c r="H64" s="11">
        <v>9343</v>
      </c>
      <c r="I64" s="11">
        <v>10509</v>
      </c>
      <c r="J64" s="11">
        <v>10520</v>
      </c>
      <c r="K64" s="11">
        <v>11119</v>
      </c>
      <c r="L64" s="11">
        <v>6739</v>
      </c>
      <c r="M64" s="11">
        <v>6939</v>
      </c>
      <c r="N64" s="11">
        <v>8724</v>
      </c>
      <c r="O64" s="10"/>
      <c r="P64" s="10"/>
      <c r="Q64" s="295">
        <v>45918</v>
      </c>
      <c r="R64" s="296">
        <v>0</v>
      </c>
      <c r="S64" s="296">
        <v>233.46505999999999</v>
      </c>
      <c r="U64" s="403">
        <v>0</v>
      </c>
      <c r="W64" s="346">
        <v>1.5512999999999999</v>
      </c>
    </row>
    <row r="65" spans="1:23" ht="15" customHeight="1">
      <c r="A65" s="10"/>
      <c r="B65" s="10" t="s">
        <v>398</v>
      </c>
      <c r="C65" s="10"/>
      <c r="D65" s="10"/>
      <c r="E65" s="14">
        <v>0.45374564970045411</v>
      </c>
      <c r="F65" s="14">
        <v>0.45218858804364898</v>
      </c>
      <c r="G65" s="14">
        <v>0.2444094619141069</v>
      </c>
      <c r="H65" s="14">
        <v>0.40392884927523959</v>
      </c>
      <c r="I65" s="14">
        <v>0.40691454849033787</v>
      </c>
      <c r="J65" s="14">
        <v>0.32604458892043797</v>
      </c>
      <c r="K65" s="14">
        <v>0.36350911358212151</v>
      </c>
      <c r="L65" s="14">
        <v>0.29015262738180919</v>
      </c>
      <c r="M65" s="14">
        <v>0.26061639076564791</v>
      </c>
      <c r="N65" s="14">
        <v>0.19969825904879343</v>
      </c>
      <c r="O65" s="10"/>
      <c r="P65" s="10"/>
      <c r="Q65" s="295">
        <v>45917</v>
      </c>
      <c r="R65" s="296">
        <v>0</v>
      </c>
      <c r="S65" s="296">
        <v>233.46505999999999</v>
      </c>
      <c r="U65" s="403">
        <v>0</v>
      </c>
      <c r="W65" s="346">
        <v>1.5496000000000001</v>
      </c>
    </row>
    <row r="66" spans="1:23" ht="15" customHeight="1">
      <c r="A66" s="10"/>
      <c r="B66" s="10" t="s">
        <v>528</v>
      </c>
      <c r="C66" s="10"/>
      <c r="D66" s="10"/>
      <c r="E66" s="14">
        <v>7.5253185605212145E-2</v>
      </c>
      <c r="F66" s="14">
        <v>6.7725476770387788E-2</v>
      </c>
      <c r="G66" s="14">
        <v>6.3183903915237871E-2</v>
      </c>
      <c r="H66" s="14">
        <v>8.629517124697926E-2</v>
      </c>
      <c r="I66" s="14">
        <v>6.8803462938292745E-2</v>
      </c>
      <c r="J66" s="14">
        <v>7.3615162299341674E-2</v>
      </c>
      <c r="K66" s="14">
        <v>8.5469789775086319E-2</v>
      </c>
      <c r="L66" s="14">
        <v>6.9720856153159774E-2</v>
      </c>
      <c r="M66" s="14">
        <v>7.7295055817880001E-2</v>
      </c>
      <c r="N66" s="14">
        <v>6.4954791825801564E-2</v>
      </c>
      <c r="O66" s="10"/>
      <c r="P66" s="10"/>
      <c r="Q66" s="295">
        <v>45916</v>
      </c>
      <c r="R66" s="296">
        <v>0</v>
      </c>
      <c r="S66" s="296">
        <v>233.46505999999999</v>
      </c>
      <c r="U66" s="403">
        <v>0</v>
      </c>
      <c r="W66" s="346">
        <v>1.5536000000000001</v>
      </c>
    </row>
    <row r="67" spans="1:23" ht="15" customHeight="1">
      <c r="A67" s="10"/>
      <c r="B67" s="10" t="s">
        <v>1263</v>
      </c>
      <c r="C67" s="10"/>
      <c r="D67" s="10"/>
      <c r="E67" s="11">
        <v>-939</v>
      </c>
      <c r="F67" s="11">
        <v>-1063</v>
      </c>
      <c r="G67" s="11">
        <v>-1177</v>
      </c>
      <c r="H67" s="11">
        <v>-1278</v>
      </c>
      <c r="I67" s="11">
        <v>-1484</v>
      </c>
      <c r="J67" s="11">
        <v>-1766</v>
      </c>
      <c r="K67" s="11">
        <v>-1522</v>
      </c>
      <c r="L67" s="11">
        <v>-1670</v>
      </c>
      <c r="M67" s="11">
        <v>-1691</v>
      </c>
      <c r="N67" s="11">
        <v>-1685</v>
      </c>
      <c r="O67" s="10"/>
      <c r="P67" s="10"/>
      <c r="Q67" s="295">
        <v>45915</v>
      </c>
      <c r="R67" s="296">
        <v>0</v>
      </c>
      <c r="S67" s="296">
        <v>233.46505999999999</v>
      </c>
      <c r="U67" s="403">
        <v>0</v>
      </c>
      <c r="W67" s="346">
        <v>1.5501</v>
      </c>
    </row>
    <row r="68" spans="1:23" ht="15" customHeight="1">
      <c r="A68" s="10"/>
      <c r="B68" s="10" t="s">
        <v>1264</v>
      </c>
      <c r="C68" s="10"/>
      <c r="D68" s="10"/>
      <c r="E68" s="14">
        <v>4.9276720000000003</v>
      </c>
      <c r="F68" s="14">
        <v>8.8929019999999994</v>
      </c>
      <c r="G68" s="14">
        <v>0</v>
      </c>
      <c r="H68" s="14">
        <v>9.7336089999999995</v>
      </c>
      <c r="I68" s="14">
        <v>4.3374329999999999</v>
      </c>
      <c r="J68" s="14">
        <v>2.1975819999999997</v>
      </c>
      <c r="K68" s="14">
        <v>1.1931749999999999</v>
      </c>
      <c r="L68" s="14">
        <v>1.8073599999999999</v>
      </c>
      <c r="M68" s="14">
        <v>2.7299200000000003</v>
      </c>
      <c r="N68" s="14">
        <v>3.3743880000000002</v>
      </c>
      <c r="O68" s="10"/>
      <c r="P68" s="10"/>
      <c r="Q68" s="295">
        <v>45914</v>
      </c>
      <c r="R68" s="296">
        <v>0</v>
      </c>
      <c r="S68" s="296">
        <v>233.46505999999999</v>
      </c>
      <c r="U68" s="403">
        <v>0</v>
      </c>
      <c r="W68" s="346">
        <v>1.5437000000000001</v>
      </c>
    </row>
    <row r="69" spans="1:23" ht="15" customHeight="1">
      <c r="A69" s="10"/>
      <c r="B69" s="10" t="s">
        <v>1265</v>
      </c>
      <c r="C69" s="10"/>
      <c r="D69" s="10"/>
      <c r="E69" s="14">
        <v>0.12322380106571935</v>
      </c>
      <c r="F69" s="14">
        <v>0.15094100232607316</v>
      </c>
      <c r="G69" s="14">
        <v>0.16699359487590071</v>
      </c>
      <c r="H69" s="14">
        <v>0.17378445742345894</v>
      </c>
      <c r="I69" s="14">
        <v>0.17570052832207583</v>
      </c>
      <c r="J69" s="14">
        <v>0.16086118841554789</v>
      </c>
      <c r="K69" s="14">
        <v>0.16584630988604498</v>
      </c>
      <c r="L69" s="14">
        <v>0.10213081959262851</v>
      </c>
      <c r="M69" s="14">
        <v>0.10269198324725104</v>
      </c>
      <c r="N69" s="14">
        <v>0.12279886829103501</v>
      </c>
      <c r="O69" s="10"/>
      <c r="P69" s="10"/>
      <c r="Q69" s="295">
        <v>45913</v>
      </c>
      <c r="R69" s="296">
        <v>0</v>
      </c>
      <c r="S69" s="296">
        <v>233.46505999999999</v>
      </c>
      <c r="U69" s="403">
        <v>0</v>
      </c>
      <c r="W69" s="346">
        <v>1.5437000000000001</v>
      </c>
    </row>
    <row r="70" spans="1:23" ht="15" customHeight="1">
      <c r="A70" s="10"/>
      <c r="B70" s="10" t="s">
        <v>1266</v>
      </c>
      <c r="C70" s="10"/>
      <c r="D70" s="10"/>
      <c r="E70" s="359">
        <v>6.029587266655553</v>
      </c>
      <c r="F70" s="359">
        <v>6.6767870764014088</v>
      </c>
      <c r="G70" s="359">
        <v>3.8682234994847065</v>
      </c>
      <c r="H70" s="359">
        <v>4.6807815945944835</v>
      </c>
      <c r="I70" s="359">
        <v>5.9141579669512323</v>
      </c>
      <c r="J70" s="359">
        <v>4.4290412292326593</v>
      </c>
      <c r="K70" s="359">
        <v>4.2530713429703697</v>
      </c>
      <c r="L70" s="359">
        <v>4.1616331667588016</v>
      </c>
      <c r="M70" s="359">
        <v>3.3717084231066918</v>
      </c>
      <c r="N70" s="359">
        <v>3.0744191988845482</v>
      </c>
      <c r="O70" s="10"/>
      <c r="P70" s="10"/>
      <c r="Q70" s="295">
        <v>45912</v>
      </c>
      <c r="R70" s="296">
        <v>0</v>
      </c>
      <c r="S70" s="296">
        <v>233.46505999999999</v>
      </c>
      <c r="U70" s="403">
        <v>0</v>
      </c>
      <c r="W70" s="346">
        <v>1.5437000000000001</v>
      </c>
    </row>
    <row r="71" spans="1:23" ht="15" customHeight="1">
      <c r="A71" s="10"/>
      <c r="B71" s="10" t="s">
        <v>1267</v>
      </c>
      <c r="C71" s="10"/>
      <c r="D71" s="10"/>
      <c r="E71" s="14">
        <v>2.3164594434576673E-2</v>
      </c>
      <c r="F71" s="14">
        <v>2.2478325227320788E-2</v>
      </c>
      <c r="G71" s="14">
        <v>2.3558847077662131E-2</v>
      </c>
      <c r="H71" s="14">
        <v>2.3771437074513596E-2</v>
      </c>
      <c r="I71" s="14">
        <v>2.4811074700728949E-2</v>
      </c>
      <c r="J71" s="14">
        <v>2.7003883910822962E-2</v>
      </c>
      <c r="K71" s="14">
        <v>2.2701509456476344E-2</v>
      </c>
      <c r="L71" s="14">
        <v>2.5309165858389913E-2</v>
      </c>
      <c r="M71" s="14">
        <v>2.502552870314188E-2</v>
      </c>
      <c r="N71" s="14">
        <v>2.3718029925538054E-2</v>
      </c>
      <c r="O71" s="10"/>
      <c r="P71" s="10"/>
      <c r="Q71" s="10"/>
      <c r="R71" s="296"/>
      <c r="S71" s="296"/>
      <c r="U71" s="403"/>
      <c r="W71" s="346"/>
    </row>
    <row r="72" spans="1:23" ht="15" customHeight="1">
      <c r="A72" s="10"/>
      <c r="B72" s="10"/>
      <c r="C72" s="10"/>
      <c r="D72" s="10"/>
      <c r="E72" s="10"/>
      <c r="F72" s="10"/>
      <c r="G72" s="10"/>
      <c r="H72" s="10"/>
      <c r="I72" s="10"/>
      <c r="J72" s="10"/>
      <c r="K72" s="10"/>
      <c r="L72" s="10"/>
      <c r="M72" s="10"/>
      <c r="N72" s="10"/>
      <c r="O72" s="10"/>
      <c r="P72" s="10"/>
      <c r="Q72" s="10"/>
      <c r="R72" s="10"/>
      <c r="S72" s="10"/>
      <c r="T72" s="10"/>
      <c r="U72" s="10"/>
      <c r="V72" s="10"/>
      <c r="W72" s="10"/>
    </row>
    <row r="73" spans="1:23" ht="15" customHeight="1">
      <c r="A73" s="10" t="s">
        <v>41</v>
      </c>
      <c r="B73" s="360" t="s">
        <v>1243</v>
      </c>
      <c r="C73" s="361"/>
      <c r="D73" s="361"/>
      <c r="E73" s="358">
        <v>2015</v>
      </c>
      <c r="F73" s="358">
        <v>2016</v>
      </c>
      <c r="G73" s="358">
        <v>2017</v>
      </c>
      <c r="H73" s="358">
        <v>2018</v>
      </c>
      <c r="I73" s="358">
        <v>2019</v>
      </c>
      <c r="J73" s="358">
        <v>2020</v>
      </c>
      <c r="K73" s="358">
        <v>2021</v>
      </c>
      <c r="L73" s="358">
        <v>2022</v>
      </c>
      <c r="M73" s="358">
        <v>2023</v>
      </c>
      <c r="N73" s="358">
        <v>2024</v>
      </c>
      <c r="O73" s="10"/>
      <c r="P73" s="10"/>
      <c r="Q73" s="10"/>
      <c r="R73" s="10"/>
      <c r="S73" s="10"/>
      <c r="T73" s="10"/>
      <c r="U73" s="10"/>
      <c r="V73" s="10"/>
      <c r="W73" s="10"/>
    </row>
    <row r="74" spans="1:23" ht="15" customHeight="1">
      <c r="A74" s="10"/>
      <c r="B74" s="10" t="s">
        <v>537</v>
      </c>
      <c r="C74" s="10"/>
      <c r="D74" s="10"/>
      <c r="E74" s="679">
        <v>56098</v>
      </c>
      <c r="F74" s="679">
        <v>57060</v>
      </c>
      <c r="G74" s="679">
        <v>59452</v>
      </c>
      <c r="H74" s="679">
        <v>66501</v>
      </c>
      <c r="I74" s="679">
        <v>45349</v>
      </c>
      <c r="J74" s="679">
        <v>56587</v>
      </c>
      <c r="K74" s="679">
        <v>64388</v>
      </c>
      <c r="L74" s="679">
        <v>67074</v>
      </c>
      <c r="M74" s="679">
        <v>68920</v>
      </c>
      <c r="N74" s="679">
        <v>80738</v>
      </c>
      <c r="O74" s="10"/>
      <c r="S74" s="10"/>
      <c r="T74" s="10"/>
      <c r="U74" s="10"/>
      <c r="V74" s="10"/>
      <c r="W74" s="10"/>
    </row>
    <row r="75" spans="1:23" ht="15" customHeight="1">
      <c r="A75" s="10"/>
      <c r="B75" s="10" t="s">
        <v>1262</v>
      </c>
      <c r="C75" s="10"/>
      <c r="D75" s="10"/>
      <c r="E75" s="11">
        <v>9161</v>
      </c>
      <c r="F75" s="11">
        <v>8729</v>
      </c>
      <c r="G75" s="11">
        <v>8248</v>
      </c>
      <c r="H75" s="11">
        <v>8544</v>
      </c>
      <c r="I75" s="11">
        <v>6406</v>
      </c>
      <c r="J75" s="11">
        <v>3767</v>
      </c>
      <c r="K75" s="11">
        <v>7493</v>
      </c>
      <c r="L75" s="11">
        <v>7514</v>
      </c>
      <c r="M75" s="11">
        <v>8888</v>
      </c>
      <c r="N75" s="11">
        <v>10003</v>
      </c>
      <c r="O75" s="10"/>
      <c r="S75" s="10"/>
      <c r="T75" s="10"/>
      <c r="U75" s="10"/>
      <c r="V75" s="10"/>
      <c r="W75" s="10"/>
    </row>
    <row r="76" spans="1:23" ht="15" customHeight="1">
      <c r="A76" s="10"/>
      <c r="B76" s="10" t="s">
        <v>398</v>
      </c>
      <c r="C76" s="10"/>
      <c r="D76" s="10"/>
      <c r="E76" s="680">
        <v>9.5984553634429398E-2</v>
      </c>
      <c r="F76" s="680">
        <v>0.1171921318366837</v>
      </c>
      <c r="G76" s="680">
        <v>8.080062207536437E-2</v>
      </c>
      <c r="H76" s="680">
        <v>6.8898478942211003E-2</v>
      </c>
      <c r="I76" s="680">
        <v>4.0944079616416794E-2</v>
      </c>
      <c r="J76" s="680">
        <v>-3.5188151209851026E-2</v>
      </c>
      <c r="K76" s="680">
        <v>2.055227910355693E-2</v>
      </c>
      <c r="L76" s="680">
        <v>2.6818700134480601E-2</v>
      </c>
      <c r="M76" s="680">
        <v>1.2615836405228439E-2</v>
      </c>
      <c r="N76" s="680">
        <v>3.5633741977077527E-2</v>
      </c>
      <c r="O76" s="10"/>
      <c r="S76" s="10"/>
      <c r="T76" s="10"/>
      <c r="U76" s="10"/>
      <c r="V76" s="10"/>
      <c r="W76" s="10"/>
    </row>
    <row r="77" spans="1:23" ht="15" customHeight="1">
      <c r="A77" s="10"/>
      <c r="B77" s="10" t="s">
        <v>528</v>
      </c>
      <c r="C77" s="10"/>
      <c r="D77" s="10"/>
      <c r="E77" s="14">
        <v>8.2610022229789581E-2</v>
      </c>
      <c r="F77" s="14">
        <v>7.9924330232385377E-2</v>
      </c>
      <c r="G77" s="14">
        <v>8.0417686206777639E-2</v>
      </c>
      <c r="H77" s="14">
        <v>7.7373962681998101E-2</v>
      </c>
      <c r="I77" s="14">
        <v>6.797490296656003E-2</v>
      </c>
      <c r="J77" s="14">
        <v>9.2359555978226218E-2</v>
      </c>
      <c r="K77" s="14">
        <v>0.10757613979524874</v>
      </c>
      <c r="L77" s="14">
        <v>7.1498321794688846E-2</v>
      </c>
      <c r="M77" s="14">
        <v>7.6030787178130624E-2</v>
      </c>
      <c r="N77" s="14">
        <v>6.9400301710570711E-2</v>
      </c>
      <c r="O77" s="10"/>
      <c r="S77" s="10"/>
      <c r="T77" s="10"/>
      <c r="U77" s="10"/>
      <c r="V77" s="10"/>
      <c r="W77" s="10"/>
    </row>
    <row r="78" spans="1:23" ht="15" customHeight="1">
      <c r="A78" s="10"/>
      <c r="B78" s="10" t="s">
        <v>1263</v>
      </c>
      <c r="C78" s="10"/>
      <c r="D78" s="10"/>
      <c r="E78" s="11">
        <v>-2089</v>
      </c>
      <c r="F78" s="11">
        <v>-2087</v>
      </c>
      <c r="G78" s="11">
        <v>-2394</v>
      </c>
      <c r="H78" s="11">
        <v>-2302</v>
      </c>
      <c r="I78" s="11">
        <v>-2219</v>
      </c>
      <c r="J78" s="11">
        <v>-2107</v>
      </c>
      <c r="K78" s="11">
        <v>-2442</v>
      </c>
      <c r="L78" s="11">
        <v>-2775</v>
      </c>
      <c r="M78" s="11">
        <v>-3166</v>
      </c>
      <c r="N78" s="11">
        <v>-3236</v>
      </c>
      <c r="O78" s="10"/>
      <c r="S78" s="10"/>
      <c r="T78" s="10"/>
      <c r="U78" s="10"/>
      <c r="V78" s="10"/>
      <c r="W78" s="10"/>
    </row>
    <row r="79" spans="1:23" ht="15" customHeight="1">
      <c r="A79" s="10"/>
      <c r="B79" s="10" t="s">
        <v>1264</v>
      </c>
      <c r="C79" s="10"/>
      <c r="D79" s="10"/>
      <c r="E79" s="680">
        <v>0.70513700000000001</v>
      </c>
      <c r="F79" s="680">
        <v>0.81116600000000005</v>
      </c>
      <c r="G79" s="680">
        <v>0.87110200000000004</v>
      </c>
      <c r="H79" s="680">
        <v>1.118323</v>
      </c>
      <c r="I79" s="680">
        <v>1.0059560000000001</v>
      </c>
      <c r="J79" s="680">
        <v>0.45775799999999994</v>
      </c>
      <c r="K79" s="680">
        <v>0.44917600000000002</v>
      </c>
      <c r="L79" s="680">
        <v>0.45619399999999999</v>
      </c>
      <c r="M79" s="680">
        <v>0.74191599999999991</v>
      </c>
      <c r="N79" s="680">
        <v>0.69821500000000003</v>
      </c>
      <c r="O79" s="10"/>
      <c r="S79" s="10"/>
      <c r="T79" s="10"/>
      <c r="U79" s="10"/>
      <c r="V79" s="10"/>
      <c r="W79" s="10"/>
    </row>
    <row r="80" spans="1:23" ht="15" customHeight="1">
      <c r="A80" s="10"/>
      <c r="B80" s="10" t="s">
        <v>1265</v>
      </c>
      <c r="C80" s="10"/>
      <c r="D80" s="10"/>
      <c r="E80" s="14">
        <v>0.16330350458126849</v>
      </c>
      <c r="F80" s="14">
        <v>0.15297932001402034</v>
      </c>
      <c r="G80" s="14">
        <v>0.13873376841821974</v>
      </c>
      <c r="H80" s="14">
        <v>0.1284792709884062</v>
      </c>
      <c r="I80" s="14">
        <v>0.14126000573331277</v>
      </c>
      <c r="J80" s="14">
        <v>6.6570060261190736E-2</v>
      </c>
      <c r="K80" s="14">
        <v>0.11637261601540659</v>
      </c>
      <c r="L80" s="14">
        <v>0.11202552404806632</v>
      </c>
      <c r="M80" s="14">
        <v>0.1289611143354614</v>
      </c>
      <c r="N80" s="14">
        <v>0.12389457256805965</v>
      </c>
      <c r="O80" s="10"/>
      <c r="S80" s="10"/>
      <c r="T80" s="10"/>
      <c r="U80" s="10"/>
      <c r="V80" s="10"/>
      <c r="W80" s="10"/>
    </row>
    <row r="81" spans="1:23" ht="15" customHeight="1">
      <c r="A81" s="10"/>
      <c r="B81" s="10" t="s">
        <v>1266</v>
      </c>
      <c r="C81" s="10"/>
      <c r="D81" s="10"/>
      <c r="E81" s="359">
        <v>1.1618996223900893</v>
      </c>
      <c r="F81" s="359">
        <v>1.4662885693998271</v>
      </c>
      <c r="G81" s="359">
        <v>1.0047618364398361</v>
      </c>
      <c r="H81" s="359">
        <v>0.89046077716581762</v>
      </c>
      <c r="I81" s="359">
        <v>0.60234112635010395</v>
      </c>
      <c r="J81" s="359">
        <v>-0.38099090924762175</v>
      </c>
      <c r="K81" s="359">
        <v>0.19104867624618607</v>
      </c>
      <c r="L81" s="359">
        <v>0.3750955191856376</v>
      </c>
      <c r="M81" s="359">
        <v>0.16593062986012644</v>
      </c>
      <c r="N81" s="359">
        <v>0.51345226315709191</v>
      </c>
      <c r="O81" s="10"/>
      <c r="S81" s="10"/>
      <c r="T81" s="10"/>
      <c r="U81" s="10"/>
      <c r="V81" s="10"/>
      <c r="W81" s="10"/>
    </row>
    <row r="82" spans="1:23" ht="15" customHeight="1">
      <c r="A82" s="10"/>
      <c r="B82" s="10" t="s">
        <v>1267</v>
      </c>
      <c r="C82" s="10"/>
      <c r="D82" s="10"/>
      <c r="E82" s="14">
        <v>3.7238404221184358E-2</v>
      </c>
      <c r="F82" s="14">
        <v>3.6575534525061341E-2</v>
      </c>
      <c r="G82" s="14">
        <v>4.0267779048644287E-2</v>
      </c>
      <c r="H82" s="14">
        <v>3.4616020811717114E-2</v>
      </c>
      <c r="I82" s="14">
        <v>4.8931619219828443E-2</v>
      </c>
      <c r="J82" s="14">
        <v>3.7234700549596197E-2</v>
      </c>
      <c r="K82" s="14">
        <v>3.7926321674846247E-2</v>
      </c>
      <c r="L82" s="14">
        <v>4.1372215761696036E-2</v>
      </c>
      <c r="M82" s="14">
        <v>4.5937318630295994E-2</v>
      </c>
      <c r="N82" s="14">
        <v>4.0080259605142561E-2</v>
      </c>
      <c r="O82" s="10"/>
      <c r="S82" s="10"/>
      <c r="T82" s="10"/>
      <c r="U82" s="10"/>
      <c r="V82" s="10"/>
      <c r="W82" s="10"/>
    </row>
    <row r="83" spans="1:23" ht="15" customHeight="1">
      <c r="A83" s="10"/>
      <c r="B83" s="10"/>
      <c r="C83" s="10"/>
      <c r="D83" s="10"/>
      <c r="E83" s="10"/>
      <c r="F83" s="10"/>
      <c r="G83" s="10"/>
      <c r="H83" s="10"/>
      <c r="I83" s="10"/>
      <c r="J83" s="10"/>
      <c r="K83" s="10"/>
      <c r="L83" s="10"/>
      <c r="M83" s="10"/>
      <c r="N83" s="10"/>
      <c r="O83" s="10"/>
      <c r="S83" s="10"/>
      <c r="T83" s="10"/>
      <c r="U83" s="10"/>
      <c r="V83" s="10"/>
      <c r="W83" s="10"/>
    </row>
    <row r="84" spans="1:23" ht="15" customHeight="1">
      <c r="A84" s="10" t="s">
        <v>41</v>
      </c>
      <c r="B84" s="360" t="s">
        <v>1246</v>
      </c>
      <c r="C84" s="361"/>
      <c r="D84" s="361"/>
      <c r="E84" s="358">
        <v>2015</v>
      </c>
      <c r="F84" s="358">
        <v>2016</v>
      </c>
      <c r="G84" s="358">
        <v>2017</v>
      </c>
      <c r="H84" s="358">
        <v>2018</v>
      </c>
      <c r="I84" s="358">
        <v>2019</v>
      </c>
      <c r="J84" s="358">
        <v>2020</v>
      </c>
      <c r="K84" s="358">
        <v>2021</v>
      </c>
      <c r="L84" s="358">
        <v>2022</v>
      </c>
      <c r="M84" s="358">
        <v>2023</v>
      </c>
      <c r="N84" s="358">
        <v>2024</v>
      </c>
      <c r="O84" s="10"/>
      <c r="S84" s="10"/>
      <c r="T84" s="10"/>
      <c r="U84" s="10"/>
      <c r="V84" s="10"/>
      <c r="W84" s="10"/>
    </row>
    <row r="85" spans="1:23" ht="15" customHeight="1">
      <c r="A85" s="10"/>
      <c r="B85" s="10" t="s">
        <v>537</v>
      </c>
      <c r="C85" s="10"/>
      <c r="D85" s="10"/>
      <c r="E85" s="11">
        <v>23526</v>
      </c>
      <c r="F85" s="11">
        <v>24706</v>
      </c>
      <c r="G85" s="11">
        <v>26004</v>
      </c>
      <c r="H85" s="11">
        <v>30095</v>
      </c>
      <c r="I85" s="11">
        <v>33841</v>
      </c>
      <c r="J85" s="11">
        <v>36799</v>
      </c>
      <c r="K85" s="11">
        <v>35667</v>
      </c>
      <c r="L85" s="11">
        <v>36602</v>
      </c>
      <c r="M85" s="11">
        <v>39290</v>
      </c>
      <c r="N85" s="11">
        <v>41033</v>
      </c>
      <c r="O85" s="10"/>
      <c r="S85" s="10"/>
      <c r="T85" s="10"/>
      <c r="U85" s="10"/>
      <c r="V85" s="10"/>
      <c r="W85" s="10"/>
    </row>
    <row r="86" spans="1:23" ht="15" customHeight="1">
      <c r="A86" s="10"/>
      <c r="B86" s="10" t="s">
        <v>1262</v>
      </c>
      <c r="C86" s="10"/>
      <c r="D86" s="10"/>
      <c r="E86" s="11">
        <v>3424</v>
      </c>
      <c r="F86" s="11">
        <v>3888</v>
      </c>
      <c r="G86" s="11">
        <v>3917</v>
      </c>
      <c r="H86" s="11">
        <v>4829</v>
      </c>
      <c r="I86" s="11">
        <v>4434</v>
      </c>
      <c r="J86" s="11">
        <v>4065</v>
      </c>
      <c r="K86" s="11">
        <v>3757</v>
      </c>
      <c r="L86" s="11">
        <v>3601</v>
      </c>
      <c r="M86" s="11">
        <v>2537</v>
      </c>
      <c r="N86" s="11">
        <v>4370</v>
      </c>
    </row>
    <row r="87" spans="1:23" ht="15" customHeight="1">
      <c r="A87" s="10"/>
      <c r="B87" s="10" t="s">
        <v>398</v>
      </c>
      <c r="C87" s="10"/>
      <c r="D87" s="10"/>
      <c r="E87" s="14">
        <v>0.18631234100610986</v>
      </c>
      <c r="F87" s="14">
        <v>0.24568535479591944</v>
      </c>
      <c r="G87" s="14">
        <v>6.4862301891237428E-2</v>
      </c>
      <c r="H87" s="14">
        <v>0.13467729637940495</v>
      </c>
      <c r="I87" s="14">
        <v>0.2002050091601664</v>
      </c>
      <c r="J87" s="14">
        <v>0.13560729644483446</v>
      </c>
      <c r="K87" s="14">
        <v>0.25855376173093197</v>
      </c>
      <c r="L87" s="14">
        <v>0.17370348400906002</v>
      </c>
      <c r="M87" s="14">
        <v>6.8707334394632738E-2</v>
      </c>
      <c r="N87" s="14">
        <v>7.5356672789630402E-2</v>
      </c>
    </row>
    <row r="88" spans="1:23" ht="15" customHeight="1">
      <c r="A88" s="10"/>
      <c r="B88" s="10" t="s">
        <v>528</v>
      </c>
      <c r="C88" s="10"/>
      <c r="D88" s="10"/>
      <c r="E88" s="14">
        <v>8.7463192553350083E-2</v>
      </c>
      <c r="F88" s="14">
        <v>7.1142639739342026E-2</v>
      </c>
      <c r="G88" s="14">
        <v>5.9399275749014685E-2</v>
      </c>
      <c r="H88" s="14">
        <v>7.9132533548090786E-2</v>
      </c>
      <c r="I88" s="14">
        <v>6.4495119593600242E-2</v>
      </c>
      <c r="J88" s="14">
        <v>5.6119841472551855E-2</v>
      </c>
      <c r="K88" s="14">
        <v>6.8002652959477133E-2</v>
      </c>
      <c r="L88" s="14">
        <v>6.62230053800794E-2</v>
      </c>
      <c r="M88" s="14">
        <v>7.2030156680289753E-2</v>
      </c>
      <c r="N88" s="14">
        <v>6.5926325250718371E-2</v>
      </c>
    </row>
    <row r="89" spans="1:23" ht="15" customHeight="1">
      <c r="A89" s="10"/>
      <c r="B89" s="10" t="s">
        <v>1263</v>
      </c>
      <c r="C89" s="10"/>
      <c r="D89" s="10"/>
      <c r="E89" s="11">
        <v>-471</v>
      </c>
      <c r="F89" s="11">
        <v>-920</v>
      </c>
      <c r="G89" s="11">
        <v>-928</v>
      </c>
      <c r="H89" s="11">
        <v>-1249</v>
      </c>
      <c r="I89" s="11">
        <v>-1264</v>
      </c>
      <c r="J89" s="11">
        <v>-1420</v>
      </c>
      <c r="K89" s="11">
        <v>-1415</v>
      </c>
      <c r="L89" s="11">
        <v>-1435</v>
      </c>
      <c r="M89" s="11">
        <v>-1775</v>
      </c>
      <c r="N89" s="11">
        <v>-1767</v>
      </c>
    </row>
    <row r="90" spans="1:23" ht="15" customHeight="1">
      <c r="A90" s="10"/>
      <c r="B90" s="10" t="s">
        <v>1264</v>
      </c>
      <c r="C90" s="10"/>
      <c r="D90" s="10"/>
      <c r="E90" s="14">
        <v>1.1564650000000001</v>
      </c>
      <c r="F90" s="14">
        <v>1.3420799999999999</v>
      </c>
      <c r="G90" s="14">
        <v>2.018929</v>
      </c>
      <c r="H90" s="14">
        <v>1.695737</v>
      </c>
      <c r="I90" s="14">
        <v>1.6259209999999999</v>
      </c>
      <c r="J90" s="14">
        <v>1.4998580000000001</v>
      </c>
      <c r="K90" s="14">
        <v>1.1334520000000001</v>
      </c>
      <c r="L90" s="14">
        <v>0.97962400000000005</v>
      </c>
      <c r="M90" s="14">
        <v>1.0846910000000001</v>
      </c>
      <c r="N90" s="14">
        <v>1.203139</v>
      </c>
    </row>
    <row r="91" spans="1:23" ht="15" customHeight="1">
      <c r="A91" s="10"/>
      <c r="B91" s="10" t="s">
        <v>1265</v>
      </c>
      <c r="C91" s="10"/>
      <c r="D91" s="10"/>
      <c r="E91" s="14">
        <v>0.14554110346000171</v>
      </c>
      <c r="F91" s="14">
        <v>0.15737067918724196</v>
      </c>
      <c r="G91" s="14">
        <v>0.15063067220427626</v>
      </c>
      <c r="H91" s="14">
        <v>0.16045854793155009</v>
      </c>
      <c r="I91" s="14">
        <v>0.13102449691202978</v>
      </c>
      <c r="J91" s="14">
        <v>0.11046495828690997</v>
      </c>
      <c r="K91" s="14">
        <v>0.10533546415454061</v>
      </c>
      <c r="L91" s="14">
        <v>9.8382602043604175E-2</v>
      </c>
      <c r="M91" s="14">
        <v>6.4571137694069733E-2</v>
      </c>
      <c r="N91" s="14">
        <v>0.10649964662588648</v>
      </c>
    </row>
    <row r="92" spans="1:23" ht="15" customHeight="1">
      <c r="A92" s="10"/>
      <c r="B92" s="10" t="s">
        <v>1266</v>
      </c>
      <c r="C92" s="10"/>
      <c r="D92" s="10"/>
      <c r="E92" s="359">
        <v>2.1301799713343939</v>
      </c>
      <c r="F92" s="359">
        <v>3.4534191547583935</v>
      </c>
      <c r="G92" s="359">
        <v>1.0919712584595505</v>
      </c>
      <c r="H92" s="359">
        <v>1.7019206935609896</v>
      </c>
      <c r="I92" s="359">
        <v>3.1041885094826998</v>
      </c>
      <c r="J92" s="359">
        <v>2.4163877317999876</v>
      </c>
      <c r="K92" s="359">
        <v>3.8021128658760488</v>
      </c>
      <c r="L92" s="359">
        <v>2.6230081678128117</v>
      </c>
      <c r="M92" s="359">
        <v>0.95386901210828179</v>
      </c>
      <c r="N92" s="359">
        <v>1.1430437310596084</v>
      </c>
    </row>
    <row r="93" spans="1:23" ht="15" customHeight="1">
      <c r="A93" s="10"/>
      <c r="B93" s="10" t="s">
        <v>1267</v>
      </c>
      <c r="C93" s="10"/>
      <c r="D93" s="10"/>
      <c r="E93" s="14">
        <v>2.0020402958428971E-2</v>
      </c>
      <c r="F93" s="14">
        <v>3.7237917914676594E-2</v>
      </c>
      <c r="G93" s="14">
        <v>3.568681741270574E-2</v>
      </c>
      <c r="H93" s="14">
        <v>4.1501910616381456E-2</v>
      </c>
      <c r="I93" s="14">
        <v>3.7351142105729734E-2</v>
      </c>
      <c r="J93" s="14">
        <v>3.8588005108834478E-2</v>
      </c>
      <c r="K93" s="14">
        <v>3.9672526424986684E-2</v>
      </c>
      <c r="L93" s="14">
        <v>3.9205507895743404E-2</v>
      </c>
      <c r="M93" s="14">
        <v>4.5176889793840672E-2</v>
      </c>
      <c r="N93" s="14">
        <v>4.3062900592206271E-2</v>
      </c>
    </row>
    <row r="94" spans="1:23" ht="15" customHeight="1">
      <c r="A94" s="10"/>
      <c r="B94" s="10"/>
      <c r="C94" s="10"/>
      <c r="D94" s="10"/>
      <c r="E94" s="10"/>
      <c r="F94" s="10"/>
      <c r="G94" s="10"/>
      <c r="H94" s="10"/>
      <c r="I94" s="10"/>
      <c r="J94" s="10"/>
      <c r="K94" s="10"/>
      <c r="L94" s="10"/>
      <c r="M94" s="10"/>
      <c r="N94" s="10"/>
    </row>
    <row r="95" spans="1:23" ht="15" customHeight="1">
      <c r="A95" s="10" t="s">
        <v>41</v>
      </c>
      <c r="B95" s="360" t="s">
        <v>1249</v>
      </c>
      <c r="C95" s="361"/>
      <c r="D95" s="361"/>
      <c r="E95" s="358">
        <v>2015</v>
      </c>
      <c r="F95" s="358">
        <v>2016</v>
      </c>
      <c r="G95" s="358">
        <v>2017</v>
      </c>
      <c r="H95" s="358">
        <v>2018</v>
      </c>
      <c r="I95" s="358">
        <v>2019</v>
      </c>
      <c r="J95" s="358">
        <v>2020</v>
      </c>
      <c r="K95" s="358">
        <v>2021</v>
      </c>
      <c r="L95" s="358">
        <v>2022</v>
      </c>
      <c r="M95" s="358">
        <v>2023</v>
      </c>
      <c r="N95" s="358">
        <v>2024</v>
      </c>
    </row>
    <row r="96" spans="1:23" ht="15" customHeight="1">
      <c r="A96" s="10"/>
      <c r="B96" s="10" t="s">
        <v>537</v>
      </c>
      <c r="C96" s="10"/>
      <c r="D96" s="10"/>
      <c r="E96" s="11">
        <v>259.39800000000002</v>
      </c>
      <c r="F96" s="11">
        <v>264.09800000000001</v>
      </c>
      <c r="G96" s="11">
        <v>228.94</v>
      </c>
      <c r="H96" s="11">
        <v>268.42399999999998</v>
      </c>
      <c r="I96" s="11">
        <v>314.274</v>
      </c>
      <c r="J96" s="11">
        <v>367.29599999999999</v>
      </c>
      <c r="K96" s="11">
        <v>394.91199999999998</v>
      </c>
      <c r="L96" s="11">
        <v>445.73200000000003</v>
      </c>
      <c r="M96" s="11">
        <v>540.53599999999994</v>
      </c>
      <c r="N96" s="11">
        <v>716.72</v>
      </c>
    </row>
    <row r="97" spans="1:14" ht="15" customHeight="1">
      <c r="A97" s="10"/>
      <c r="B97" s="10" t="s">
        <v>1262</v>
      </c>
      <c r="C97" s="10"/>
      <c r="D97" s="10"/>
      <c r="E97" s="11">
        <v>2.452</v>
      </c>
      <c r="F97" s="11">
        <v>11.898999999999999</v>
      </c>
      <c r="G97" s="11">
        <v>19.167999999999999</v>
      </c>
      <c r="H97" s="11">
        <v>30.701000000000001</v>
      </c>
      <c r="I97" s="11">
        <v>38.299999999999997</v>
      </c>
      <c r="J97" s="11">
        <v>48.283700000000003</v>
      </c>
      <c r="K97" s="11">
        <v>43.436</v>
      </c>
      <c r="L97" s="11">
        <v>5.4313000000000002</v>
      </c>
      <c r="M97" s="11">
        <v>14.385999999999999</v>
      </c>
      <c r="N97" s="11">
        <v>74.545000000000002</v>
      </c>
    </row>
    <row r="98" spans="1:14" ht="15" customHeight="1">
      <c r="A98" s="10"/>
      <c r="B98" s="10" t="s">
        <v>398</v>
      </c>
      <c r="C98" s="10"/>
      <c r="D98" s="10"/>
      <c r="E98" s="14">
        <v>8.5761707822134547E-3</v>
      </c>
      <c r="F98" s="14">
        <v>2.8763829796368729E-2</v>
      </c>
      <c r="G98" s="14">
        <v>4.230488372613242E-2</v>
      </c>
      <c r="H98" s="14">
        <v>5.1837187098151272E-2</v>
      </c>
      <c r="I98" s="14">
        <v>6.227828485452723E-2</v>
      </c>
      <c r="J98" s="14">
        <v>7.4742444422584639E-2</v>
      </c>
      <c r="K98" s="14">
        <v>4.7573232363443629E-2</v>
      </c>
      <c r="L98" s="14">
        <v>4.0770119982461031E-3</v>
      </c>
      <c r="M98" s="14">
        <v>-0.22207990033618025</v>
      </c>
      <c r="N98" s="14">
        <v>8.8136147638699716E-2</v>
      </c>
    </row>
    <row r="99" spans="1:14" ht="15" customHeight="1">
      <c r="A99" s="10"/>
      <c r="B99" s="10" t="s">
        <v>528</v>
      </c>
      <c r="C99" s="10"/>
      <c r="D99" s="10"/>
      <c r="E99" s="14">
        <v>9.7538085648000539E-2</v>
      </c>
      <c r="F99" s="14">
        <v>0.10259658842286923</v>
      </c>
      <c r="G99" s="14">
        <v>0.10723634007141473</v>
      </c>
      <c r="H99" s="14">
        <v>0.10819821755647906</v>
      </c>
      <c r="I99" s="14">
        <v>9.0685874518025539E-2</v>
      </c>
      <c r="J99" s="14">
        <v>7.7144840946587648E-2</v>
      </c>
      <c r="K99" s="14">
        <v>8.9909915614879238E-2</v>
      </c>
      <c r="L99" s="14">
        <v>9.2945281304816357E-2</v>
      </c>
      <c r="M99" s="14">
        <v>9.7084135678198111E-2</v>
      </c>
      <c r="N99" s="14">
        <v>0.10135755924801711</v>
      </c>
    </row>
    <row r="100" spans="1:14" ht="15" customHeight="1">
      <c r="A100" s="10"/>
      <c r="B100" s="10" t="s">
        <v>1263</v>
      </c>
      <c r="C100" s="10"/>
      <c r="D100" s="10"/>
      <c r="E100" s="11">
        <v>-5.4290000000000003</v>
      </c>
      <c r="F100" s="11">
        <v>-6.8289999999999997</v>
      </c>
      <c r="G100" s="11">
        <v>-9.0169999999999995</v>
      </c>
      <c r="H100" s="11">
        <v>-9.5630000000000006</v>
      </c>
      <c r="I100" s="11">
        <v>-8.8960000000000008</v>
      </c>
      <c r="J100" s="11">
        <v>-11.22</v>
      </c>
      <c r="K100" s="11">
        <v>-11.263</v>
      </c>
      <c r="L100" s="11">
        <v>-22.289000000000001</v>
      </c>
      <c r="M100" s="11">
        <v>-14.868</v>
      </c>
      <c r="N100" s="11">
        <v>-24.483000000000001</v>
      </c>
    </row>
    <row r="101" spans="1:14" ht="15" customHeight="1">
      <c r="A101" s="10"/>
      <c r="B101" s="10" t="s">
        <v>1264</v>
      </c>
      <c r="C101" s="10"/>
      <c r="D101" s="10"/>
      <c r="E101" s="14">
        <v>0</v>
      </c>
      <c r="F101" s="14">
        <v>2.3210000000000001E-3</v>
      </c>
      <c r="G101" s="14">
        <v>4.2099999999999999E-4</v>
      </c>
      <c r="H101" s="14">
        <v>0</v>
      </c>
      <c r="I101" s="14">
        <v>0</v>
      </c>
      <c r="J101" s="14">
        <v>2.0028999999999998E-2</v>
      </c>
      <c r="K101" s="14">
        <v>0.36393799999999998</v>
      </c>
      <c r="L101" s="14">
        <v>0.35608400000000001</v>
      </c>
      <c r="M101" s="14">
        <v>0.29551899999999998</v>
      </c>
      <c r="N101" s="14">
        <v>7.2535000000000002E-2</v>
      </c>
    </row>
    <row r="102" spans="1:14" ht="15" customHeight="1">
      <c r="A102" s="10"/>
      <c r="B102" s="10" t="s">
        <v>1265</v>
      </c>
      <c r="C102" s="10"/>
      <c r="D102" s="10"/>
      <c r="E102" s="14">
        <v>9.4526557645008818E-3</v>
      </c>
      <c r="F102" s="14">
        <v>4.5055244644033647E-2</v>
      </c>
      <c r="G102" s="14">
        <v>8.3724993448064999E-2</v>
      </c>
      <c r="H102" s="14">
        <v>0.11437501862724646</v>
      </c>
      <c r="I102" s="14">
        <v>0.12186817872302512</v>
      </c>
      <c r="J102" s="14">
        <v>0.13145718984143581</v>
      </c>
      <c r="K102" s="14">
        <v>0.10998906085406369</v>
      </c>
      <c r="L102" s="14">
        <v>1.2185124693762171E-2</v>
      </c>
      <c r="M102" s="14">
        <v>2.6614323560317909E-2</v>
      </c>
      <c r="N102" s="14">
        <v>0.10400853889943074</v>
      </c>
    </row>
    <row r="103" spans="1:14" ht="15" customHeight="1">
      <c r="A103" s="10"/>
      <c r="B103" s="10" t="s">
        <v>1266</v>
      </c>
      <c r="C103" s="10"/>
      <c r="D103" s="10"/>
      <c r="E103" s="359">
        <v>8.7926379990309556E-2</v>
      </c>
      <c r="F103" s="359">
        <v>0.28035854055705761</v>
      </c>
      <c r="G103" s="359">
        <v>0.39450137610029595</v>
      </c>
      <c r="H103" s="359">
        <v>0.47909464932814128</v>
      </c>
      <c r="I103" s="359">
        <v>0.6867473593381761</v>
      </c>
      <c r="J103" s="359">
        <v>0.96885862366783093</v>
      </c>
      <c r="K103" s="359">
        <v>0.52912108790335366</v>
      </c>
      <c r="L103" s="359">
        <v>4.3864647467959574E-2</v>
      </c>
      <c r="M103" s="359">
        <v>-2.2874993816940585</v>
      </c>
      <c r="N103" s="359">
        <v>0.86955672860111766</v>
      </c>
    </row>
    <row r="104" spans="1:14" ht="15" customHeight="1">
      <c r="A104" s="10"/>
      <c r="B104" s="10" t="s">
        <v>1267</v>
      </c>
      <c r="C104" s="10"/>
      <c r="D104" s="10"/>
      <c r="E104" s="14">
        <v>2.0929228444321081E-2</v>
      </c>
      <c r="F104" s="14">
        <v>2.5857825504168905E-2</v>
      </c>
      <c r="G104" s="14">
        <v>3.9385865292216299E-2</v>
      </c>
      <c r="H104" s="14">
        <v>3.562647155246923E-2</v>
      </c>
      <c r="I104" s="14">
        <v>2.8306509606267145E-2</v>
      </c>
      <c r="J104" s="14">
        <v>3.0547569262937797E-2</v>
      </c>
      <c r="K104" s="14">
        <v>2.8520277935337495E-2</v>
      </c>
      <c r="L104" s="14">
        <v>5.0005384401389179E-2</v>
      </c>
      <c r="M104" s="14">
        <v>2.750603105066083E-2</v>
      </c>
      <c r="N104" s="14">
        <v>3.4159783457975219E-2</v>
      </c>
    </row>
    <row r="105" spans="1:14" ht="15" customHeight="1">
      <c r="A105" s="10"/>
      <c r="B105" s="10"/>
      <c r="C105" s="10"/>
      <c r="D105" s="10"/>
      <c r="E105" s="10"/>
      <c r="F105" s="10"/>
      <c r="G105" s="10"/>
      <c r="H105" s="10"/>
      <c r="I105" s="10"/>
      <c r="J105" s="10"/>
      <c r="K105" s="10"/>
      <c r="L105" s="10"/>
      <c r="M105" s="10"/>
      <c r="N105" s="10"/>
    </row>
    <row r="106" spans="1:14" ht="15" customHeight="1">
      <c r="A106" s="10" t="s">
        <v>41</v>
      </c>
      <c r="B106" s="360" t="s">
        <v>1252</v>
      </c>
      <c r="C106" s="361"/>
      <c r="D106" s="361"/>
      <c r="E106" s="358">
        <v>2015</v>
      </c>
      <c r="F106" s="358">
        <v>2016</v>
      </c>
      <c r="G106" s="358">
        <v>2017</v>
      </c>
      <c r="H106" s="358">
        <v>2018</v>
      </c>
      <c r="I106" s="358">
        <v>2019</v>
      </c>
      <c r="J106" s="358">
        <v>2020</v>
      </c>
      <c r="K106" s="358">
        <v>2021</v>
      </c>
      <c r="L106" s="358">
        <v>2022</v>
      </c>
      <c r="M106" s="358">
        <v>2023</v>
      </c>
      <c r="N106" s="358">
        <v>2024</v>
      </c>
    </row>
    <row r="107" spans="1:14" ht="15" customHeight="1">
      <c r="A107" s="10"/>
      <c r="B107" s="10" t="s">
        <v>537</v>
      </c>
      <c r="C107" s="10"/>
      <c r="D107" s="10"/>
      <c r="E107" s="11">
        <v>0</v>
      </c>
      <c r="F107" s="11">
        <v>0</v>
      </c>
      <c r="G107" s="11">
        <v>0</v>
      </c>
      <c r="H107" s="11">
        <v>0</v>
      </c>
      <c r="I107" s="11">
        <v>0</v>
      </c>
      <c r="J107" s="11">
        <v>0</v>
      </c>
      <c r="K107" s="11">
        <v>2879</v>
      </c>
      <c r="L107" s="11">
        <v>2693</v>
      </c>
      <c r="M107" s="11">
        <v>2826</v>
      </c>
      <c r="N107" s="11">
        <v>3234</v>
      </c>
    </row>
    <row r="108" spans="1:14" ht="15" customHeight="1">
      <c r="A108" s="10"/>
      <c r="B108" s="10" t="s">
        <v>1262</v>
      </c>
      <c r="C108" s="10"/>
      <c r="D108" s="10"/>
      <c r="E108" s="11">
        <v>0</v>
      </c>
      <c r="F108" s="11">
        <v>0</v>
      </c>
      <c r="G108" s="11">
        <v>0</v>
      </c>
      <c r="H108" s="11">
        <v>0</v>
      </c>
      <c r="I108" s="11">
        <v>0</v>
      </c>
      <c r="J108" s="11">
        <v>0</v>
      </c>
      <c r="K108" s="11">
        <v>241</v>
      </c>
      <c r="L108" s="11">
        <v>289</v>
      </c>
      <c r="M108" s="11">
        <v>242</v>
      </c>
      <c r="N108" s="11">
        <v>317</v>
      </c>
    </row>
    <row r="109" spans="1:14" ht="15" customHeight="1">
      <c r="A109" s="10"/>
      <c r="B109" s="10" t="s">
        <v>398</v>
      </c>
      <c r="C109" s="10"/>
      <c r="D109" s="10"/>
      <c r="E109" s="14" t="e">
        <v>#VALUE!</v>
      </c>
      <c r="F109" s="14" t="e">
        <v>#VALUE!</v>
      </c>
      <c r="G109" s="14" t="e">
        <v>#VALUE!</v>
      </c>
      <c r="H109" s="14" t="e">
        <v>#VALUE!</v>
      </c>
      <c r="I109" s="14" t="e">
        <v>#VALUE!</v>
      </c>
      <c r="J109" s="14" t="e">
        <v>#VALUE!</v>
      </c>
      <c r="K109" s="14" t="e">
        <v>#VALUE!</v>
      </c>
      <c r="L109" s="14">
        <v>0.1945771301868863</v>
      </c>
      <c r="M109" s="14">
        <v>7.8709112149532703E-2</v>
      </c>
      <c r="N109" s="14">
        <v>8.7183377198129186E-2</v>
      </c>
    </row>
    <row r="110" spans="1:14" ht="15" customHeight="1">
      <c r="A110" s="10"/>
      <c r="B110" s="10" t="s">
        <v>528</v>
      </c>
      <c r="C110" s="10"/>
      <c r="D110" s="10"/>
      <c r="E110" s="14" t="e">
        <v>#VALUE!</v>
      </c>
      <c r="F110" s="14" t="e">
        <v>#VALUE!</v>
      </c>
      <c r="G110" s="14" t="e">
        <v>#VALUE!</v>
      </c>
      <c r="H110" s="14" t="e">
        <v>#VALUE!</v>
      </c>
      <c r="I110" s="14" t="e">
        <v>#VALUE!</v>
      </c>
      <c r="J110" s="14" t="e">
        <v>#VALUE!</v>
      </c>
      <c r="K110" s="14">
        <v>8.2262966031317039E-2</v>
      </c>
      <c r="L110" s="14">
        <v>-5.1328618105068828E-2</v>
      </c>
      <c r="M110" s="14">
        <v>7.4232848807100849E-2</v>
      </c>
      <c r="N110" s="14">
        <v>0.10139569389751978</v>
      </c>
    </row>
    <row r="111" spans="1:14" ht="15" customHeight="1">
      <c r="A111" s="10"/>
      <c r="B111" s="10" t="s">
        <v>1263</v>
      </c>
      <c r="C111" s="10"/>
      <c r="D111" s="10"/>
      <c r="E111" s="11">
        <v>0</v>
      </c>
      <c r="F111" s="11">
        <v>0</v>
      </c>
      <c r="G111" s="11">
        <v>0</v>
      </c>
      <c r="H111" s="11">
        <v>0</v>
      </c>
      <c r="I111" s="11">
        <v>0</v>
      </c>
      <c r="J111" s="11">
        <v>0</v>
      </c>
      <c r="K111" s="11">
        <v>-60</v>
      </c>
      <c r="L111" s="11">
        <v>-65</v>
      </c>
      <c r="M111" s="11">
        <v>-60</v>
      </c>
      <c r="N111" s="11">
        <v>-85</v>
      </c>
    </row>
    <row r="112" spans="1:14" ht="15" customHeight="1">
      <c r="A112" s="10"/>
      <c r="B112" s="10" t="s">
        <v>1264</v>
      </c>
      <c r="C112" s="10"/>
      <c r="D112" s="10"/>
      <c r="E112" s="14">
        <v>0</v>
      </c>
      <c r="F112" s="14">
        <v>0</v>
      </c>
      <c r="G112" s="14">
        <v>0</v>
      </c>
      <c r="H112" s="14">
        <v>0</v>
      </c>
      <c r="I112" s="14">
        <v>0</v>
      </c>
      <c r="J112" s="14">
        <v>0</v>
      </c>
      <c r="K112" s="14">
        <v>0.24670400000000001</v>
      </c>
      <c r="L112" s="14">
        <v>0.18523700000000001</v>
      </c>
      <c r="M112" s="14">
        <v>0.174624</v>
      </c>
      <c r="N112" s="14">
        <v>0.14274500000000001</v>
      </c>
    </row>
    <row r="113" spans="1:23" ht="15" customHeight="1">
      <c r="A113" s="10"/>
      <c r="B113" s="10" t="s">
        <v>1265</v>
      </c>
      <c r="C113" s="10"/>
      <c r="D113" s="10"/>
      <c r="E113" s="14" t="e">
        <v>#DIV/0!</v>
      </c>
      <c r="F113" s="14" t="e">
        <v>#DIV/0!</v>
      </c>
      <c r="G113" s="14" t="e">
        <v>#DIV/0!</v>
      </c>
      <c r="H113" s="14" t="e">
        <v>#DIV/0!</v>
      </c>
      <c r="I113" s="14" t="e">
        <v>#DIV/0!</v>
      </c>
      <c r="J113" s="14" t="e">
        <v>#DIV/0!</v>
      </c>
      <c r="K113" s="14">
        <v>8.3709621396318171E-2</v>
      </c>
      <c r="L113" s="14">
        <v>0.10731526178982548</v>
      </c>
      <c r="M113" s="14">
        <v>8.5633404104741684E-2</v>
      </c>
      <c r="N113" s="14">
        <v>9.8021026592455165E-2</v>
      </c>
    </row>
    <row r="114" spans="1:23" ht="15" customHeight="1">
      <c r="A114" s="10"/>
      <c r="B114" s="10" t="s">
        <v>1266</v>
      </c>
      <c r="C114" s="10"/>
      <c r="D114" s="10"/>
      <c r="E114" s="359" t="e">
        <v>#VALUE!</v>
      </c>
      <c r="F114" s="359" t="e">
        <v>#VALUE!</v>
      </c>
      <c r="G114" s="359" t="e">
        <v>#VALUE!</v>
      </c>
      <c r="H114" s="359" t="e">
        <v>#VALUE!</v>
      </c>
      <c r="I114" s="359" t="e">
        <v>#VALUE!</v>
      </c>
      <c r="J114" s="359" t="e">
        <v>#VALUE!</v>
      </c>
      <c r="K114" s="359" t="e">
        <v>#VALUE!</v>
      </c>
      <c r="L114" s="359">
        <v>-3.790811780449459</v>
      </c>
      <c r="M114" s="359">
        <v>1.0603003039000125</v>
      </c>
      <c r="N114" s="359">
        <v>0.85983313340944323</v>
      </c>
    </row>
    <row r="115" spans="1:23" ht="15" customHeight="1">
      <c r="A115" s="10"/>
      <c r="B115" s="10" t="s">
        <v>1267</v>
      </c>
      <c r="C115" s="10"/>
      <c r="D115" s="10"/>
      <c r="E115" s="14" t="e">
        <v>#DIV/0!</v>
      </c>
      <c r="F115" s="14" t="e">
        <v>#DIV/0!</v>
      </c>
      <c r="G115" s="14" t="e">
        <v>#DIV/0!</v>
      </c>
      <c r="H115" s="14" t="e">
        <v>#DIV/0!</v>
      </c>
      <c r="I115" s="14" t="e">
        <v>#DIV/0!</v>
      </c>
      <c r="J115" s="14" t="e">
        <v>#DIV/0!</v>
      </c>
      <c r="K115" s="14">
        <v>2.0840569642236888E-2</v>
      </c>
      <c r="L115" s="14">
        <v>2.4136650575566285E-2</v>
      </c>
      <c r="M115" s="14">
        <v>2.1231422505307854E-2</v>
      </c>
      <c r="N115" s="14">
        <v>2.6283240568954855E-2</v>
      </c>
    </row>
    <row r="116" spans="1:23" ht="15" customHeight="1">
      <c r="A116" s="10"/>
      <c r="B116" s="10"/>
      <c r="C116" s="10"/>
      <c r="D116" s="10"/>
      <c r="E116" s="10"/>
      <c r="F116" s="10"/>
      <c r="G116" s="10"/>
      <c r="H116" s="10"/>
      <c r="I116" s="10"/>
      <c r="J116" s="10"/>
      <c r="K116" s="10"/>
      <c r="L116" s="10"/>
      <c r="M116" s="10"/>
      <c r="N116" s="10"/>
    </row>
    <row r="117" spans="1:23" ht="15" customHeight="1">
      <c r="A117" s="10" t="s">
        <v>41</v>
      </c>
      <c r="B117" s="360" t="s">
        <v>1255</v>
      </c>
      <c r="C117" s="361"/>
      <c r="D117" s="361"/>
      <c r="E117" s="358">
        <v>2015</v>
      </c>
      <c r="F117" s="358">
        <v>2016</v>
      </c>
      <c r="G117" s="358">
        <v>2017</v>
      </c>
      <c r="H117" s="358">
        <v>2018</v>
      </c>
      <c r="I117" s="358">
        <v>2019</v>
      </c>
      <c r="J117" s="358">
        <v>2020</v>
      </c>
      <c r="K117" s="358">
        <v>2021</v>
      </c>
      <c r="L117" s="358">
        <v>2022</v>
      </c>
      <c r="M117" s="358">
        <v>2023</v>
      </c>
      <c r="N117" s="358">
        <v>2024</v>
      </c>
    </row>
    <row r="118" spans="1:23" ht="15" customHeight="1">
      <c r="A118" s="10"/>
      <c r="B118" s="10" t="s">
        <v>537</v>
      </c>
      <c r="C118" s="10"/>
      <c r="D118" s="10"/>
      <c r="E118" s="11">
        <v>2205.683</v>
      </c>
      <c r="F118" s="11">
        <v>2108.931</v>
      </c>
      <c r="G118" s="11">
        <v>2271.0259999999998</v>
      </c>
      <c r="H118" s="11">
        <v>2411.835</v>
      </c>
      <c r="I118" s="11">
        <v>2487.9609999999998</v>
      </c>
      <c r="J118" s="11">
        <v>2391.3359999999998</v>
      </c>
      <c r="K118" s="11">
        <v>2505.931</v>
      </c>
      <c r="L118" s="11">
        <v>2557.0250000000001</v>
      </c>
      <c r="M118" s="11">
        <v>2845.373</v>
      </c>
      <c r="N118" s="11">
        <v>3121.1889999999999</v>
      </c>
      <c r="O118" s="10"/>
      <c r="P118" s="10"/>
      <c r="Q118" s="10"/>
      <c r="R118" s="10"/>
      <c r="S118" s="10"/>
      <c r="T118" s="10"/>
      <c r="U118" s="10"/>
      <c r="V118" s="10"/>
      <c r="W118" s="10"/>
    </row>
    <row r="119" spans="1:23" ht="15" customHeight="1">
      <c r="A119" s="10"/>
      <c r="B119" s="10" t="s">
        <v>1262</v>
      </c>
      <c r="C119" s="10"/>
      <c r="D119" s="10"/>
      <c r="E119" s="11">
        <v>310.61700000000002</v>
      </c>
      <c r="F119" s="11">
        <v>308.09800000000001</v>
      </c>
      <c r="G119" s="11">
        <v>325.12</v>
      </c>
      <c r="H119" s="11">
        <v>382.62599999999998</v>
      </c>
      <c r="I119" s="11">
        <v>399.899</v>
      </c>
      <c r="J119" s="11">
        <v>424.58600000000001</v>
      </c>
      <c r="K119" s="11">
        <v>401.20299999999997</v>
      </c>
      <c r="L119" s="11">
        <v>427.57810000000001</v>
      </c>
      <c r="M119" s="11">
        <v>489.03460000000001</v>
      </c>
      <c r="N119" s="11">
        <v>547.91880000000003</v>
      </c>
      <c r="O119" s="10"/>
      <c r="P119" s="10"/>
      <c r="Q119" s="10"/>
      <c r="R119" s="10"/>
      <c r="S119" s="10"/>
      <c r="T119" s="10"/>
      <c r="U119" s="10"/>
      <c r="V119" s="10"/>
      <c r="W119" s="10"/>
    </row>
    <row r="120" spans="1:23" ht="15" customHeight="1">
      <c r="A120" s="10"/>
      <c r="B120" s="10" t="s">
        <v>398</v>
      </c>
      <c r="C120" s="10"/>
      <c r="D120" s="10"/>
      <c r="E120" s="14">
        <v>9.0889649196072661E-2</v>
      </c>
      <c r="F120" s="14">
        <v>8.9603753893805108E-2</v>
      </c>
      <c r="G120" s="14">
        <v>9.2485892618116447E-2</v>
      </c>
      <c r="H120" s="14">
        <v>0.11516727953104516</v>
      </c>
      <c r="I120" s="14">
        <v>0.11318595103164046</v>
      </c>
      <c r="J120" s="14">
        <v>6.8136544326987417E-2</v>
      </c>
      <c r="K120" s="14">
        <v>8.7607953672558303E-2</v>
      </c>
      <c r="L120" s="14">
        <v>9.1448942134537178E-2</v>
      </c>
      <c r="M120" s="14">
        <v>9.5002414785567535E-2</v>
      </c>
      <c r="N120" s="14">
        <v>0.1013338787533813</v>
      </c>
      <c r="O120" s="10"/>
      <c r="P120" s="10"/>
      <c r="Q120" s="10"/>
      <c r="R120" s="10"/>
      <c r="S120" s="10"/>
      <c r="T120" s="10"/>
      <c r="U120" s="10"/>
      <c r="V120" s="10"/>
      <c r="W120" s="10"/>
    </row>
    <row r="121" spans="1:23" ht="15" customHeight="1">
      <c r="A121" s="10"/>
      <c r="B121" s="10" t="s">
        <v>528</v>
      </c>
      <c r="C121" s="10"/>
      <c r="D121" s="10"/>
      <c r="E121" s="14">
        <v>8.7283178932902369E-2</v>
      </c>
      <c r="F121" s="14">
        <v>8.2534858219118268E-2</v>
      </c>
      <c r="G121" s="14">
        <v>8.7892957327444746E-2</v>
      </c>
      <c r="H121" s="14">
        <v>0.10084858015480204</v>
      </c>
      <c r="I121" s="14">
        <v>7.8484847670075117E-2</v>
      </c>
      <c r="J121" s="14">
        <v>9.4330127303863448E-2</v>
      </c>
      <c r="K121" s="14">
        <v>0.11208066318024626</v>
      </c>
      <c r="L121" s="14">
        <v>7.3439705327326216E-2</v>
      </c>
      <c r="M121" s="14">
        <v>8.7177494115443982E-2</v>
      </c>
      <c r="N121" s="14">
        <v>9.2830380776516799E-2</v>
      </c>
      <c r="O121" s="10"/>
      <c r="P121" s="10"/>
      <c r="Q121" s="10"/>
      <c r="R121" s="10"/>
      <c r="S121" s="10"/>
      <c r="T121" s="10"/>
      <c r="U121" s="10"/>
      <c r="V121" s="10"/>
      <c r="W121" s="10"/>
    </row>
    <row r="122" spans="1:23" ht="15" customHeight="1">
      <c r="A122" s="10"/>
      <c r="B122" s="10" t="s">
        <v>1263</v>
      </c>
      <c r="C122" s="10"/>
      <c r="D122" s="10"/>
      <c r="E122" s="11">
        <v>-35.512</v>
      </c>
      <c r="F122" s="11">
        <v>-46.776000000000003</v>
      </c>
      <c r="G122" s="11">
        <v>-52.704999999999998</v>
      </c>
      <c r="H122" s="11">
        <v>-54.963999999999999</v>
      </c>
      <c r="I122" s="11">
        <v>-69.751999999999995</v>
      </c>
      <c r="J122" s="11">
        <v>-47.499000000000002</v>
      </c>
      <c r="K122" s="11">
        <v>-41.107999999999997</v>
      </c>
      <c r="L122" s="11">
        <v>-38.216999999999999</v>
      </c>
      <c r="M122" s="11">
        <v>-44.665999999999997</v>
      </c>
      <c r="N122" s="11">
        <v>-60.973999999999997</v>
      </c>
      <c r="O122" s="10"/>
      <c r="P122" s="10"/>
      <c r="Q122" s="10"/>
      <c r="R122" s="10"/>
      <c r="S122" s="10"/>
      <c r="T122" s="10"/>
      <c r="U122" s="10"/>
      <c r="V122" s="10"/>
      <c r="W122" s="10"/>
    </row>
    <row r="123" spans="1:23" ht="15" customHeight="1">
      <c r="A123" s="10"/>
      <c r="B123" s="10" t="s">
        <v>1264</v>
      </c>
      <c r="C123" s="10"/>
      <c r="D123" s="10"/>
      <c r="E123" s="14">
        <v>0.75927000000000011</v>
      </c>
      <c r="F123" s="14">
        <v>0.74837699999999996</v>
      </c>
      <c r="G123" s="14">
        <v>0.532883</v>
      </c>
      <c r="H123" s="14">
        <v>0.49814799999999998</v>
      </c>
      <c r="I123" s="14">
        <v>0.53220199999999995</v>
      </c>
      <c r="J123" s="14">
        <v>0.68786500000000006</v>
      </c>
      <c r="K123" s="14">
        <v>0.66421999999999992</v>
      </c>
      <c r="L123" s="14">
        <v>0.7156229999999999</v>
      </c>
      <c r="M123" s="14">
        <v>0.51860399999999995</v>
      </c>
      <c r="N123" s="14">
        <v>0.50356699999999999</v>
      </c>
      <c r="O123" s="10"/>
      <c r="P123" s="10"/>
      <c r="Q123" s="10"/>
      <c r="R123" s="10"/>
      <c r="S123" s="10"/>
      <c r="T123" s="10"/>
      <c r="U123" s="10"/>
      <c r="V123" s="10"/>
      <c r="W123" s="10"/>
    </row>
    <row r="124" spans="1:23" ht="15" customHeight="1">
      <c r="A124" s="10"/>
      <c r="B124" s="10" t="s">
        <v>1265</v>
      </c>
      <c r="C124" s="10"/>
      <c r="D124" s="10"/>
      <c r="E124" s="14">
        <v>0.14082576689397344</v>
      </c>
      <c r="F124" s="14">
        <v>0.14609202482205441</v>
      </c>
      <c r="G124" s="14">
        <v>0.143159963822519</v>
      </c>
      <c r="H124" s="14">
        <v>0.15864518095143323</v>
      </c>
      <c r="I124" s="14">
        <v>0.16073362886315343</v>
      </c>
      <c r="J124" s="14">
        <v>0.17755179531441839</v>
      </c>
      <c r="K124" s="14">
        <v>0.16010137549677145</v>
      </c>
      <c r="L124" s="14">
        <v>0.16721701977884454</v>
      </c>
      <c r="M124" s="14">
        <v>0.17187012036734728</v>
      </c>
      <c r="N124" s="14">
        <v>0.17554810041942351</v>
      </c>
      <c r="O124" s="10"/>
      <c r="P124" s="10"/>
      <c r="Q124" s="10"/>
      <c r="R124" s="10"/>
      <c r="S124" s="10"/>
      <c r="T124" s="10"/>
      <c r="U124" s="10"/>
      <c r="V124" s="10"/>
      <c r="W124" s="10"/>
    </row>
    <row r="125" spans="1:23" ht="15" customHeight="1">
      <c r="A125" s="10"/>
      <c r="B125" s="10" t="s">
        <v>1266</v>
      </c>
      <c r="C125" s="10"/>
      <c r="D125" s="10"/>
      <c r="E125" s="359">
        <v>1.0413191901035446</v>
      </c>
      <c r="F125" s="359">
        <v>1.0856473958666037</v>
      </c>
      <c r="G125" s="359">
        <v>1.052256010382729</v>
      </c>
      <c r="H125" s="359">
        <v>1.1419821613181267</v>
      </c>
      <c r="I125" s="359">
        <v>1.4421376149882783</v>
      </c>
      <c r="J125" s="359">
        <v>0.72232007179955082</v>
      </c>
      <c r="K125" s="359">
        <v>0.78165092163729122</v>
      </c>
      <c r="L125" s="359">
        <v>1.2452247966810659</v>
      </c>
      <c r="M125" s="359">
        <v>1.0897584950051613</v>
      </c>
      <c r="N125" s="359">
        <v>1.0916025325516667</v>
      </c>
      <c r="O125" s="10"/>
      <c r="P125" s="10"/>
      <c r="Q125" s="10"/>
      <c r="R125" s="10"/>
      <c r="S125" s="10"/>
      <c r="T125" s="10"/>
      <c r="U125" s="10"/>
      <c r="V125" s="10"/>
      <c r="W125" s="10"/>
    </row>
    <row r="126" spans="1:23" ht="15" customHeight="1">
      <c r="A126" s="10"/>
      <c r="B126" s="10" t="s">
        <v>1267</v>
      </c>
      <c r="C126" s="10"/>
      <c r="D126" s="10"/>
      <c r="E126" s="14">
        <v>1.6100228364638074E-2</v>
      </c>
      <c r="F126" s="14">
        <v>2.2179957523503616E-2</v>
      </c>
      <c r="G126" s="14">
        <v>2.3207572260291163E-2</v>
      </c>
      <c r="H126" s="14">
        <v>2.2789286995171725E-2</v>
      </c>
      <c r="I126" s="14">
        <v>2.8035809242990546E-2</v>
      </c>
      <c r="J126" s="14">
        <v>1.9862955268519358E-2</v>
      </c>
      <c r="K126" s="14">
        <v>1.6404282480243868E-2</v>
      </c>
      <c r="L126" s="14">
        <v>1.4945884377352586E-2</v>
      </c>
      <c r="M126" s="14">
        <v>1.5697766162819426E-2</v>
      </c>
      <c r="N126" s="14">
        <v>1.953550393776218E-2</v>
      </c>
      <c r="O126" s="10"/>
      <c r="P126" s="10"/>
      <c r="Q126" s="10"/>
      <c r="R126" s="10"/>
      <c r="S126" s="10"/>
      <c r="T126" s="10"/>
      <c r="U126" s="10"/>
      <c r="V126" s="10"/>
      <c r="W126" s="10"/>
    </row>
    <row r="127" spans="1:23" ht="1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row>
    <row r="128" spans="1:23" ht="15" customHeight="1">
      <c r="A128" s="10"/>
      <c r="B128" s="376" t="s">
        <v>1268</v>
      </c>
      <c r="C128" s="376"/>
      <c r="D128" s="376"/>
      <c r="E128" s="32"/>
      <c r="F128" s="332"/>
      <c r="G128" s="332"/>
      <c r="H128" s="332"/>
      <c r="I128" s="332"/>
      <c r="J128" s="332"/>
      <c r="K128" s="32"/>
      <c r="L128" s="332"/>
      <c r="M128" s="332"/>
      <c r="N128" s="332"/>
      <c r="O128" s="332"/>
      <c r="P128" s="332"/>
      <c r="Q128" s="32"/>
      <c r="R128" s="332"/>
      <c r="S128" s="332"/>
      <c r="T128" s="332"/>
      <c r="U128" s="332"/>
      <c r="V128" s="32"/>
      <c r="W128" s="332"/>
    </row>
    <row r="129" spans="1:23" ht="15" customHeight="1">
      <c r="A129" s="10"/>
      <c r="B129" s="377"/>
      <c r="C129" s="377"/>
      <c r="D129" s="377"/>
      <c r="E129" s="32"/>
      <c r="F129" s="378"/>
      <c r="G129" s="378"/>
      <c r="H129" s="378"/>
      <c r="I129" s="378"/>
      <c r="J129" s="378"/>
      <c r="K129" s="379"/>
      <c r="L129" s="378"/>
      <c r="M129" s="378"/>
      <c r="N129" s="378"/>
      <c r="O129" s="378"/>
      <c r="P129" s="378"/>
      <c r="Q129" s="379"/>
      <c r="R129" s="378"/>
      <c r="S129" s="378"/>
      <c r="T129" s="378"/>
      <c r="U129" s="378"/>
      <c r="V129" s="379"/>
      <c r="W129" s="526"/>
    </row>
    <row r="130" spans="1:23" ht="15" customHeight="1">
      <c r="A130" s="10"/>
      <c r="B130" s="377"/>
      <c r="C130" s="377"/>
      <c r="D130" s="377"/>
      <c r="E130" s="32"/>
      <c r="F130" s="380"/>
      <c r="G130" s="380"/>
      <c r="H130" s="380"/>
      <c r="I130" s="380"/>
      <c r="J130" s="380"/>
      <c r="K130" s="378"/>
      <c r="L130" s="380"/>
      <c r="M130" s="380"/>
      <c r="N130" s="380"/>
      <c r="O130" s="380"/>
      <c r="P130" s="380"/>
      <c r="Q130" s="378"/>
      <c r="R130" s="380"/>
      <c r="S130" s="380"/>
      <c r="T130" s="380"/>
      <c r="U130" s="380"/>
      <c r="V130" s="378"/>
      <c r="W130" s="380"/>
    </row>
    <row r="131" spans="1:23" ht="3.95" customHeight="1">
      <c r="A131" s="10"/>
      <c r="B131" s="381"/>
      <c r="C131" s="381"/>
      <c r="D131" s="381"/>
      <c r="E131" s="382"/>
      <c r="F131" s="383"/>
      <c r="G131" s="383"/>
      <c r="H131" s="383"/>
      <c r="I131" s="383"/>
      <c r="J131" s="383"/>
      <c r="K131" s="384"/>
      <c r="L131" s="383"/>
      <c r="M131" s="383"/>
      <c r="N131" s="383"/>
      <c r="O131" s="383"/>
      <c r="P131" s="383"/>
      <c r="Q131" s="384"/>
      <c r="R131" s="383"/>
      <c r="S131" s="383"/>
      <c r="T131" s="383"/>
      <c r="U131" s="383"/>
      <c r="V131" s="384"/>
      <c r="W131" s="383"/>
    </row>
    <row r="132" spans="1:23" ht="3.95" customHeight="1">
      <c r="A132" s="10"/>
      <c r="B132" s="372"/>
      <c r="C132" s="372"/>
      <c r="D132" s="372"/>
      <c r="E132" s="373"/>
      <c r="F132" s="372"/>
      <c r="G132" s="372"/>
      <c r="H132" s="372"/>
      <c r="I132" s="372"/>
      <c r="J132" s="372"/>
      <c r="K132" s="372"/>
      <c r="L132" s="372"/>
      <c r="M132" s="372"/>
      <c r="N132" s="372"/>
      <c r="O132" s="372"/>
      <c r="P132" s="372"/>
      <c r="Q132" s="372"/>
      <c r="R132" s="372"/>
      <c r="S132" s="372"/>
      <c r="T132" s="372"/>
      <c r="U132" s="372"/>
      <c r="V132" s="372"/>
      <c r="W132" s="372"/>
    </row>
    <row r="133" spans="1:23" ht="15" customHeight="1">
      <c r="A133" s="10"/>
      <c r="B133" s="376" t="s">
        <v>98</v>
      </c>
      <c r="C133" s="531" t="s">
        <v>1269</v>
      </c>
      <c r="D133" s="377"/>
      <c r="E133" s="32"/>
      <c r="F133" s="380"/>
      <c r="G133" s="380">
        <v>2017</v>
      </c>
      <c r="H133" s="380">
        <v>2018</v>
      </c>
      <c r="I133" s="380">
        <v>2019</v>
      </c>
      <c r="J133" s="380">
        <v>2020</v>
      </c>
      <c r="K133" s="380">
        <v>2021</v>
      </c>
      <c r="L133" s="380">
        <v>2022</v>
      </c>
      <c r="M133" s="380">
        <v>2023</v>
      </c>
      <c r="N133" s="380">
        <v>2024</v>
      </c>
      <c r="O133" s="372"/>
      <c r="P133" s="380">
        <v>2017</v>
      </c>
      <c r="Q133" s="380">
        <v>2018</v>
      </c>
      <c r="R133" s="380">
        <v>2019</v>
      </c>
      <c r="S133" s="380">
        <v>2020</v>
      </c>
      <c r="T133" s="380">
        <v>2021</v>
      </c>
      <c r="U133" s="380">
        <v>2022</v>
      </c>
      <c r="V133" s="380">
        <v>2023</v>
      </c>
      <c r="W133" s="380">
        <v>2024</v>
      </c>
    </row>
    <row r="135" spans="1:23" ht="15" customHeight="1">
      <c r="B135" s="372" t="s">
        <v>368</v>
      </c>
      <c r="C135" s="530" t="s">
        <v>465</v>
      </c>
      <c r="D135" s="372"/>
      <c r="E135" s="373"/>
      <c r="F135" s="372"/>
      <c r="G135" s="372">
        <v>291.52300000000002</v>
      </c>
      <c r="H135" s="372">
        <v>291.78199999999998</v>
      </c>
      <c r="I135" s="372">
        <v>305.36200000000002</v>
      </c>
      <c r="J135" s="372">
        <v>309.56299999999999</v>
      </c>
      <c r="K135" s="372">
        <v>311.04300000000001</v>
      </c>
      <c r="L135" s="372">
        <v>317.76100000000002</v>
      </c>
      <c r="M135" s="372">
        <v>308.98</v>
      </c>
      <c r="N135" s="372">
        <v>294.43099999999998</v>
      </c>
      <c r="O135" s="372"/>
      <c r="P135" s="372">
        <v>5.8351281024819858E-3</v>
      </c>
      <c r="Q135" s="372">
        <v>5.4272906513894567E-3</v>
      </c>
      <c r="R135" s="372">
        <v>5.1053634722129345E-3</v>
      </c>
      <c r="S135" s="372">
        <v>4.7335239609774E-3</v>
      </c>
      <c r="T135" s="372">
        <v>4.6393860748165381E-3</v>
      </c>
      <c r="U135" s="372">
        <v>4.8157280552861307E-3</v>
      </c>
      <c r="V135" s="372">
        <v>4.5726717082772194E-3</v>
      </c>
      <c r="W135" s="372">
        <v>4.144405500893825E-3</v>
      </c>
    </row>
    <row r="136" spans="1:23" ht="15" customHeight="1">
      <c r="B136" s="372" t="s">
        <v>369</v>
      </c>
      <c r="C136" s="530" t="s">
        <v>1243</v>
      </c>
      <c r="D136" s="372"/>
      <c r="E136" s="373"/>
      <c r="F136" s="372"/>
      <c r="G136" s="372">
        <v>785.31600000000003</v>
      </c>
      <c r="H136" s="372">
        <v>796.38300000000004</v>
      </c>
      <c r="I136" s="372">
        <v>607.971</v>
      </c>
      <c r="J136" s="372">
        <v>536.56500000000005</v>
      </c>
      <c r="K136" s="372">
        <v>510.4</v>
      </c>
      <c r="L136" s="372">
        <v>506.7</v>
      </c>
      <c r="M136" s="372">
        <v>532.40200000000004</v>
      </c>
      <c r="N136" s="372" t="s">
        <v>1270</v>
      </c>
      <c r="O136" s="372"/>
      <c r="P136" s="372">
        <v>1.3209244432483348E-2</v>
      </c>
      <c r="Q136" s="372">
        <v>1.1975504127757478E-2</v>
      </c>
      <c r="R136" s="372">
        <v>1.3406491874131734E-2</v>
      </c>
      <c r="S136" s="372">
        <v>9.4821248696697127E-3</v>
      </c>
      <c r="T136" s="372">
        <v>7.9269429086165112E-3</v>
      </c>
      <c r="U136" s="372">
        <v>7.5543429644869846E-3</v>
      </c>
      <c r="V136" s="372">
        <v>7.7249274521183986E-3</v>
      </c>
      <c r="W136" s="372" t="e">
        <v>#VALUE!</v>
      </c>
    </row>
    <row r="137" spans="1:23" ht="15" customHeight="1">
      <c r="B137" s="372" t="s">
        <v>370</v>
      </c>
      <c r="C137" s="530" t="s">
        <v>1246</v>
      </c>
      <c r="D137" s="372"/>
      <c r="E137" s="373"/>
      <c r="F137" s="372"/>
      <c r="G137" s="372">
        <v>140.928</v>
      </c>
      <c r="H137" s="372">
        <v>134.173</v>
      </c>
      <c r="I137" s="372">
        <v>275.68</v>
      </c>
      <c r="J137" s="372">
        <v>268.7</v>
      </c>
      <c r="K137" s="372">
        <v>266.87</v>
      </c>
      <c r="L137" s="372">
        <v>282.3</v>
      </c>
      <c r="M137" s="372">
        <v>310.61</v>
      </c>
      <c r="N137" s="372">
        <v>284.70600000000002</v>
      </c>
      <c r="O137" s="372"/>
      <c r="P137" s="372">
        <v>5.4194739270881399E-3</v>
      </c>
      <c r="Q137" s="372">
        <v>4.4583153347732178E-3</v>
      </c>
      <c r="R137" s="372">
        <v>8.1463313731863721E-3</v>
      </c>
      <c r="S137" s="372">
        <v>7.3018288540449465E-3</v>
      </c>
      <c r="T137" s="372">
        <v>7.4822665208736372E-3</v>
      </c>
      <c r="U137" s="372">
        <v>7.7126932954483364E-3</v>
      </c>
      <c r="V137" s="372">
        <v>7.9055739373886484E-3</v>
      </c>
      <c r="W137" s="372">
        <v>6.9384641629907642E-3</v>
      </c>
    </row>
    <row r="138" spans="1:23" ht="15" customHeight="1">
      <c r="B138" s="372" t="s">
        <v>371</v>
      </c>
      <c r="C138" s="530" t="s">
        <v>1249</v>
      </c>
      <c r="D138" s="372"/>
      <c r="E138" s="373"/>
      <c r="F138" s="372"/>
      <c r="G138" s="372" t="s">
        <v>1270</v>
      </c>
      <c r="H138" s="372" t="s">
        <v>1270</v>
      </c>
      <c r="I138" s="372" t="s">
        <v>1270</v>
      </c>
      <c r="J138" s="372" t="s">
        <v>1270</v>
      </c>
      <c r="K138" s="372" t="s">
        <v>1270</v>
      </c>
      <c r="L138" s="372" t="s">
        <v>1270</v>
      </c>
      <c r="M138" s="372" t="s">
        <v>1270</v>
      </c>
      <c r="N138" s="372" t="s">
        <v>1270</v>
      </c>
      <c r="O138" s="372"/>
      <c r="P138" s="372" t="e">
        <v>#VALUE!</v>
      </c>
      <c r="Q138" s="372" t="e">
        <v>#VALUE!</v>
      </c>
      <c r="R138" s="372" t="e">
        <v>#VALUE!</v>
      </c>
      <c r="S138" s="372" t="e">
        <v>#VALUE!</v>
      </c>
      <c r="T138" s="372" t="e">
        <v>#VALUE!</v>
      </c>
      <c r="U138" s="372" t="e">
        <v>#VALUE!</v>
      </c>
      <c r="V138" s="372" t="e">
        <v>#VALUE!</v>
      </c>
      <c r="W138" s="372" t="e">
        <v>#VALUE!</v>
      </c>
    </row>
    <row r="139" spans="1:23" ht="15" customHeight="1">
      <c r="B139" s="372" t="s">
        <v>372</v>
      </c>
      <c r="C139" s="530" t="s">
        <v>1252</v>
      </c>
      <c r="D139" s="372"/>
      <c r="E139" s="373"/>
      <c r="F139" s="372"/>
      <c r="G139" s="372" t="s">
        <v>1270</v>
      </c>
      <c r="H139" s="372" t="s">
        <v>1270</v>
      </c>
      <c r="I139" s="372" t="s">
        <v>1270</v>
      </c>
      <c r="J139" s="372" t="s">
        <v>1270</v>
      </c>
      <c r="K139" s="372" t="s">
        <v>1270</v>
      </c>
      <c r="L139" s="372" t="s">
        <v>1270</v>
      </c>
      <c r="M139" s="372" t="s">
        <v>1270</v>
      </c>
      <c r="N139" s="372" t="s">
        <v>1270</v>
      </c>
      <c r="O139" s="372"/>
      <c r="P139" s="372" t="e">
        <v>#VALUE!</v>
      </c>
      <c r="Q139" s="372" t="e">
        <v>#VALUE!</v>
      </c>
      <c r="R139" s="372" t="e">
        <v>#VALUE!</v>
      </c>
      <c r="S139" s="372" t="e">
        <v>#VALUE!</v>
      </c>
      <c r="T139" s="372" t="e">
        <v>#VALUE!</v>
      </c>
      <c r="U139" s="372" t="e">
        <v>#VALUE!</v>
      </c>
      <c r="V139" s="372" t="e">
        <v>#VALUE!</v>
      </c>
      <c r="W139" s="372" t="e">
        <v>#VALUE!</v>
      </c>
    </row>
    <row r="140" spans="1:23" ht="15" customHeight="1">
      <c r="B140" s="372" t="s">
        <v>373</v>
      </c>
      <c r="C140" s="530" t="s">
        <v>1255</v>
      </c>
      <c r="D140" s="372"/>
      <c r="E140" s="373"/>
      <c r="F140" s="372"/>
      <c r="G140" s="372" t="s">
        <v>1270</v>
      </c>
      <c r="H140" s="372" t="s">
        <v>1270</v>
      </c>
      <c r="I140" s="372" t="s">
        <v>1270</v>
      </c>
      <c r="J140" s="372" t="s">
        <v>1270</v>
      </c>
      <c r="K140" s="372">
        <v>15.305</v>
      </c>
      <c r="L140" s="372">
        <v>16.437999999999999</v>
      </c>
      <c r="M140" s="372">
        <v>15.704000000000001</v>
      </c>
      <c r="N140" s="372">
        <v>16.477</v>
      </c>
      <c r="O140" s="372"/>
      <c r="P140" s="372" t="e">
        <v>#VALUE!</v>
      </c>
      <c r="Q140" s="372" t="e">
        <v>#VALUE!</v>
      </c>
      <c r="R140" s="372" t="e">
        <v>#VALUE!</v>
      </c>
      <c r="S140" s="372" t="e">
        <v>#VALUE!</v>
      </c>
      <c r="T140" s="372">
        <v>6.1075105419901819E-3</v>
      </c>
      <c r="U140" s="372">
        <v>6.4285644450093361E-3</v>
      </c>
      <c r="V140" s="372">
        <v>5.5191358039877372E-3</v>
      </c>
      <c r="W140" s="372">
        <v>5.279077941130768E-3</v>
      </c>
    </row>
    <row r="141" spans="1:23" ht="15" customHeight="1">
      <c r="B141" s="372"/>
      <c r="C141" s="372"/>
      <c r="D141" s="372"/>
      <c r="E141" s="373"/>
      <c r="F141" s="372"/>
      <c r="G141" s="372"/>
      <c r="H141" s="372"/>
      <c r="I141" s="372"/>
      <c r="J141" s="372"/>
      <c r="K141" s="372"/>
      <c r="L141" s="372"/>
      <c r="M141" s="372"/>
      <c r="N141" s="372"/>
      <c r="O141" s="372"/>
      <c r="P141" s="372"/>
      <c r="Q141" s="372"/>
      <c r="R141" s="372"/>
      <c r="S141" s="372"/>
      <c r="T141" s="372"/>
      <c r="U141" s="372"/>
      <c r="V141" s="372"/>
      <c r="W141" s="372"/>
    </row>
    <row r="142" spans="1:23" ht="15" customHeight="1">
      <c r="B142" s="376" t="s">
        <v>111</v>
      </c>
      <c r="C142" s="531" t="s">
        <v>1271</v>
      </c>
      <c r="D142" s="377"/>
      <c r="E142" s="32"/>
      <c r="F142" s="380"/>
      <c r="G142" s="380">
        <v>2017</v>
      </c>
      <c r="H142" s="380">
        <v>2018</v>
      </c>
      <c r="I142" s="380">
        <v>2019</v>
      </c>
      <c r="J142" s="380">
        <v>2020</v>
      </c>
      <c r="K142" s="380">
        <v>2021</v>
      </c>
      <c r="L142" s="380">
        <v>2022</v>
      </c>
      <c r="M142" s="380">
        <v>2023</v>
      </c>
      <c r="N142" s="380">
        <v>2024</v>
      </c>
      <c r="O142" s="372"/>
      <c r="P142" s="380">
        <v>2017</v>
      </c>
      <c r="Q142" s="380">
        <v>2018</v>
      </c>
      <c r="R142" s="380">
        <v>2019</v>
      </c>
      <c r="S142" s="380">
        <v>2020</v>
      </c>
      <c r="T142" s="380">
        <v>2021</v>
      </c>
      <c r="U142" s="380">
        <v>2022</v>
      </c>
      <c r="V142" s="380">
        <v>2023</v>
      </c>
      <c r="W142" s="380">
        <v>2024</v>
      </c>
    </row>
    <row r="143" spans="1:23" ht="3.95" customHeight="1">
      <c r="B143" s="381"/>
      <c r="C143" s="381"/>
      <c r="D143" s="381"/>
      <c r="E143" s="382"/>
      <c r="F143" s="383"/>
      <c r="G143" s="383"/>
      <c r="H143" s="383"/>
      <c r="I143" s="383"/>
      <c r="J143" s="383"/>
      <c r="K143" s="383"/>
      <c r="L143" s="383"/>
      <c r="M143" s="383"/>
      <c r="N143" s="383"/>
      <c r="O143" s="372"/>
      <c r="P143" s="383"/>
      <c r="Q143" s="383"/>
      <c r="R143" s="383"/>
      <c r="S143" s="383"/>
      <c r="T143" s="383"/>
      <c r="U143" s="383"/>
      <c r="V143" s="383"/>
      <c r="W143" s="383"/>
    </row>
    <row r="144" spans="1:23" ht="15" customHeight="1">
      <c r="B144" s="372" t="s">
        <v>368</v>
      </c>
      <c r="C144" s="530" t="s">
        <v>465</v>
      </c>
      <c r="D144" s="372"/>
      <c r="E144" s="373"/>
      <c r="F144" s="372"/>
      <c r="G144" s="372">
        <v>3039.88</v>
      </c>
      <c r="H144" s="372">
        <v>3109.93</v>
      </c>
      <c r="I144" s="372">
        <v>3186.38</v>
      </c>
      <c r="J144" s="372">
        <v>3204.63</v>
      </c>
      <c r="K144" s="372">
        <v>3170.97</v>
      </c>
      <c r="L144" s="372">
        <v>3208.09</v>
      </c>
      <c r="M144" s="372">
        <v>3125.84</v>
      </c>
      <c r="N144" s="372">
        <v>3094.09</v>
      </c>
      <c r="O144" s="372"/>
      <c r="P144" s="372">
        <v>6.0846277021617295E-2</v>
      </c>
      <c r="Q144" s="372">
        <v>5.7846248279453887E-2</v>
      </c>
      <c r="R144" s="372">
        <v>5.3273256202768675E-2</v>
      </c>
      <c r="S144" s="372">
        <v>4.9001957246398976E-2</v>
      </c>
      <c r="T144" s="372">
        <v>4.7296849829962413E-2</v>
      </c>
      <c r="U144" s="372">
        <v>4.8619210717749758E-2</v>
      </c>
      <c r="V144" s="372">
        <v>4.6260081987835017E-2</v>
      </c>
      <c r="W144" s="372">
        <v>4.3552355615613082E-2</v>
      </c>
    </row>
    <row r="145" spans="2:23" ht="15" customHeight="1">
      <c r="B145" s="372" t="s">
        <v>369</v>
      </c>
      <c r="C145" s="530" t="s">
        <v>1243</v>
      </c>
      <c r="D145" s="372"/>
      <c r="E145" s="373"/>
      <c r="F145" s="372"/>
      <c r="G145" s="372">
        <v>5255.98</v>
      </c>
      <c r="H145" s="372">
        <v>4640.6000000000004</v>
      </c>
      <c r="I145" s="372">
        <v>6015.55</v>
      </c>
      <c r="J145" s="372">
        <v>5138.2700000000004</v>
      </c>
      <c r="K145" s="372">
        <v>4916.67</v>
      </c>
      <c r="L145" s="372">
        <v>4972.22</v>
      </c>
      <c r="M145" s="372">
        <v>5183.32</v>
      </c>
      <c r="N145" s="372" t="s">
        <v>1270</v>
      </c>
      <c r="O145" s="372"/>
      <c r="P145" s="372">
        <v>8.8407118347574504E-2</v>
      </c>
      <c r="Q145" s="372">
        <v>6.9782409287078392E-2</v>
      </c>
      <c r="R145" s="372">
        <v>0.13265011356369491</v>
      </c>
      <c r="S145" s="372">
        <v>9.0803011292346303E-2</v>
      </c>
      <c r="T145" s="372">
        <v>7.6360036031558678E-2</v>
      </c>
      <c r="U145" s="372">
        <v>7.4130363479142439E-2</v>
      </c>
      <c r="V145" s="372">
        <v>7.5207777132907716E-2</v>
      </c>
      <c r="W145" s="372" t="e">
        <v>#VALUE!</v>
      </c>
    </row>
    <row r="146" spans="2:23" ht="15" customHeight="1">
      <c r="B146" s="372" t="s">
        <v>370</v>
      </c>
      <c r="C146" s="530" t="s">
        <v>1246</v>
      </c>
      <c r="D146" s="372"/>
      <c r="E146" s="373"/>
      <c r="F146" s="372"/>
      <c r="G146" s="372">
        <v>1791.62</v>
      </c>
      <c r="H146" s="372">
        <v>1728.11</v>
      </c>
      <c r="I146" s="372">
        <v>2853.76</v>
      </c>
      <c r="J146" s="372">
        <v>2758.16</v>
      </c>
      <c r="K146" s="372">
        <v>2836.07</v>
      </c>
      <c r="L146" s="372">
        <v>2882.69</v>
      </c>
      <c r="M146" s="372">
        <v>3031.53</v>
      </c>
      <c r="N146" s="372">
        <v>2926.01</v>
      </c>
      <c r="O146" s="372"/>
      <c r="P146" s="372">
        <v>6.8897861867405014E-2</v>
      </c>
      <c r="Q146" s="372">
        <v>5.74218308689151E-2</v>
      </c>
      <c r="R146" s="372">
        <v>8.432847729086021E-2</v>
      </c>
      <c r="S146" s="372">
        <v>7.4952036740128805E-2</v>
      </c>
      <c r="T146" s="372">
        <v>7.9515238175344158E-2</v>
      </c>
      <c r="U146" s="372">
        <v>7.875771815747773E-2</v>
      </c>
      <c r="V146" s="372">
        <v>7.715780096716722E-2</v>
      </c>
      <c r="W146" s="372">
        <v>7.1308702751443964E-2</v>
      </c>
    </row>
    <row r="147" spans="2:23" ht="15" customHeight="1">
      <c r="B147" s="372" t="s">
        <v>371</v>
      </c>
      <c r="C147" s="530" t="s">
        <v>1249</v>
      </c>
      <c r="D147" s="372"/>
      <c r="E147" s="373"/>
      <c r="F147" s="372"/>
      <c r="G147" s="372" t="s">
        <v>1270</v>
      </c>
      <c r="H147" s="372" t="s">
        <v>1270</v>
      </c>
      <c r="I147" s="372" t="s">
        <v>1270</v>
      </c>
      <c r="J147" s="372" t="s">
        <v>1270</v>
      </c>
      <c r="K147" s="372">
        <v>6.0759999999999996</v>
      </c>
      <c r="L147" s="372">
        <v>8.5609999999999999</v>
      </c>
      <c r="M147" s="372">
        <v>9</v>
      </c>
      <c r="N147" s="372">
        <v>9.0530000000000008</v>
      </c>
      <c r="O147" s="372"/>
      <c r="P147" s="372" t="e">
        <v>#VALUE!</v>
      </c>
      <c r="Q147" s="372" t="e">
        <v>#VALUE!</v>
      </c>
      <c r="R147" s="372" t="e">
        <v>#VALUE!</v>
      </c>
      <c r="S147" s="372" t="e">
        <v>#VALUE!</v>
      </c>
      <c r="T147" s="372">
        <v>1.5385706182643222E-2</v>
      </c>
      <c r="U147" s="372">
        <v>1.9206608455304981E-2</v>
      </c>
      <c r="V147" s="372">
        <v>1.6650139861174834E-2</v>
      </c>
      <c r="W147" s="372">
        <v>1.2631153030472152E-2</v>
      </c>
    </row>
    <row r="148" spans="2:23" ht="15" customHeight="1">
      <c r="B148" s="372" t="s">
        <v>372</v>
      </c>
      <c r="C148" s="530" t="s">
        <v>1252</v>
      </c>
      <c r="D148" s="372"/>
      <c r="E148" s="373"/>
      <c r="F148" s="372"/>
      <c r="G148" s="372" t="s">
        <v>1270</v>
      </c>
      <c r="H148" s="372" t="s">
        <v>1270</v>
      </c>
      <c r="I148" s="372" t="s">
        <v>1270</v>
      </c>
      <c r="J148" s="372" t="s">
        <v>1270</v>
      </c>
      <c r="K148" s="372" t="s">
        <v>1270</v>
      </c>
      <c r="L148" s="372" t="s">
        <v>1270</v>
      </c>
      <c r="M148" s="372" t="s">
        <v>1270</v>
      </c>
      <c r="N148" s="372" t="s">
        <v>1270</v>
      </c>
      <c r="O148" s="372"/>
      <c r="P148" s="372" t="e">
        <v>#VALUE!</v>
      </c>
      <c r="Q148" s="372" t="e">
        <v>#VALUE!</v>
      </c>
      <c r="R148" s="372" t="e">
        <v>#VALUE!</v>
      </c>
      <c r="S148" s="372" t="e">
        <v>#VALUE!</v>
      </c>
      <c r="T148" s="372" t="e">
        <v>#VALUE!</v>
      </c>
      <c r="U148" s="372" t="e">
        <v>#VALUE!</v>
      </c>
      <c r="V148" s="372" t="e">
        <v>#VALUE!</v>
      </c>
      <c r="W148" s="372" t="e">
        <v>#VALUE!</v>
      </c>
    </row>
    <row r="149" spans="2:23" ht="15" customHeight="1">
      <c r="B149" s="372" t="s">
        <v>373</v>
      </c>
      <c r="C149" s="530" t="s">
        <v>1255</v>
      </c>
      <c r="D149" s="372"/>
      <c r="E149" s="373"/>
      <c r="F149" s="372"/>
      <c r="G149" s="372" t="s">
        <v>1270</v>
      </c>
      <c r="H149" s="372" t="s">
        <v>1270</v>
      </c>
      <c r="I149" s="372" t="s">
        <v>1270</v>
      </c>
      <c r="J149" s="372" t="s">
        <v>1270</v>
      </c>
      <c r="K149" s="372" t="s">
        <v>1270</v>
      </c>
      <c r="L149" s="372" t="s">
        <v>1270</v>
      </c>
      <c r="M149" s="372" t="s">
        <v>1270</v>
      </c>
      <c r="N149" s="372" t="s">
        <v>1270</v>
      </c>
      <c r="O149" s="372"/>
      <c r="P149" s="372" t="e">
        <v>#VALUE!</v>
      </c>
      <c r="Q149" s="372" t="e">
        <v>#VALUE!</v>
      </c>
      <c r="R149" s="372" t="e">
        <v>#VALUE!</v>
      </c>
      <c r="S149" s="372" t="e">
        <v>#VALUE!</v>
      </c>
      <c r="T149" s="372" t="e">
        <v>#VALUE!</v>
      </c>
      <c r="U149" s="372" t="e">
        <v>#VALUE!</v>
      </c>
      <c r="V149" s="372" t="e">
        <v>#VALUE!</v>
      </c>
      <c r="W149" s="372" t="e">
        <v>#VALUE!</v>
      </c>
    </row>
    <row r="151" spans="2:23" ht="15" customHeight="1">
      <c r="B151" s="376" t="s">
        <v>106</v>
      </c>
      <c r="C151" s="531" t="s">
        <v>1272</v>
      </c>
      <c r="D151" s="377"/>
      <c r="E151" s="32"/>
      <c r="F151" s="380"/>
      <c r="G151" s="380">
        <v>2017</v>
      </c>
      <c r="H151" s="380">
        <v>2018</v>
      </c>
      <c r="I151" s="380">
        <v>2019</v>
      </c>
      <c r="J151" s="380">
        <v>2020</v>
      </c>
      <c r="K151" s="380">
        <v>2021</v>
      </c>
      <c r="L151" s="380">
        <v>2022</v>
      </c>
      <c r="M151" s="380">
        <v>2023</v>
      </c>
      <c r="N151" s="380">
        <v>2024</v>
      </c>
      <c r="O151" s="372"/>
      <c r="P151" s="380">
        <v>2017</v>
      </c>
      <c r="Q151" s="380">
        <v>2018</v>
      </c>
      <c r="R151" s="380">
        <v>2019</v>
      </c>
      <c r="S151" s="380">
        <v>2020</v>
      </c>
      <c r="T151" s="380">
        <v>2021</v>
      </c>
      <c r="U151" s="380">
        <v>2022</v>
      </c>
      <c r="V151" s="380">
        <v>2023</v>
      </c>
      <c r="W151" s="380">
        <v>2024</v>
      </c>
    </row>
    <row r="152" spans="2:23" ht="3.95" customHeight="1">
      <c r="B152" s="381"/>
      <c r="C152" s="381"/>
      <c r="D152" s="381"/>
      <c r="E152" s="382"/>
      <c r="F152" s="383"/>
      <c r="G152" s="383"/>
      <c r="H152" s="383"/>
      <c r="I152" s="383"/>
      <c r="J152" s="383"/>
      <c r="K152" s="383"/>
      <c r="L152" s="383"/>
      <c r="M152" s="383"/>
      <c r="N152" s="383"/>
      <c r="O152" s="372"/>
      <c r="P152" s="383"/>
      <c r="Q152" s="383"/>
      <c r="R152" s="383"/>
      <c r="S152" s="383"/>
      <c r="T152" s="383"/>
      <c r="U152" s="383"/>
      <c r="V152" s="383"/>
      <c r="W152" s="383"/>
    </row>
    <row r="153" spans="2:23" ht="15" customHeight="1">
      <c r="B153" s="372" t="s">
        <v>368</v>
      </c>
      <c r="C153" s="530" t="s">
        <v>465</v>
      </c>
      <c r="D153" s="372"/>
      <c r="E153" s="373"/>
      <c r="F153" s="372"/>
      <c r="G153" s="372" t="s">
        <v>1270</v>
      </c>
      <c r="H153" s="372" t="s">
        <v>1270</v>
      </c>
      <c r="I153" s="372" t="s">
        <v>1270</v>
      </c>
      <c r="J153" s="372" t="s">
        <v>1270</v>
      </c>
      <c r="K153" s="372" t="s">
        <v>1270</v>
      </c>
      <c r="L153" s="372" t="s">
        <v>1270</v>
      </c>
      <c r="M153" s="372" t="s">
        <v>1270</v>
      </c>
      <c r="N153" s="372" t="s">
        <v>1270</v>
      </c>
      <c r="O153" s="372"/>
      <c r="P153" s="372" t="e">
        <v>#VALUE!</v>
      </c>
      <c r="Q153" s="372" t="e">
        <v>#VALUE!</v>
      </c>
      <c r="R153" s="372" t="e">
        <v>#VALUE!</v>
      </c>
      <c r="S153" s="372" t="e">
        <v>#VALUE!</v>
      </c>
      <c r="T153" s="372" t="e">
        <v>#VALUE!</v>
      </c>
      <c r="U153" s="372" t="e">
        <v>#VALUE!</v>
      </c>
      <c r="V153" s="372" t="e">
        <v>#VALUE!</v>
      </c>
      <c r="W153" s="372" t="e">
        <v>#VALUE!</v>
      </c>
    </row>
    <row r="154" spans="2:23" ht="15" customHeight="1">
      <c r="B154" s="372" t="s">
        <v>369</v>
      </c>
      <c r="C154" s="530" t="s">
        <v>1243</v>
      </c>
      <c r="D154" s="372"/>
      <c r="E154" s="373"/>
      <c r="F154" s="372"/>
      <c r="G154" s="372">
        <v>566</v>
      </c>
      <c r="H154" s="372" t="s">
        <v>1270</v>
      </c>
      <c r="I154" s="372" t="s">
        <v>1270</v>
      </c>
      <c r="J154" s="372" t="s">
        <v>1270</v>
      </c>
      <c r="K154" s="372">
        <v>2968</v>
      </c>
      <c r="L154" s="372">
        <v>2962</v>
      </c>
      <c r="M154" s="372">
        <v>6097.18</v>
      </c>
      <c r="N154" s="372" t="s">
        <v>1270</v>
      </c>
      <c r="O154" s="372"/>
      <c r="P154" s="372">
        <v>9.5202852721523248E-3</v>
      </c>
      <c r="Q154" s="372" t="e">
        <v>#VALUE!</v>
      </c>
      <c r="R154" s="372" t="e">
        <v>#VALUE!</v>
      </c>
      <c r="S154" s="372" t="e">
        <v>#VALUE!</v>
      </c>
      <c r="T154" s="372">
        <v>4.6095545753867179E-2</v>
      </c>
      <c r="U154" s="372">
        <v>4.4160181292304021E-2</v>
      </c>
      <c r="V154" s="372">
        <v>8.8467498549042373E-2</v>
      </c>
      <c r="W154" s="372" t="e">
        <v>#VALUE!</v>
      </c>
    </row>
    <row r="155" spans="2:23" ht="15" customHeight="1">
      <c r="B155" s="372" t="s">
        <v>370</v>
      </c>
      <c r="C155" s="530" t="s">
        <v>1246</v>
      </c>
      <c r="D155" s="372"/>
      <c r="E155" s="373"/>
      <c r="F155" s="372"/>
      <c r="G155" s="372" t="s">
        <v>1270</v>
      </c>
      <c r="H155" s="372" t="s">
        <v>1270</v>
      </c>
      <c r="I155" s="372" t="s">
        <v>1270</v>
      </c>
      <c r="J155" s="372" t="s">
        <v>1270</v>
      </c>
      <c r="K155" s="372" t="s">
        <v>1270</v>
      </c>
      <c r="L155" s="372" t="s">
        <v>1270</v>
      </c>
      <c r="M155" s="372" t="s">
        <v>1270</v>
      </c>
      <c r="N155" s="372" t="s">
        <v>1270</v>
      </c>
      <c r="O155" s="372"/>
      <c r="P155" s="372" t="e">
        <v>#VALUE!</v>
      </c>
      <c r="Q155" s="372" t="e">
        <v>#VALUE!</v>
      </c>
      <c r="R155" s="372" t="e">
        <v>#VALUE!</v>
      </c>
      <c r="S155" s="372" t="e">
        <v>#VALUE!</v>
      </c>
      <c r="T155" s="372" t="e">
        <v>#VALUE!</v>
      </c>
      <c r="U155" s="372" t="e">
        <v>#VALUE!</v>
      </c>
      <c r="V155" s="372" t="e">
        <v>#VALUE!</v>
      </c>
      <c r="W155" s="372" t="e">
        <v>#VALUE!</v>
      </c>
    </row>
    <row r="156" spans="2:23" ht="15" customHeight="1">
      <c r="B156" s="372" t="s">
        <v>371</v>
      </c>
      <c r="C156" s="530" t="s">
        <v>1249</v>
      </c>
      <c r="D156" s="372"/>
      <c r="E156" s="373"/>
      <c r="F156" s="372"/>
      <c r="G156" s="372" t="s">
        <v>1270</v>
      </c>
      <c r="H156" s="372" t="s">
        <v>1270</v>
      </c>
      <c r="I156" s="372" t="s">
        <v>1270</v>
      </c>
      <c r="J156" s="372" t="s">
        <v>1270</v>
      </c>
      <c r="K156" s="372" t="s">
        <v>1270</v>
      </c>
      <c r="L156" s="372" t="s">
        <v>1270</v>
      </c>
      <c r="M156" s="372" t="s">
        <v>1270</v>
      </c>
      <c r="N156" s="372" t="s">
        <v>1270</v>
      </c>
      <c r="O156" s="372"/>
      <c r="P156" s="372" t="e">
        <v>#VALUE!</v>
      </c>
      <c r="Q156" s="372" t="e">
        <v>#VALUE!</v>
      </c>
      <c r="R156" s="372" t="e">
        <v>#VALUE!</v>
      </c>
      <c r="S156" s="372" t="e">
        <v>#VALUE!</v>
      </c>
      <c r="T156" s="372" t="e">
        <v>#VALUE!</v>
      </c>
      <c r="U156" s="372" t="e">
        <v>#VALUE!</v>
      </c>
      <c r="V156" s="372" t="e">
        <v>#VALUE!</v>
      </c>
      <c r="W156" s="372" t="e">
        <v>#VALUE!</v>
      </c>
    </row>
    <row r="157" spans="2:23" ht="15" customHeight="1">
      <c r="B157" s="372" t="s">
        <v>372</v>
      </c>
      <c r="C157" s="530" t="s">
        <v>1252</v>
      </c>
      <c r="D157" s="372"/>
      <c r="E157" s="373"/>
      <c r="F157" s="372"/>
      <c r="G157" s="372" t="s">
        <v>1270</v>
      </c>
      <c r="H157" s="372" t="s">
        <v>1270</v>
      </c>
      <c r="I157" s="372" t="s">
        <v>1270</v>
      </c>
      <c r="J157" s="372" t="s">
        <v>1270</v>
      </c>
      <c r="K157" s="372" t="s">
        <v>1270</v>
      </c>
      <c r="L157" s="372" t="s">
        <v>1270</v>
      </c>
      <c r="M157" s="372" t="s">
        <v>1270</v>
      </c>
      <c r="N157" s="372" t="s">
        <v>1270</v>
      </c>
      <c r="O157" s="372"/>
      <c r="P157" s="372" t="e">
        <v>#VALUE!</v>
      </c>
      <c r="Q157" s="372" t="e">
        <v>#VALUE!</v>
      </c>
      <c r="R157" s="372" t="e">
        <v>#VALUE!</v>
      </c>
      <c r="S157" s="372" t="e">
        <v>#VALUE!</v>
      </c>
      <c r="T157" s="372" t="e">
        <v>#VALUE!</v>
      </c>
      <c r="U157" s="372" t="e">
        <v>#VALUE!</v>
      </c>
      <c r="V157" s="372" t="e">
        <v>#VALUE!</v>
      </c>
      <c r="W157" s="372" t="e">
        <v>#VALUE!</v>
      </c>
    </row>
    <row r="158" spans="2:23" ht="15" customHeight="1">
      <c r="B158" s="372" t="s">
        <v>373</v>
      </c>
      <c r="C158" s="530" t="s">
        <v>1255</v>
      </c>
      <c r="D158" s="372"/>
      <c r="E158" s="373"/>
      <c r="F158" s="372"/>
      <c r="G158" s="372" t="s">
        <v>1270</v>
      </c>
      <c r="H158" s="372" t="s">
        <v>1270</v>
      </c>
      <c r="I158" s="372" t="s">
        <v>1270</v>
      </c>
      <c r="J158" s="372" t="s">
        <v>1270</v>
      </c>
      <c r="K158" s="372" t="s">
        <v>1270</v>
      </c>
      <c r="L158" s="372" t="s">
        <v>1270</v>
      </c>
      <c r="M158" s="372" t="s">
        <v>1270</v>
      </c>
      <c r="N158" s="372" t="s">
        <v>1270</v>
      </c>
      <c r="O158" s="372"/>
      <c r="P158" s="372" t="e">
        <v>#VALUE!</v>
      </c>
      <c r="Q158" s="372" t="e">
        <v>#VALUE!</v>
      </c>
      <c r="R158" s="372" t="e">
        <v>#VALUE!</v>
      </c>
      <c r="S158" s="372" t="e">
        <v>#VALUE!</v>
      </c>
      <c r="T158" s="372" t="e">
        <v>#VALUE!</v>
      </c>
      <c r="U158" s="372" t="e">
        <v>#VALUE!</v>
      </c>
      <c r="V158" s="372" t="e">
        <v>#VALUE!</v>
      </c>
      <c r="W158" s="372" t="e">
        <v>#VALUE!</v>
      </c>
    </row>
    <row r="159" spans="2:23" ht="15" customHeight="1">
      <c r="B159" s="372"/>
      <c r="C159" s="372"/>
      <c r="D159" s="372"/>
      <c r="E159" s="373"/>
      <c r="F159" s="372"/>
      <c r="G159" s="372"/>
      <c r="H159" s="372"/>
      <c r="I159" s="372"/>
      <c r="J159" s="372"/>
      <c r="K159" s="372"/>
      <c r="L159" s="372"/>
      <c r="M159" s="372"/>
      <c r="N159" s="372"/>
      <c r="O159" s="372"/>
      <c r="P159" s="372"/>
      <c r="Q159" s="372"/>
      <c r="R159" s="372"/>
      <c r="S159" s="372"/>
      <c r="T159" s="372"/>
      <c r="U159" s="372"/>
      <c r="V159" s="372"/>
      <c r="W159" s="372"/>
    </row>
    <row r="160" spans="2:23" ht="15" customHeight="1">
      <c r="B160" s="376" t="s">
        <v>1273</v>
      </c>
      <c r="C160" s="531" t="s">
        <v>1274</v>
      </c>
      <c r="D160" s="377"/>
      <c r="E160" s="32"/>
      <c r="F160" s="380"/>
      <c r="G160" s="380">
        <v>2017</v>
      </c>
      <c r="H160" s="380">
        <v>2018</v>
      </c>
      <c r="I160" s="380">
        <v>2019</v>
      </c>
      <c r="J160" s="380">
        <v>2020</v>
      </c>
      <c r="K160" s="380">
        <v>2021</v>
      </c>
      <c r="L160" s="380">
        <v>2022</v>
      </c>
      <c r="M160" s="380">
        <v>2023</v>
      </c>
      <c r="N160" s="380">
        <v>2024</v>
      </c>
      <c r="O160" s="372"/>
      <c r="P160" s="380">
        <v>2017</v>
      </c>
      <c r="Q160" s="380">
        <v>2018</v>
      </c>
      <c r="R160" s="380">
        <v>2019</v>
      </c>
      <c r="S160" s="380">
        <v>2020</v>
      </c>
      <c r="T160" s="380">
        <v>2021</v>
      </c>
      <c r="U160" s="380">
        <v>2022</v>
      </c>
      <c r="V160" s="380">
        <v>2023</v>
      </c>
      <c r="W160" s="380">
        <v>2024</v>
      </c>
    </row>
    <row r="161" spans="2:23" ht="3.95" customHeight="1">
      <c r="B161" s="381"/>
      <c r="C161" s="381"/>
      <c r="D161" s="381"/>
      <c r="E161" s="382"/>
      <c r="F161" s="383"/>
      <c r="G161" s="383"/>
      <c r="H161" s="383"/>
      <c r="I161" s="383"/>
      <c r="J161" s="383"/>
      <c r="K161" s="383"/>
      <c r="L161" s="383"/>
      <c r="M161" s="383"/>
      <c r="N161" s="383"/>
      <c r="O161" s="372"/>
      <c r="P161" s="383"/>
      <c r="Q161" s="383"/>
      <c r="R161" s="383"/>
      <c r="S161" s="383"/>
      <c r="T161" s="383"/>
      <c r="U161" s="383"/>
      <c r="V161" s="383"/>
      <c r="W161" s="383"/>
    </row>
    <row r="162" spans="2:23" ht="15" customHeight="1">
      <c r="B162" s="372" t="s">
        <v>368</v>
      </c>
      <c r="C162" s="530" t="s">
        <v>465</v>
      </c>
      <c r="D162" s="372"/>
      <c r="E162" s="373"/>
      <c r="F162" s="372"/>
      <c r="G162" s="372">
        <v>27.02</v>
      </c>
      <c r="H162" s="372">
        <v>27.497</v>
      </c>
      <c r="I162" s="372">
        <v>27.920999999999999</v>
      </c>
      <c r="J162" s="372">
        <v>26.143999999999998</v>
      </c>
      <c r="K162" s="372">
        <v>25.061</v>
      </c>
      <c r="L162" s="372">
        <v>26.239000000000001</v>
      </c>
      <c r="M162" s="372">
        <v>26.620999999999999</v>
      </c>
      <c r="N162" s="372">
        <v>24.547999999999998</v>
      </c>
      <c r="O162" s="372"/>
      <c r="P162" s="372">
        <v>5.4083266613290631E-4</v>
      </c>
      <c r="Q162" s="372">
        <v>5.1145790707190955E-4</v>
      </c>
      <c r="R162" s="372">
        <v>4.6681267972982011E-4</v>
      </c>
      <c r="S162" s="372">
        <v>3.99767576990122E-4</v>
      </c>
      <c r="T162" s="372">
        <v>3.7379929598472644E-4</v>
      </c>
      <c r="U162" s="372">
        <v>3.9765700775945686E-4</v>
      </c>
      <c r="V162" s="372">
        <v>3.9397078628405674E-4</v>
      </c>
      <c r="W162" s="372">
        <v>3.4553720985881786E-4</v>
      </c>
    </row>
    <row r="163" spans="2:23" ht="15" customHeight="1">
      <c r="B163" s="372" t="s">
        <v>369</v>
      </c>
      <c r="C163" s="530" t="s">
        <v>1243</v>
      </c>
      <c r="D163" s="372"/>
      <c r="E163" s="373"/>
      <c r="F163" s="372"/>
      <c r="G163" s="372">
        <v>236.73500000000001</v>
      </c>
      <c r="H163" s="372">
        <v>305.66899999999998</v>
      </c>
      <c r="I163" s="372" t="s">
        <v>1270</v>
      </c>
      <c r="J163" s="372" t="s">
        <v>1270</v>
      </c>
      <c r="K163" s="372">
        <v>87.3</v>
      </c>
      <c r="L163" s="372">
        <v>99.9</v>
      </c>
      <c r="M163" s="372">
        <v>127.26</v>
      </c>
      <c r="N163" s="372" t="s">
        <v>1270</v>
      </c>
      <c r="O163" s="372"/>
      <c r="P163" s="372">
        <v>3.9819518266837111E-3</v>
      </c>
      <c r="Q163" s="372">
        <v>4.5964571961323889E-3</v>
      </c>
      <c r="R163" s="372" t="e">
        <v>#VALUE!</v>
      </c>
      <c r="S163" s="372" t="e">
        <v>#VALUE!</v>
      </c>
      <c r="T163" s="372">
        <v>1.3558427036093681E-3</v>
      </c>
      <c r="U163" s="372">
        <v>1.4893997674210574E-3</v>
      </c>
      <c r="V163" s="372">
        <v>1.8464886825304702E-3</v>
      </c>
      <c r="W163" s="372" t="e">
        <v>#VALUE!</v>
      </c>
    </row>
    <row r="164" spans="2:23" ht="15" customHeight="1">
      <c r="B164" s="372" t="s">
        <v>370</v>
      </c>
      <c r="C164" s="530" t="s">
        <v>1246</v>
      </c>
      <c r="D164" s="372"/>
      <c r="E164" s="373"/>
      <c r="F164" s="372"/>
      <c r="G164" s="372">
        <v>22.02</v>
      </c>
      <c r="H164" s="372">
        <v>23.106000000000002</v>
      </c>
      <c r="I164" s="372">
        <v>46.183</v>
      </c>
      <c r="J164" s="372">
        <v>45.7</v>
      </c>
      <c r="K164" s="372">
        <v>48.06</v>
      </c>
      <c r="L164" s="372">
        <v>46.6</v>
      </c>
      <c r="M164" s="372">
        <v>45.9</v>
      </c>
      <c r="N164" s="372">
        <v>45.78</v>
      </c>
      <c r="O164" s="372"/>
      <c r="P164" s="372">
        <v>8.4679280110752187E-4</v>
      </c>
      <c r="Q164" s="372">
        <v>7.6776873234756611E-4</v>
      </c>
      <c r="R164" s="372">
        <v>1.3647055347064212E-3</v>
      </c>
      <c r="S164" s="372">
        <v>1.2418815728688281E-3</v>
      </c>
      <c r="T164" s="372">
        <v>1.3474640423921272E-3</v>
      </c>
      <c r="U164" s="372">
        <v>1.2731544724332005E-3</v>
      </c>
      <c r="V164" s="372">
        <v>1.1682361924153729E-3</v>
      </c>
      <c r="W164" s="372">
        <v>1.1156873735773645E-3</v>
      </c>
    </row>
    <row r="165" spans="2:23" ht="15" customHeight="1">
      <c r="B165" s="372" t="s">
        <v>371</v>
      </c>
      <c r="C165" s="530" t="s">
        <v>1249</v>
      </c>
      <c r="D165" s="372"/>
      <c r="E165" s="373"/>
      <c r="F165" s="372"/>
      <c r="G165" s="372" t="s">
        <v>1270</v>
      </c>
      <c r="H165" s="372" t="s">
        <v>1270</v>
      </c>
      <c r="I165" s="372" t="s">
        <v>1270</v>
      </c>
      <c r="J165" s="372" t="s">
        <v>1270</v>
      </c>
      <c r="K165" s="372" t="s">
        <v>1270</v>
      </c>
      <c r="L165" s="372" t="s">
        <v>1270</v>
      </c>
      <c r="M165" s="372" t="s">
        <v>1270</v>
      </c>
      <c r="N165" s="372" t="s">
        <v>1270</v>
      </c>
      <c r="O165" s="372"/>
      <c r="P165" s="372" t="e">
        <v>#VALUE!</v>
      </c>
      <c r="Q165" s="372" t="e">
        <v>#VALUE!</v>
      </c>
      <c r="R165" s="372" t="e">
        <v>#VALUE!</v>
      </c>
      <c r="S165" s="372" t="e">
        <v>#VALUE!</v>
      </c>
      <c r="T165" s="372" t="e">
        <v>#VALUE!</v>
      </c>
      <c r="U165" s="372" t="e">
        <v>#VALUE!</v>
      </c>
      <c r="V165" s="372" t="e">
        <v>#VALUE!</v>
      </c>
      <c r="W165" s="372" t="e">
        <v>#VALUE!</v>
      </c>
    </row>
    <row r="166" spans="2:23" ht="15" customHeight="1">
      <c r="B166" s="372" t="s">
        <v>372</v>
      </c>
      <c r="C166" s="530" t="s">
        <v>1252</v>
      </c>
      <c r="D166" s="372"/>
      <c r="E166" s="373"/>
      <c r="F166" s="372"/>
      <c r="G166" s="372" t="s">
        <v>1270</v>
      </c>
      <c r="H166" s="372" t="s">
        <v>1270</v>
      </c>
      <c r="I166" s="372" t="s">
        <v>1270</v>
      </c>
      <c r="J166" s="372" t="s">
        <v>1270</v>
      </c>
      <c r="K166" s="372" t="s">
        <v>1270</v>
      </c>
      <c r="L166" s="372" t="s">
        <v>1270</v>
      </c>
      <c r="M166" s="372" t="s">
        <v>1270</v>
      </c>
      <c r="N166" s="372" t="s">
        <v>1270</v>
      </c>
      <c r="O166" s="372"/>
      <c r="P166" s="372" t="e">
        <v>#VALUE!</v>
      </c>
      <c r="Q166" s="372" t="e">
        <v>#VALUE!</v>
      </c>
      <c r="R166" s="372" t="e">
        <v>#VALUE!</v>
      </c>
      <c r="S166" s="372" t="e">
        <v>#VALUE!</v>
      </c>
      <c r="T166" s="372" t="e">
        <v>#VALUE!</v>
      </c>
      <c r="U166" s="372" t="e">
        <v>#VALUE!</v>
      </c>
      <c r="V166" s="372" t="e">
        <v>#VALUE!</v>
      </c>
      <c r="W166" s="372" t="e">
        <v>#VALUE!</v>
      </c>
    </row>
    <row r="167" spans="2:23" ht="15" customHeight="1">
      <c r="B167" s="372" t="s">
        <v>373</v>
      </c>
      <c r="C167" s="530" t="s">
        <v>1255</v>
      </c>
      <c r="D167" s="372"/>
      <c r="E167" s="373"/>
      <c r="F167" s="372"/>
      <c r="G167" s="372" t="s">
        <v>1270</v>
      </c>
      <c r="H167" s="372" t="s">
        <v>1270</v>
      </c>
      <c r="I167" s="372" t="s">
        <v>1270</v>
      </c>
      <c r="J167" s="372" t="s">
        <v>1270</v>
      </c>
      <c r="K167" s="372" t="s">
        <v>1270</v>
      </c>
      <c r="L167" s="372" t="s">
        <v>1270</v>
      </c>
      <c r="M167" s="372" t="s">
        <v>1270</v>
      </c>
      <c r="N167" s="372" t="s">
        <v>1270</v>
      </c>
      <c r="O167" s="372"/>
      <c r="P167" s="372" t="e">
        <v>#VALUE!</v>
      </c>
      <c r="Q167" s="372" t="e">
        <v>#VALUE!</v>
      </c>
      <c r="R167" s="372" t="e">
        <v>#VALUE!</v>
      </c>
      <c r="S167" s="372" t="e">
        <v>#VALUE!</v>
      </c>
      <c r="T167" s="372" t="e">
        <v>#VALUE!</v>
      </c>
      <c r="U167" s="372" t="e">
        <v>#VALUE!</v>
      </c>
      <c r="V167" s="372" t="e">
        <v>#VALUE!</v>
      </c>
      <c r="W167" s="372" t="e">
        <v>#VALUE!</v>
      </c>
    </row>
    <row r="168" spans="2:23" ht="15" customHeight="1">
      <c r="B168" s="372"/>
      <c r="C168" s="372"/>
      <c r="D168" s="372"/>
      <c r="E168" s="373"/>
      <c r="F168" s="372"/>
      <c r="G168" s="372"/>
      <c r="H168" s="372"/>
      <c r="I168" s="372"/>
      <c r="J168" s="372"/>
      <c r="K168" s="372"/>
      <c r="L168" s="372"/>
      <c r="M168" s="372"/>
      <c r="N168" s="372"/>
      <c r="O168" s="372"/>
      <c r="P168" s="372"/>
      <c r="Q168" s="372"/>
      <c r="R168" s="372"/>
      <c r="S168" s="372"/>
      <c r="T168" s="372"/>
      <c r="U168" s="372"/>
      <c r="V168" s="372"/>
      <c r="W168" s="372"/>
    </row>
    <row r="169" spans="2:23" ht="15" customHeight="1">
      <c r="B169" s="376" t="s">
        <v>462</v>
      </c>
      <c r="C169" s="531" t="s">
        <v>1275</v>
      </c>
      <c r="D169" s="377"/>
      <c r="E169" s="32"/>
      <c r="F169" s="380"/>
      <c r="G169" s="380">
        <v>2017</v>
      </c>
      <c r="H169" s="380">
        <v>2018</v>
      </c>
      <c r="I169" s="380">
        <v>2019</v>
      </c>
      <c r="J169" s="380">
        <v>2020</v>
      </c>
      <c r="K169" s="380">
        <v>2021</v>
      </c>
      <c r="L169" s="380">
        <v>2022</v>
      </c>
      <c r="M169" s="380">
        <v>2023</v>
      </c>
      <c r="N169" s="380">
        <v>2024</v>
      </c>
      <c r="O169" s="372"/>
      <c r="P169" s="372"/>
      <c r="Q169" s="372"/>
      <c r="R169" s="372"/>
      <c r="S169" s="372"/>
      <c r="T169" s="372"/>
      <c r="U169" s="372"/>
      <c r="V169" s="372"/>
      <c r="W169" s="372"/>
    </row>
    <row r="170" spans="2:23" ht="3.95" customHeight="1">
      <c r="B170" s="381"/>
      <c r="C170" s="381"/>
      <c r="D170" s="381"/>
      <c r="E170" s="382"/>
      <c r="F170" s="383"/>
      <c r="G170" s="383"/>
      <c r="H170" s="383"/>
      <c r="I170" s="383"/>
      <c r="J170" s="383"/>
      <c r="K170" s="383"/>
      <c r="L170" s="383"/>
      <c r="M170" s="383"/>
      <c r="N170" s="383"/>
      <c r="O170" s="372"/>
      <c r="P170" s="372"/>
      <c r="Q170" s="372"/>
      <c r="R170" s="372"/>
      <c r="S170" s="372"/>
      <c r="T170" s="372"/>
      <c r="U170" s="372"/>
      <c r="V170" s="372"/>
      <c r="W170" s="372"/>
    </row>
    <row r="171" spans="2:23" ht="15" customHeight="1">
      <c r="B171" s="372" t="s">
        <v>368</v>
      </c>
      <c r="C171" s="530" t="s">
        <v>465</v>
      </c>
      <c r="D171" s="372"/>
      <c r="E171" s="373"/>
      <c r="F171" s="372"/>
      <c r="G171" s="372">
        <v>49960</v>
      </c>
      <c r="H171" s="372">
        <v>53762</v>
      </c>
      <c r="I171" s="372">
        <v>59812</v>
      </c>
      <c r="J171" s="372">
        <v>65398</v>
      </c>
      <c r="K171" s="372">
        <v>67044</v>
      </c>
      <c r="L171" s="372">
        <v>65984</v>
      </c>
      <c r="M171" s="372">
        <v>67571</v>
      </c>
      <c r="N171" s="372">
        <v>71043</v>
      </c>
      <c r="O171" s="372"/>
      <c r="P171" s="372"/>
      <c r="Q171" s="372"/>
      <c r="R171" s="372"/>
      <c r="S171" s="372"/>
      <c r="T171" s="372"/>
      <c r="U171" s="372"/>
      <c r="V171" s="372"/>
      <c r="W171" s="372"/>
    </row>
    <row r="172" spans="2:23" ht="15" customHeight="1">
      <c r="B172" s="372" t="s">
        <v>369</v>
      </c>
      <c r="C172" s="530" t="s">
        <v>1243</v>
      </c>
      <c r="D172" s="372"/>
      <c r="E172" s="373"/>
      <c r="F172" s="372"/>
      <c r="G172" s="372">
        <v>59452</v>
      </c>
      <c r="H172" s="372">
        <v>66501</v>
      </c>
      <c r="I172" s="372">
        <v>45349</v>
      </c>
      <c r="J172" s="372">
        <v>56587</v>
      </c>
      <c r="K172" s="372">
        <v>64388</v>
      </c>
      <c r="L172" s="372">
        <v>67074</v>
      </c>
      <c r="M172" s="372">
        <v>68920</v>
      </c>
      <c r="N172" s="372">
        <v>80738</v>
      </c>
      <c r="O172" s="372"/>
      <c r="P172" s="372"/>
      <c r="Q172" s="372"/>
      <c r="R172" s="372"/>
      <c r="S172" s="372"/>
      <c r="T172" s="372"/>
      <c r="U172" s="372"/>
      <c r="V172" s="372"/>
      <c r="W172" s="372"/>
    </row>
    <row r="173" spans="2:23" ht="15" customHeight="1">
      <c r="B173" s="372" t="s">
        <v>370</v>
      </c>
      <c r="C173" s="530" t="s">
        <v>1246</v>
      </c>
      <c r="D173" s="372"/>
      <c r="E173" s="373"/>
      <c r="F173" s="372"/>
      <c r="G173" s="372">
        <v>26004</v>
      </c>
      <c r="H173" s="372">
        <v>30095</v>
      </c>
      <c r="I173" s="372">
        <v>33841</v>
      </c>
      <c r="J173" s="372">
        <v>36799</v>
      </c>
      <c r="K173" s="372">
        <v>35667</v>
      </c>
      <c r="L173" s="372">
        <v>36602</v>
      </c>
      <c r="M173" s="372">
        <v>39290</v>
      </c>
      <c r="N173" s="372">
        <v>41033</v>
      </c>
      <c r="O173" s="372"/>
      <c r="P173" s="372"/>
      <c r="Q173" s="372"/>
      <c r="R173" s="372"/>
      <c r="S173" s="372"/>
      <c r="T173" s="372"/>
      <c r="U173" s="372"/>
      <c r="V173" s="372"/>
      <c r="W173" s="372"/>
    </row>
    <row r="174" spans="2:23" ht="15" customHeight="1">
      <c r="B174" s="372" t="s">
        <v>371</v>
      </c>
      <c r="C174" s="530" t="s">
        <v>1249</v>
      </c>
      <c r="D174" s="372"/>
      <c r="E174" s="373"/>
      <c r="F174" s="372"/>
      <c r="G174" s="372">
        <v>228.94</v>
      </c>
      <c r="H174" s="372">
        <v>268.42399999999998</v>
      </c>
      <c r="I174" s="372">
        <v>314.274</v>
      </c>
      <c r="J174" s="372">
        <v>367.29599999999999</v>
      </c>
      <c r="K174" s="372">
        <v>394.91199999999998</v>
      </c>
      <c r="L174" s="372">
        <v>445.73200000000003</v>
      </c>
      <c r="M174" s="372">
        <v>540.53599999999994</v>
      </c>
      <c r="N174" s="372">
        <v>716.72</v>
      </c>
      <c r="O174" s="372"/>
      <c r="P174" s="372"/>
      <c r="Q174" s="372"/>
      <c r="R174" s="372"/>
      <c r="S174" s="372"/>
      <c r="T174" s="372"/>
      <c r="U174" s="372"/>
      <c r="V174" s="372"/>
      <c r="W174" s="372"/>
    </row>
    <row r="175" spans="2:23" ht="15" customHeight="1">
      <c r="B175" s="372" t="s">
        <v>372</v>
      </c>
      <c r="C175" s="530" t="s">
        <v>1252</v>
      </c>
      <c r="D175" s="372"/>
      <c r="E175" s="373"/>
      <c r="F175" s="372"/>
      <c r="G175" s="372" t="s">
        <v>1270</v>
      </c>
      <c r="H175" s="372" t="s">
        <v>1270</v>
      </c>
      <c r="I175" s="372" t="s">
        <v>1270</v>
      </c>
      <c r="J175" s="372" t="s">
        <v>1270</v>
      </c>
      <c r="K175" s="372">
        <v>2879</v>
      </c>
      <c r="L175" s="372">
        <v>2693</v>
      </c>
      <c r="M175" s="372">
        <v>2826</v>
      </c>
      <c r="N175" s="372">
        <v>3234</v>
      </c>
      <c r="O175" s="372"/>
      <c r="P175" s="372"/>
      <c r="Q175" s="372"/>
      <c r="R175" s="372"/>
      <c r="S175" s="372"/>
      <c r="T175" s="372"/>
      <c r="U175" s="372"/>
      <c r="V175" s="372"/>
      <c r="W175" s="372"/>
    </row>
    <row r="176" spans="2:23" ht="15" customHeight="1">
      <c r="B176" s="372" t="s">
        <v>373</v>
      </c>
      <c r="C176" s="530" t="s">
        <v>1255</v>
      </c>
      <c r="D176" s="372"/>
      <c r="E176" s="373"/>
      <c r="F176" s="372"/>
      <c r="G176" s="372">
        <v>2271.0259999999998</v>
      </c>
      <c r="H176" s="372">
        <v>2411.835</v>
      </c>
      <c r="I176" s="372">
        <v>2487.9609999999998</v>
      </c>
      <c r="J176" s="372">
        <v>2391.3359999999998</v>
      </c>
      <c r="K176" s="372">
        <v>2505.931</v>
      </c>
      <c r="L176" s="372">
        <v>2557.0250000000001</v>
      </c>
      <c r="M176" s="372">
        <v>2845.373</v>
      </c>
      <c r="N176" s="372">
        <v>3121.1889999999999</v>
      </c>
      <c r="O176" s="372"/>
      <c r="P176" s="372"/>
      <c r="Q176" s="372"/>
      <c r="R176" s="372"/>
      <c r="S176" s="372"/>
      <c r="T176" s="372"/>
      <c r="U176" s="372"/>
      <c r="V176" s="372"/>
      <c r="W176" s="372"/>
    </row>
  </sheetData>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499984740745262"/>
  </sheetPr>
  <dimension ref="B3:AR1051"/>
  <sheetViews>
    <sheetView showGridLines="0" zoomScale="70" zoomScaleNormal="70" workbookViewId="0">
      <selection activeCell="E4" sqref="E4"/>
    </sheetView>
  </sheetViews>
  <sheetFormatPr defaultColWidth="9" defaultRowHeight="14.1"/>
  <cols>
    <col min="1" max="1" width="9" style="4"/>
    <col min="2" max="2" width="10.5" style="4" bestFit="1" customWidth="1"/>
    <col min="3" max="8" width="9.125" style="4" bestFit="1" customWidth="1"/>
    <col min="9" max="9" width="10.5" style="4" bestFit="1" customWidth="1"/>
    <col min="10" max="15" width="9.125" style="4" bestFit="1" customWidth="1"/>
    <col min="16" max="16" width="9" style="4"/>
    <col min="17" max="17" width="11.5" style="4" bestFit="1" customWidth="1"/>
    <col min="18" max="23" width="9.125" style="4" bestFit="1" customWidth="1"/>
    <col min="24" max="24" width="9" style="4"/>
    <col min="25" max="30" width="9.125" style="4" bestFit="1" customWidth="1"/>
    <col min="31" max="31" width="9" style="4"/>
    <col min="32" max="37" width="9.125" style="4" bestFit="1" customWidth="1"/>
    <col min="38" max="38" width="9" style="4"/>
    <col min="39" max="39" width="9.125" style="4" bestFit="1" customWidth="1"/>
    <col min="40" max="40" width="11" style="4" bestFit="1" customWidth="1"/>
    <col min="41" max="41" width="12.125" style="4" bestFit="1" customWidth="1"/>
    <col min="42" max="42" width="13.375" style="4" bestFit="1" customWidth="1"/>
    <col min="43" max="43" width="12.625" style="4" bestFit="1" customWidth="1"/>
    <col min="44" max="44" width="9.125" style="4" bestFit="1" customWidth="1"/>
    <col min="45" max="16384" width="9" style="4"/>
  </cols>
  <sheetData>
    <row r="3" spans="2:44">
      <c r="B3" s="553"/>
      <c r="C3" s="898" t="s">
        <v>1226</v>
      </c>
      <c r="D3" s="898"/>
      <c r="E3" s="898"/>
      <c r="F3" s="898"/>
      <c r="G3" s="898"/>
      <c r="H3" s="898"/>
      <c r="I3" s="553"/>
      <c r="J3" s="898" t="s">
        <v>1231</v>
      </c>
      <c r="K3" s="898"/>
      <c r="L3" s="898"/>
      <c r="M3" s="898"/>
      <c r="N3" s="898"/>
      <c r="O3" s="898"/>
      <c r="P3" s="553"/>
      <c r="R3" s="899" t="s">
        <v>1276</v>
      </c>
      <c r="S3" s="899"/>
      <c r="T3" s="899"/>
      <c r="U3" s="899"/>
      <c r="V3" s="899"/>
      <c r="W3" s="899"/>
      <c r="Y3" s="898" t="s">
        <v>1277</v>
      </c>
      <c r="Z3" s="898"/>
      <c r="AA3" s="898"/>
      <c r="AB3" s="898"/>
      <c r="AC3" s="898"/>
      <c r="AD3" s="898"/>
      <c r="AF3" s="898" t="s">
        <v>1278</v>
      </c>
      <c r="AG3" s="898"/>
      <c r="AH3" s="898"/>
      <c r="AI3" s="898"/>
      <c r="AJ3" s="898"/>
      <c r="AK3" s="898"/>
      <c r="AN3" s="554" t="s">
        <v>460</v>
      </c>
      <c r="AO3" s="554" t="s">
        <v>1279</v>
      </c>
      <c r="AP3" s="554" t="s">
        <v>1259</v>
      </c>
      <c r="AQ3" s="554" t="s">
        <v>1260</v>
      </c>
      <c r="AR3" s="554" t="s">
        <v>1261</v>
      </c>
    </row>
    <row r="4" spans="2:44">
      <c r="B4" s="553"/>
      <c r="C4" s="4" t="s">
        <v>465</v>
      </c>
      <c r="D4" s="4" t="s">
        <v>1243</v>
      </c>
      <c r="E4" s="4" t="s">
        <v>1246</v>
      </c>
      <c r="F4" s="4" t="s">
        <v>1249</v>
      </c>
      <c r="G4" s="4" t="s">
        <v>1252</v>
      </c>
      <c r="H4" s="4" t="s">
        <v>1255</v>
      </c>
      <c r="I4" s="553"/>
      <c r="J4" s="4" t="s">
        <v>465</v>
      </c>
      <c r="K4" s="4" t="s">
        <v>1243</v>
      </c>
      <c r="L4" s="4" t="s">
        <v>1246</v>
      </c>
      <c r="M4" s="4" t="s">
        <v>1249</v>
      </c>
      <c r="N4" s="4" t="s">
        <v>1252</v>
      </c>
      <c r="O4" s="4" t="s">
        <v>1255</v>
      </c>
      <c r="P4" s="553"/>
      <c r="R4" s="4" t="s">
        <v>465</v>
      </c>
      <c r="S4" s="4" t="s">
        <v>1222</v>
      </c>
      <c r="T4" s="4" t="s">
        <v>1228</v>
      </c>
      <c r="U4" s="4" t="s">
        <v>465</v>
      </c>
      <c r="V4" s="4" t="s">
        <v>1222</v>
      </c>
      <c r="W4" s="4" t="s">
        <v>1228</v>
      </c>
      <c r="Y4" s="4" t="s">
        <v>465</v>
      </c>
      <c r="Z4" s="4" t="s">
        <v>1243</v>
      </c>
      <c r="AA4" s="4" t="s">
        <v>1246</v>
      </c>
      <c r="AB4" s="4" t="s">
        <v>1249</v>
      </c>
      <c r="AC4" s="4" t="s">
        <v>1252</v>
      </c>
      <c r="AD4" s="4" t="s">
        <v>1255</v>
      </c>
      <c r="AF4" s="4" t="s">
        <v>465</v>
      </c>
      <c r="AG4" s="4" t="s">
        <v>1243</v>
      </c>
      <c r="AH4" s="4" t="s">
        <v>1246</v>
      </c>
      <c r="AI4" s="4" t="s">
        <v>1249</v>
      </c>
      <c r="AJ4" s="4" t="s">
        <v>1252</v>
      </c>
      <c r="AK4" s="4" t="s">
        <v>1255</v>
      </c>
      <c r="AM4" s="555">
        <v>45919</v>
      </c>
      <c r="AN4" s="556">
        <v>459.11</v>
      </c>
      <c r="AO4" s="556">
        <v>372</v>
      </c>
      <c r="AP4" s="556">
        <v>233.46505999999999</v>
      </c>
      <c r="AQ4" s="556">
        <v>107186.1436966</v>
      </c>
      <c r="AR4" s="556">
        <v>1.5038</v>
      </c>
    </row>
    <row r="5" spans="2:44">
      <c r="B5" s="557">
        <v>45919</v>
      </c>
      <c r="C5" s="553">
        <v>17.202999999999999</v>
      </c>
      <c r="D5" s="553">
        <v>19.909500000000001</v>
      </c>
      <c r="E5" s="553">
        <v>17.319600000000001</v>
      </c>
      <c r="F5" s="553">
        <v>164.4589</v>
      </c>
      <c r="G5" s="553">
        <v>22.062799999999999</v>
      </c>
      <c r="H5" s="553">
        <v>28.808</v>
      </c>
      <c r="I5" s="557">
        <v>45919</v>
      </c>
      <c r="J5" s="553">
        <v>20.546199999999999</v>
      </c>
      <c r="K5" s="553">
        <v>26.859000000000002</v>
      </c>
      <c r="L5" s="553">
        <v>24.281500000000001</v>
      </c>
      <c r="M5" s="553">
        <v>781.03530000000001</v>
      </c>
      <c r="N5" s="553">
        <v>42.625500000000002</v>
      </c>
      <c r="O5" s="553">
        <v>41.729599999999998</v>
      </c>
      <c r="P5" s="553"/>
      <c r="Q5" s="557">
        <v>45919</v>
      </c>
      <c r="R5" s="4">
        <v>452.5</v>
      </c>
      <c r="S5" s="4">
        <v>23231.11</v>
      </c>
      <c r="T5" s="4">
        <v>2629.21</v>
      </c>
      <c r="U5" s="4">
        <v>1.1319857907639965</v>
      </c>
      <c r="V5" s="4">
        <v>2.0610029498525075</v>
      </c>
      <c r="W5" s="4">
        <v>3.3872842051017775</v>
      </c>
      <c r="Y5" s="553">
        <v>452.5</v>
      </c>
      <c r="Z5" s="4">
        <v>158.24</v>
      </c>
      <c r="AA5" s="4">
        <v>573.03</v>
      </c>
      <c r="AB5" s="4">
        <v>278.55</v>
      </c>
      <c r="AC5" s="4">
        <v>41.44</v>
      </c>
      <c r="AD5" s="4">
        <v>514.72</v>
      </c>
      <c r="AF5" s="4">
        <v>1.1319857907639965</v>
      </c>
      <c r="AG5" s="4">
        <v>1.8835852874657779</v>
      </c>
      <c r="AH5" s="4">
        <v>1.1550928258985265</v>
      </c>
      <c r="AI5" s="4">
        <v>3.6250650702758977</v>
      </c>
      <c r="AJ5" s="4" t="e">
        <v>#DIV/0!</v>
      </c>
      <c r="AK5" s="4">
        <v>3.4860819505587539</v>
      </c>
      <c r="AM5" s="555">
        <v>45918</v>
      </c>
      <c r="AN5" s="556">
        <v>459.11</v>
      </c>
      <c r="AO5" s="556">
        <v>1477595</v>
      </c>
      <c r="AP5" s="556">
        <v>233.46505999999999</v>
      </c>
      <c r="AQ5" s="556">
        <v>107186.1436966</v>
      </c>
      <c r="AR5" s="556">
        <v>1.5038</v>
      </c>
    </row>
    <row r="6" spans="2:44">
      <c r="B6" s="557">
        <v>45912</v>
      </c>
      <c r="C6" s="553">
        <v>17.152899999999999</v>
      </c>
      <c r="D6" s="553">
        <v>19.657299999999999</v>
      </c>
      <c r="E6" s="553">
        <v>17.393999999999998</v>
      </c>
      <c r="F6" s="553">
        <v>143.6848</v>
      </c>
      <c r="G6" s="553">
        <v>22.062799999999999</v>
      </c>
      <c r="H6" s="553">
        <v>28.5</v>
      </c>
      <c r="I6" s="557">
        <v>45912</v>
      </c>
      <c r="J6" s="553">
        <v>20.4754</v>
      </c>
      <c r="K6" s="553">
        <v>26.453399999999998</v>
      </c>
      <c r="L6" s="553">
        <v>24.4057</v>
      </c>
      <c r="M6" s="553">
        <v>681.35550000000001</v>
      </c>
      <c r="N6" s="553">
        <v>43.273600000000002</v>
      </c>
      <c r="O6" s="553">
        <v>41.265099999999997</v>
      </c>
      <c r="P6" s="553"/>
      <c r="Q6" s="557">
        <v>45912</v>
      </c>
      <c r="R6" s="4">
        <v>452.5</v>
      </c>
      <c r="S6" s="4">
        <v>23231.11</v>
      </c>
      <c r="T6" s="4">
        <v>2604.86</v>
      </c>
      <c r="U6" s="4">
        <v>1.1319857907639965</v>
      </c>
      <c r="V6" s="4">
        <v>2.0610029498525075</v>
      </c>
      <c r="W6" s="4">
        <v>3.3559134243751609</v>
      </c>
      <c r="Y6" s="553">
        <v>452.5</v>
      </c>
      <c r="Z6" s="4">
        <v>155.85</v>
      </c>
      <c r="AA6" s="4">
        <v>575.96</v>
      </c>
      <c r="AB6" s="4">
        <v>243</v>
      </c>
      <c r="AC6" s="4">
        <v>42.07</v>
      </c>
      <c r="AD6" s="4">
        <v>508.99</v>
      </c>
      <c r="AF6" s="4">
        <v>1.1319857907639965</v>
      </c>
      <c r="AG6" s="4">
        <v>1.8551362932984168</v>
      </c>
      <c r="AH6" s="4">
        <v>1.1609990122759983</v>
      </c>
      <c r="AI6" s="4">
        <v>3.1624154086413325</v>
      </c>
      <c r="AJ6" s="4" t="e">
        <v>#DIV/0!</v>
      </c>
      <c r="AK6" s="4">
        <v>3.4472739586860817</v>
      </c>
      <c r="AM6" s="555">
        <v>45917</v>
      </c>
      <c r="AN6" s="556">
        <v>463.9</v>
      </c>
      <c r="AO6" s="556">
        <v>1465197</v>
      </c>
      <c r="AP6" s="556">
        <v>233.46505999999999</v>
      </c>
      <c r="AQ6" s="556">
        <v>108304.44133399999</v>
      </c>
      <c r="AR6" s="556">
        <v>1.5194000000000001</v>
      </c>
    </row>
    <row r="7" spans="2:44">
      <c r="B7" s="557">
        <v>45905</v>
      </c>
      <c r="C7" s="553">
        <v>16.9253</v>
      </c>
      <c r="D7" s="553">
        <v>19.833500000000001</v>
      </c>
      <c r="E7" s="553">
        <v>17.5169</v>
      </c>
      <c r="F7" s="553">
        <v>133.79740000000001</v>
      </c>
      <c r="G7" s="553">
        <v>22.062799999999999</v>
      </c>
      <c r="H7" s="553">
        <v>27.032399999999999</v>
      </c>
      <c r="I7" s="557">
        <v>45905</v>
      </c>
      <c r="J7" s="553">
        <v>20.153400000000001</v>
      </c>
      <c r="K7" s="553">
        <v>26.736799999999999</v>
      </c>
      <c r="L7" s="553">
        <v>24.610800000000001</v>
      </c>
      <c r="M7" s="553">
        <v>633.91300000000001</v>
      </c>
      <c r="N7" s="553">
        <v>42.378700000000002</v>
      </c>
      <c r="O7" s="553">
        <v>39.0518</v>
      </c>
      <c r="P7" s="553"/>
      <c r="Q7" s="557">
        <v>45905</v>
      </c>
      <c r="R7" s="4">
        <v>455.46</v>
      </c>
      <c r="S7" s="4">
        <v>23525.29</v>
      </c>
      <c r="T7" s="4">
        <v>2601.09</v>
      </c>
      <c r="U7" s="4">
        <v>1.1393906038925301</v>
      </c>
      <c r="V7" s="4">
        <v>2.0871018253598601</v>
      </c>
      <c r="W7" s="4">
        <v>3.3510564287554754</v>
      </c>
      <c r="Y7" s="553">
        <v>455.46</v>
      </c>
      <c r="Z7" s="4">
        <v>157.52000000000001</v>
      </c>
      <c r="AA7" s="4">
        <v>580.79999999999995</v>
      </c>
      <c r="AB7" s="4">
        <v>226.08</v>
      </c>
      <c r="AC7" s="4">
        <v>41.2</v>
      </c>
      <c r="AD7" s="4">
        <v>481.69</v>
      </c>
      <c r="AF7" s="4">
        <v>1.1393906038925301</v>
      </c>
      <c r="AG7" s="4">
        <v>1.8750148791810499</v>
      </c>
      <c r="AH7" s="4">
        <v>1.170755306496805</v>
      </c>
      <c r="AI7" s="4">
        <v>2.942217595002603</v>
      </c>
      <c r="AJ7" s="4" t="e">
        <v>#DIV/0!</v>
      </c>
      <c r="AK7" s="4">
        <v>3.2623772434812053</v>
      </c>
      <c r="AM7" s="555">
        <v>45916</v>
      </c>
      <c r="AN7" s="556">
        <v>463.9</v>
      </c>
      <c r="AO7" s="556">
        <v>1465197</v>
      </c>
      <c r="AP7" s="556">
        <v>233.46505999999999</v>
      </c>
      <c r="AQ7" s="556">
        <v>108304.44133399999</v>
      </c>
      <c r="AR7" s="556">
        <v>1.5194000000000001</v>
      </c>
    </row>
    <row r="8" spans="2:44">
      <c r="B8" s="557">
        <v>45898</v>
      </c>
      <c r="C8" s="553">
        <v>16.671299999999999</v>
      </c>
      <c r="D8" s="553">
        <v>19.947500000000002</v>
      </c>
      <c r="E8" s="553">
        <v>17.7515</v>
      </c>
      <c r="F8" s="553">
        <v>142.72059999999999</v>
      </c>
      <c r="G8" s="553">
        <v>22.062799999999999</v>
      </c>
      <c r="H8" s="553">
        <v>26.842099999999999</v>
      </c>
      <c r="I8" s="557">
        <v>45898</v>
      </c>
      <c r="J8" s="553">
        <v>19.7942</v>
      </c>
      <c r="K8" s="553">
        <v>26.920100000000001</v>
      </c>
      <c r="L8" s="553">
        <v>25.002300000000002</v>
      </c>
      <c r="M8" s="553">
        <v>676.72900000000004</v>
      </c>
      <c r="N8" s="553">
        <v>42.851799999999997</v>
      </c>
      <c r="O8" s="553">
        <v>38.764800000000001</v>
      </c>
      <c r="P8" s="553"/>
      <c r="Q8" s="557">
        <v>45898</v>
      </c>
      <c r="R8" s="4">
        <v>441.1</v>
      </c>
      <c r="S8" s="4">
        <v>23384.77</v>
      </c>
      <c r="T8" s="4">
        <v>2579.5300000000002</v>
      </c>
      <c r="U8" s="4">
        <v>1.1034672537149148</v>
      </c>
      <c r="V8" s="4">
        <v>2.0746352607181673</v>
      </c>
      <c r="W8" s="4">
        <v>3.323280082452976</v>
      </c>
      <c r="Y8" s="553">
        <v>441.1</v>
      </c>
      <c r="Z8" s="4">
        <v>158.6</v>
      </c>
      <c r="AA8" s="4">
        <v>590.04</v>
      </c>
      <c r="AB8" s="4">
        <v>241.35</v>
      </c>
      <c r="AC8" s="4">
        <v>41.66</v>
      </c>
      <c r="AD8" s="4">
        <v>478.15</v>
      </c>
      <c r="AF8" s="4">
        <v>1.1034672537149148</v>
      </c>
      <c r="AG8" s="4">
        <v>1.8878704916081417</v>
      </c>
      <c r="AH8" s="4">
        <v>1.1893809591001632</v>
      </c>
      <c r="AI8" s="4">
        <v>3.1409422175950024</v>
      </c>
      <c r="AJ8" s="4" t="e">
        <v>#DIV/0!</v>
      </c>
      <c r="AK8" s="4">
        <v>3.2384016254656278</v>
      </c>
      <c r="AM8" s="555">
        <v>45915</v>
      </c>
      <c r="AN8" s="556">
        <v>463.9</v>
      </c>
      <c r="AO8" s="556">
        <v>1465197</v>
      </c>
      <c r="AP8" s="556">
        <v>233.46505999999999</v>
      </c>
      <c r="AQ8" s="556">
        <v>108304.44133399999</v>
      </c>
      <c r="AR8" s="556">
        <v>1.5194000000000001</v>
      </c>
    </row>
    <row r="9" spans="2:44">
      <c r="B9" s="557">
        <v>45891</v>
      </c>
      <c r="C9" s="553">
        <v>16.381699999999999</v>
      </c>
      <c r="D9" s="553">
        <v>19.698399999999999</v>
      </c>
      <c r="E9" s="553">
        <v>17.8124</v>
      </c>
      <c r="F9" s="553">
        <v>141.8382</v>
      </c>
      <c r="G9" s="553">
        <v>22.062799999999999</v>
      </c>
      <c r="H9" s="553">
        <v>26.991599999999998</v>
      </c>
      <c r="I9" s="557">
        <v>45891</v>
      </c>
      <c r="J9" s="553">
        <v>19.384499999999999</v>
      </c>
      <c r="K9" s="553">
        <v>26.519500000000001</v>
      </c>
      <c r="L9" s="553">
        <v>25.103999999999999</v>
      </c>
      <c r="M9" s="553">
        <v>672.49509999999998</v>
      </c>
      <c r="N9" s="553">
        <v>42.368400000000001</v>
      </c>
      <c r="O9" s="553">
        <v>38.990200000000002</v>
      </c>
      <c r="P9" s="553"/>
      <c r="Q9" s="557">
        <v>45891</v>
      </c>
      <c r="R9" s="4">
        <v>431.56</v>
      </c>
      <c r="S9" s="4">
        <v>23839.200000000001</v>
      </c>
      <c r="T9" s="4">
        <v>2593.85</v>
      </c>
      <c r="U9" s="4">
        <v>1.0796017411317356</v>
      </c>
      <c r="V9" s="4">
        <v>2.1149510945505359</v>
      </c>
      <c r="W9" s="4">
        <v>3.3417289358412776</v>
      </c>
      <c r="Y9" s="553">
        <v>431.56</v>
      </c>
      <c r="Z9" s="4">
        <v>156.24</v>
      </c>
      <c r="AA9" s="4">
        <v>592.44000000000005</v>
      </c>
      <c r="AB9" s="4">
        <v>239.84</v>
      </c>
      <c r="AC9" s="4">
        <v>41.19</v>
      </c>
      <c r="AD9" s="4">
        <v>480.93</v>
      </c>
      <c r="AF9" s="4">
        <v>1.0796017411317356</v>
      </c>
      <c r="AG9" s="4">
        <v>1.8597785977859778</v>
      </c>
      <c r="AH9" s="4">
        <v>1.1942187909451916</v>
      </c>
      <c r="AI9" s="4">
        <v>3.1212909942738158</v>
      </c>
      <c r="AJ9" s="4" t="e">
        <v>#DIV/0!</v>
      </c>
      <c r="AK9" s="4">
        <v>3.257229935658652</v>
      </c>
      <c r="AM9" s="555">
        <v>45914</v>
      </c>
      <c r="AN9" s="556">
        <v>456.85</v>
      </c>
      <c r="AO9" s="556">
        <v>1449229</v>
      </c>
      <c r="AP9" s="556">
        <v>233.46505999999999</v>
      </c>
      <c r="AQ9" s="556">
        <v>106658.512661</v>
      </c>
      <c r="AR9" s="556">
        <v>1.4964</v>
      </c>
    </row>
    <row r="10" spans="2:44">
      <c r="B10" s="557">
        <v>45884</v>
      </c>
      <c r="C10" s="553">
        <v>16.116299999999999</v>
      </c>
      <c r="D10" s="553">
        <v>19.471499999999999</v>
      </c>
      <c r="E10" s="553">
        <v>17.597100000000001</v>
      </c>
      <c r="F10" s="553">
        <v>145.81780000000001</v>
      </c>
      <c r="G10" s="553">
        <v>22.062799999999999</v>
      </c>
      <c r="H10" s="553">
        <v>27.337800000000001</v>
      </c>
      <c r="I10" s="557">
        <v>45884</v>
      </c>
      <c r="J10" s="553">
        <v>19.0091</v>
      </c>
      <c r="K10" s="553">
        <v>26.154599999999999</v>
      </c>
      <c r="L10" s="553">
        <v>24.744700000000002</v>
      </c>
      <c r="M10" s="553">
        <v>691.58989999999994</v>
      </c>
      <c r="N10" s="553">
        <v>42.862099999999998</v>
      </c>
      <c r="O10" s="553">
        <v>39.512300000000003</v>
      </c>
      <c r="P10" s="553"/>
      <c r="Q10" s="557">
        <v>45884</v>
      </c>
      <c r="R10" s="4">
        <v>428.24</v>
      </c>
      <c r="S10" s="4">
        <v>23018.560000000001</v>
      </c>
      <c r="T10" s="4">
        <v>2634.03</v>
      </c>
      <c r="U10" s="4">
        <v>1.0712963426227047</v>
      </c>
      <c r="V10" s="4">
        <v>2.0421460731474705</v>
      </c>
      <c r="W10" s="4">
        <v>3.3934939448595722</v>
      </c>
      <c r="Y10" s="553">
        <v>428.24</v>
      </c>
      <c r="Z10" s="4">
        <v>154.09</v>
      </c>
      <c r="AA10" s="4">
        <v>583.96</v>
      </c>
      <c r="AB10" s="4">
        <v>246.65</v>
      </c>
      <c r="AC10" s="4">
        <v>41.67</v>
      </c>
      <c r="AD10" s="4">
        <v>487.37</v>
      </c>
      <c r="AF10" s="4">
        <v>1.0712963426227047</v>
      </c>
      <c r="AG10" s="4">
        <v>1.8341864063801927</v>
      </c>
      <c r="AH10" s="4">
        <v>1.1771251184260922</v>
      </c>
      <c r="AI10" s="4">
        <v>3.2099167100468504</v>
      </c>
      <c r="AJ10" s="4" t="e">
        <v>#DIV/0!</v>
      </c>
      <c r="AK10" s="4">
        <v>3.3008465966813407</v>
      </c>
      <c r="AM10" s="555">
        <v>45913</v>
      </c>
      <c r="AN10" s="556">
        <v>449.06</v>
      </c>
      <c r="AO10" s="556">
        <v>1541829</v>
      </c>
      <c r="AP10" s="556">
        <v>233.46505999999999</v>
      </c>
      <c r="AQ10" s="556">
        <v>104839.81984359999</v>
      </c>
      <c r="AR10" s="556">
        <v>1.4708000000000001</v>
      </c>
    </row>
    <row r="11" spans="2:44">
      <c r="B11" s="557">
        <v>45877</v>
      </c>
      <c r="C11" s="553">
        <v>15.7499</v>
      </c>
      <c r="D11" s="553">
        <v>19.552800000000001</v>
      </c>
      <c r="E11" s="553">
        <v>17.524699999999999</v>
      </c>
      <c r="F11" s="553">
        <v>144.57740000000001</v>
      </c>
      <c r="G11" s="553">
        <v>22.062799999999999</v>
      </c>
      <c r="H11" s="553">
        <v>26.534700000000001</v>
      </c>
      <c r="I11" s="557">
        <v>45877</v>
      </c>
      <c r="J11" s="553">
        <v>18.4909</v>
      </c>
      <c r="K11" s="553">
        <v>26.285299999999999</v>
      </c>
      <c r="L11" s="553">
        <v>24.623899999999999</v>
      </c>
      <c r="M11" s="553">
        <v>693.83299999999997</v>
      </c>
      <c r="N11" s="553">
        <v>42.677</v>
      </c>
      <c r="O11" s="553">
        <v>38.301099999999998</v>
      </c>
      <c r="P11" s="553"/>
      <c r="Q11" s="557">
        <v>45877</v>
      </c>
      <c r="R11" s="4">
        <v>420.13</v>
      </c>
      <c r="S11" s="4">
        <v>23308.3</v>
      </c>
      <c r="T11" s="4">
        <v>2595.2600000000002</v>
      </c>
      <c r="U11" s="4">
        <v>1.0510081553009456</v>
      </c>
      <c r="V11" s="4">
        <v>2.0678510435380484</v>
      </c>
      <c r="W11" s="4">
        <v>3.3435454779695957</v>
      </c>
      <c r="Y11" s="553">
        <v>420.13</v>
      </c>
      <c r="Z11" s="4">
        <v>154.86000000000001</v>
      </c>
      <c r="AA11" s="4">
        <v>581.11</v>
      </c>
      <c r="AB11" s="4">
        <v>247.45</v>
      </c>
      <c r="AC11" s="4">
        <v>41.49</v>
      </c>
      <c r="AD11" s="4">
        <v>472.43</v>
      </c>
      <c r="AF11" s="4">
        <v>1.0510081553009456</v>
      </c>
      <c r="AG11" s="4">
        <v>1.843351981906916</v>
      </c>
      <c r="AH11" s="4">
        <v>1.1713801931101213</v>
      </c>
      <c r="AI11" s="4">
        <v>3.2203279541905254</v>
      </c>
      <c r="AJ11" s="4" t="e">
        <v>#DIV/0!</v>
      </c>
      <c r="AK11" s="4">
        <v>3.1996613613274634</v>
      </c>
      <c r="AM11" s="555">
        <v>45912</v>
      </c>
      <c r="AN11" s="556">
        <v>452.5</v>
      </c>
      <c r="AO11" s="556">
        <v>1645554</v>
      </c>
      <c r="AP11" s="556">
        <v>233.46505999999999</v>
      </c>
      <c r="AQ11" s="556">
        <v>105642.93965</v>
      </c>
      <c r="AR11" s="556">
        <v>1.4821</v>
      </c>
    </row>
    <row r="12" spans="2:44">
      <c r="B12" s="557">
        <v>45870</v>
      </c>
      <c r="C12" s="553">
        <v>15.608000000000001</v>
      </c>
      <c r="D12" s="553">
        <v>19.758600000000001</v>
      </c>
      <c r="E12" s="553">
        <v>17.6601</v>
      </c>
      <c r="F12" s="553">
        <v>139.80529999999999</v>
      </c>
      <c r="G12" s="553">
        <v>22.062799999999999</v>
      </c>
      <c r="H12" s="553">
        <v>27.679500000000001</v>
      </c>
      <c r="I12" s="557">
        <v>45870</v>
      </c>
      <c r="J12" s="553">
        <v>18.290099999999999</v>
      </c>
      <c r="K12" s="553">
        <v>26.616299999999999</v>
      </c>
      <c r="L12" s="553">
        <v>24.849799999999998</v>
      </c>
      <c r="M12" s="553">
        <v>98.787499999999994</v>
      </c>
      <c r="N12" s="553">
        <v>42.862099999999998</v>
      </c>
      <c r="O12" s="553">
        <v>40.015799999999999</v>
      </c>
      <c r="P12" s="553"/>
      <c r="Q12" s="557">
        <v>45870</v>
      </c>
      <c r="R12" s="4">
        <v>410.74</v>
      </c>
      <c r="S12" s="4">
        <v>23063.58</v>
      </c>
      <c r="T12" s="4">
        <v>2594.0500000000002</v>
      </c>
      <c r="U12" s="4">
        <v>1.0275178866263071</v>
      </c>
      <c r="V12" s="4">
        <v>2.0461401290837715</v>
      </c>
      <c r="W12" s="4">
        <v>3.3419866013913939</v>
      </c>
      <c r="Y12" s="553">
        <v>410.74</v>
      </c>
      <c r="Z12" s="4">
        <v>156.81</v>
      </c>
      <c r="AA12" s="4">
        <v>586.44000000000005</v>
      </c>
      <c r="AB12" s="4">
        <v>260.07</v>
      </c>
      <c r="AC12" s="4">
        <v>41.67</v>
      </c>
      <c r="AD12" s="4">
        <v>493.58</v>
      </c>
      <c r="AF12" s="4">
        <v>1.0275178866263071</v>
      </c>
      <c r="AG12" s="4">
        <v>1.8665635043447208</v>
      </c>
      <c r="AH12" s="4">
        <v>1.1821242113326214</v>
      </c>
      <c r="AI12" s="4">
        <v>3.3845653305570012</v>
      </c>
      <c r="AJ12" s="4" t="e">
        <v>#DIV/0!</v>
      </c>
      <c r="AK12" s="4">
        <v>3.3429055198103623</v>
      </c>
      <c r="AM12" s="555">
        <v>45911</v>
      </c>
      <c r="AN12" s="556">
        <v>455.63</v>
      </c>
      <c r="AO12" s="556">
        <v>1373187</v>
      </c>
      <c r="AP12" s="556">
        <v>233.46505999999999</v>
      </c>
      <c r="AQ12" s="556">
        <v>106373.68528779999</v>
      </c>
      <c r="AR12" s="556">
        <v>1.4923999999999999</v>
      </c>
    </row>
    <row r="13" spans="2:44">
      <c r="B13" s="557">
        <v>45863</v>
      </c>
      <c r="C13" s="553">
        <v>15.6129</v>
      </c>
      <c r="D13" s="553">
        <v>19.765999999999998</v>
      </c>
      <c r="E13" s="553">
        <v>17.236000000000001</v>
      </c>
      <c r="F13" s="553">
        <v>146.679</v>
      </c>
      <c r="G13" s="553">
        <v>22.062799999999999</v>
      </c>
      <c r="H13" s="553">
        <v>27.212700000000002</v>
      </c>
      <c r="I13" s="557">
        <v>45863</v>
      </c>
      <c r="J13" s="553">
        <v>18.2971</v>
      </c>
      <c r="K13" s="553">
        <v>26.6282</v>
      </c>
      <c r="L13" s="553">
        <v>24.142099999999999</v>
      </c>
      <c r="M13" s="553">
        <v>103.6534</v>
      </c>
      <c r="N13" s="553">
        <v>49.825800000000001</v>
      </c>
      <c r="O13" s="553">
        <v>39.311999999999998</v>
      </c>
      <c r="P13" s="553"/>
      <c r="Q13" s="557">
        <v>45863</v>
      </c>
      <c r="R13" s="4">
        <v>470.12</v>
      </c>
      <c r="S13" s="4">
        <v>22884.59</v>
      </c>
      <c r="T13" s="4">
        <v>2619.56</v>
      </c>
      <c r="U13" s="4">
        <v>1.1760644418872266</v>
      </c>
      <c r="V13" s="4">
        <v>2.0302606072703884</v>
      </c>
      <c r="W13" s="4">
        <v>3.3748518423086828</v>
      </c>
      <c r="Y13" s="553">
        <v>470.12</v>
      </c>
      <c r="Z13" s="4">
        <v>156.88</v>
      </c>
      <c r="AA13" s="4">
        <v>569.74</v>
      </c>
      <c r="AB13" s="4">
        <v>272.88</v>
      </c>
      <c r="AC13" s="4">
        <v>48.44</v>
      </c>
      <c r="AD13" s="4">
        <v>484.9</v>
      </c>
      <c r="AF13" s="4">
        <v>1.1760644418872266</v>
      </c>
      <c r="AG13" s="4">
        <v>1.8673967384835137</v>
      </c>
      <c r="AH13" s="4">
        <v>1.1484609647443005</v>
      </c>
      <c r="AI13" s="4">
        <v>3.5512753774075998</v>
      </c>
      <c r="AJ13" s="4" t="e">
        <v>#DIV/0!</v>
      </c>
      <c r="AK13" s="4">
        <v>3.2841178462580425</v>
      </c>
      <c r="AM13" s="555">
        <v>45910</v>
      </c>
      <c r="AN13" s="556">
        <v>455.63</v>
      </c>
      <c r="AO13" s="556">
        <v>1373187</v>
      </c>
      <c r="AP13" s="556">
        <v>233.46505999999999</v>
      </c>
      <c r="AQ13" s="556">
        <v>106373.68528779999</v>
      </c>
      <c r="AR13" s="556">
        <v>1.4923999999999999</v>
      </c>
    </row>
    <row r="14" spans="2:44">
      <c r="B14" s="557">
        <v>45856</v>
      </c>
      <c r="C14" s="553">
        <v>16.977900000000002</v>
      </c>
      <c r="D14" s="553">
        <v>19.167200000000001</v>
      </c>
      <c r="E14" s="553">
        <v>16.017299999999999</v>
      </c>
      <c r="F14" s="553">
        <v>147.29599999999999</v>
      </c>
      <c r="G14" s="553">
        <v>22.062799999999999</v>
      </c>
      <c r="H14" s="553">
        <v>27.373000000000001</v>
      </c>
      <c r="I14" s="557">
        <v>45856</v>
      </c>
      <c r="J14" s="553">
        <v>20.155999999999999</v>
      </c>
      <c r="K14" s="553">
        <v>25.715</v>
      </c>
      <c r="L14" s="553">
        <v>21.9938</v>
      </c>
      <c r="M14" s="553">
        <v>104.0902</v>
      </c>
      <c r="N14" s="553">
        <v>49.506900000000002</v>
      </c>
      <c r="O14" s="553">
        <v>39.553600000000003</v>
      </c>
      <c r="P14" s="553"/>
      <c r="Q14" s="557">
        <v>45856</v>
      </c>
      <c r="R14" s="4">
        <v>463.01</v>
      </c>
      <c r="S14" s="4">
        <v>22702.25</v>
      </c>
      <c r="T14" s="4">
        <v>2598.35</v>
      </c>
      <c r="U14" s="4">
        <v>1.1582778806224046</v>
      </c>
      <c r="V14" s="4">
        <v>2.0140838822720517</v>
      </c>
      <c r="W14" s="4">
        <v>3.3475264107188867</v>
      </c>
      <c r="Y14" s="553">
        <v>463.01</v>
      </c>
      <c r="Z14" s="4">
        <v>151.5</v>
      </c>
      <c r="AA14" s="4">
        <v>519.04</v>
      </c>
      <c r="AB14" s="4">
        <v>274.02999999999997</v>
      </c>
      <c r="AC14" s="4">
        <v>48.13</v>
      </c>
      <c r="AD14" s="4">
        <v>487.88</v>
      </c>
      <c r="AF14" s="4">
        <v>1.1582778806224046</v>
      </c>
      <c r="AG14" s="4">
        <v>1.8033567432448516</v>
      </c>
      <c r="AH14" s="4">
        <v>1.0462617670180814</v>
      </c>
      <c r="AI14" s="4">
        <v>3.5662415408641328</v>
      </c>
      <c r="AJ14" s="4" t="e">
        <v>#DIV/0!</v>
      </c>
      <c r="AK14" s="4">
        <v>3.3043007111412122</v>
      </c>
      <c r="AM14" s="555">
        <v>45909</v>
      </c>
      <c r="AN14" s="556">
        <v>455.63</v>
      </c>
      <c r="AO14" s="556">
        <v>1373187</v>
      </c>
      <c r="AP14" s="556">
        <v>233.46505999999999</v>
      </c>
      <c r="AQ14" s="556">
        <v>106373.68528779999</v>
      </c>
      <c r="AR14" s="556">
        <v>1.4923999999999999</v>
      </c>
    </row>
    <row r="15" spans="2:44">
      <c r="B15" s="557">
        <v>45849</v>
      </c>
      <c r="C15" s="553">
        <v>17.087299999999999</v>
      </c>
      <c r="D15" s="553">
        <v>18.679400000000001</v>
      </c>
      <c r="E15" s="553">
        <v>15.904</v>
      </c>
      <c r="F15" s="553">
        <v>141.80670000000001</v>
      </c>
      <c r="G15" s="553">
        <v>22.062799999999999</v>
      </c>
      <c r="H15" s="553">
        <v>26.587399999999999</v>
      </c>
      <c r="I15" s="557">
        <v>45849</v>
      </c>
      <c r="J15" s="553">
        <v>20.310300000000002</v>
      </c>
      <c r="K15" s="553">
        <v>24.929099999999998</v>
      </c>
      <c r="L15" s="553">
        <v>21.805599999999998</v>
      </c>
      <c r="M15" s="553">
        <v>100.2043</v>
      </c>
      <c r="N15" s="553">
        <v>48.930900000000001</v>
      </c>
      <c r="O15" s="553">
        <v>38.369199999999999</v>
      </c>
      <c r="P15" s="553"/>
      <c r="Q15" s="557">
        <v>45849</v>
      </c>
      <c r="R15" s="4">
        <v>465.94</v>
      </c>
      <c r="S15" s="4">
        <v>22478.14</v>
      </c>
      <c r="T15" s="4">
        <v>2510.84</v>
      </c>
      <c r="U15" s="4">
        <v>1.1656076449692299</v>
      </c>
      <c r="V15" s="4">
        <v>1.9942014327855035</v>
      </c>
      <c r="W15" s="4">
        <v>3.2347848492656532</v>
      </c>
      <c r="Y15" s="553">
        <v>465.94</v>
      </c>
      <c r="Z15" s="4">
        <v>146.87</v>
      </c>
      <c r="AA15" s="4">
        <v>514.6</v>
      </c>
      <c r="AB15" s="4">
        <v>263.8</v>
      </c>
      <c r="AC15" s="4">
        <v>47.57</v>
      </c>
      <c r="AD15" s="4">
        <v>473.27</v>
      </c>
      <c r="AF15" s="4">
        <v>1.1656076449692299</v>
      </c>
      <c r="AG15" s="4">
        <v>1.7482442566361147</v>
      </c>
      <c r="AH15" s="4">
        <v>1.0373117781047794</v>
      </c>
      <c r="AI15" s="4">
        <v>3.433107756376887</v>
      </c>
      <c r="AJ15" s="4" t="e">
        <v>#DIV/0!</v>
      </c>
      <c r="AK15" s="4">
        <v>3.2053504910260751</v>
      </c>
      <c r="AM15" s="555">
        <v>45908</v>
      </c>
      <c r="AN15" s="556">
        <v>455.63</v>
      </c>
      <c r="AO15" s="556">
        <v>1373187</v>
      </c>
      <c r="AP15" s="556">
        <v>233.46505999999999</v>
      </c>
      <c r="AQ15" s="556">
        <v>106373.68528779999</v>
      </c>
      <c r="AR15" s="556">
        <v>1.4923999999999999</v>
      </c>
    </row>
    <row r="16" spans="2:44">
      <c r="B16" s="557">
        <v>45842</v>
      </c>
      <c r="C16" s="553">
        <v>14.055</v>
      </c>
      <c r="D16" s="553">
        <v>21.055700000000002</v>
      </c>
      <c r="E16" s="553">
        <v>16.2957</v>
      </c>
      <c r="F16" s="553">
        <v>138.42769999999999</v>
      </c>
      <c r="G16" s="553">
        <v>22.062799999999999</v>
      </c>
      <c r="H16" s="553">
        <v>28.796800000000001</v>
      </c>
      <c r="I16" s="557">
        <v>45842</v>
      </c>
      <c r="J16" s="553">
        <v>16.7409</v>
      </c>
      <c r="K16" s="553">
        <v>25.256599999999999</v>
      </c>
      <c r="L16" s="553">
        <v>21.4069</v>
      </c>
      <c r="M16" s="553">
        <v>105.62479999999999</v>
      </c>
      <c r="N16" s="553">
        <v>48.385100000000001</v>
      </c>
      <c r="O16" s="553">
        <v>41.436599999999999</v>
      </c>
      <c r="P16" s="553"/>
      <c r="Q16" s="557">
        <v>45842</v>
      </c>
      <c r="R16" s="4">
        <v>460.2</v>
      </c>
      <c r="S16" s="4">
        <v>22190.52</v>
      </c>
      <c r="T16" s="4">
        <v>2477.4299999999998</v>
      </c>
      <c r="U16" s="4">
        <v>1.1512483114024115</v>
      </c>
      <c r="V16" s="4">
        <v>1.9686845432164481</v>
      </c>
      <c r="W16" s="4">
        <v>3.1917418191187834</v>
      </c>
      <c r="Y16" s="553">
        <v>460.2</v>
      </c>
      <c r="Z16" s="4">
        <v>144.66</v>
      </c>
      <c r="AA16" s="4">
        <v>494</v>
      </c>
      <c r="AB16" s="4">
        <v>278.07</v>
      </c>
      <c r="AC16" s="4">
        <v>45.04</v>
      </c>
      <c r="AD16" s="4">
        <v>487.7</v>
      </c>
      <c r="AF16" s="4">
        <v>1.1512483114024115</v>
      </c>
      <c r="AG16" s="4">
        <v>1.7219378645399355</v>
      </c>
      <c r="AH16" s="4">
        <v>0.9957870547682881</v>
      </c>
      <c r="AI16" s="4">
        <v>3.6188183237896925</v>
      </c>
      <c r="AJ16" s="4" t="e">
        <v>#DIV/0!</v>
      </c>
      <c r="AK16" s="4">
        <v>3.303081611920081</v>
      </c>
      <c r="AM16" s="555">
        <v>45907</v>
      </c>
      <c r="AN16" s="556">
        <v>456.18</v>
      </c>
      <c r="AO16" s="556">
        <v>1386030</v>
      </c>
      <c r="AP16" s="556">
        <v>233.46505999999999</v>
      </c>
      <c r="AQ16" s="556">
        <v>106502.0910708</v>
      </c>
      <c r="AR16" s="556">
        <v>1.4942</v>
      </c>
    </row>
    <row r="17" spans="2:44">
      <c r="B17" s="557">
        <v>45835</v>
      </c>
      <c r="C17" s="553">
        <v>14.055</v>
      </c>
      <c r="D17" s="553">
        <v>21.055700000000002</v>
      </c>
      <c r="E17" s="553">
        <v>16.2957</v>
      </c>
      <c r="F17" s="553">
        <v>138.42769999999999</v>
      </c>
      <c r="G17" s="553">
        <v>22.062799999999999</v>
      </c>
      <c r="H17" s="553">
        <v>28.796800000000001</v>
      </c>
      <c r="I17" s="557">
        <v>45835</v>
      </c>
      <c r="J17" s="553">
        <v>16.7409</v>
      </c>
      <c r="K17" s="553">
        <v>25.256599999999999</v>
      </c>
      <c r="L17" s="553">
        <v>21.4069</v>
      </c>
      <c r="M17" s="553">
        <v>105.62479999999999</v>
      </c>
      <c r="N17" s="553">
        <v>48.385100000000001</v>
      </c>
      <c r="O17" s="553">
        <v>41.436599999999999</v>
      </c>
      <c r="P17" s="553"/>
      <c r="Q17" s="557">
        <v>45835</v>
      </c>
      <c r="R17" s="4">
        <v>479.34</v>
      </c>
      <c r="S17" s="4">
        <v>21719.08</v>
      </c>
      <c r="T17" s="4">
        <v>2476.2800000000002</v>
      </c>
      <c r="U17" s="4">
        <v>1.1991294341321859</v>
      </c>
      <c r="V17" s="4">
        <v>1.926859626943465</v>
      </c>
      <c r="W17" s="4">
        <v>3.1902602422056172</v>
      </c>
      <c r="Y17" s="553">
        <v>479.34</v>
      </c>
      <c r="Z17" s="4">
        <v>144.66</v>
      </c>
      <c r="AA17" s="4">
        <v>494</v>
      </c>
      <c r="AB17" s="4">
        <v>278.07</v>
      </c>
      <c r="AC17" s="4">
        <v>45.04</v>
      </c>
      <c r="AD17" s="4">
        <v>487.7</v>
      </c>
      <c r="AF17" s="4">
        <v>1.1991294341321859</v>
      </c>
      <c r="AG17" s="4">
        <v>1.7219378645399355</v>
      </c>
      <c r="AH17" s="4">
        <v>0.9957870547682881</v>
      </c>
      <c r="AI17" s="4">
        <v>3.6188183237896925</v>
      </c>
      <c r="AJ17" s="4" t="e">
        <v>#DIV/0!</v>
      </c>
      <c r="AK17" s="4">
        <v>3.303081611920081</v>
      </c>
      <c r="AM17" s="555">
        <v>45906</v>
      </c>
      <c r="AN17" s="556">
        <v>454.47</v>
      </c>
      <c r="AO17" s="556">
        <v>1294214</v>
      </c>
      <c r="AP17" s="556">
        <v>233.46505999999999</v>
      </c>
      <c r="AQ17" s="556">
        <v>106102.86581820001</v>
      </c>
      <c r="AR17" s="556">
        <v>1.4885999999999999</v>
      </c>
    </row>
    <row r="18" spans="2:44">
      <c r="B18" s="557">
        <v>45828</v>
      </c>
      <c r="C18" s="553">
        <v>14.368</v>
      </c>
      <c r="D18" s="553">
        <v>21.294899999999998</v>
      </c>
      <c r="E18" s="553">
        <v>16.396599999999999</v>
      </c>
      <c r="F18" s="553">
        <v>94.392399999999995</v>
      </c>
      <c r="G18" s="553">
        <v>22.062799999999999</v>
      </c>
      <c r="H18" s="553">
        <v>27.622199999999999</v>
      </c>
      <c r="I18" s="557">
        <v>45828</v>
      </c>
      <c r="J18" s="553">
        <v>17.177800000000001</v>
      </c>
      <c r="K18" s="553">
        <v>25.6022</v>
      </c>
      <c r="L18" s="553">
        <v>21.5672</v>
      </c>
      <c r="M18" s="553">
        <v>72.038499999999999</v>
      </c>
      <c r="N18" s="553">
        <v>47.267800000000001</v>
      </c>
      <c r="O18" s="553">
        <v>39.664299999999997</v>
      </c>
      <c r="P18" s="553"/>
      <c r="Q18" s="557">
        <v>45828</v>
      </c>
      <c r="R18" s="4">
        <v>476.9</v>
      </c>
      <c r="S18" s="4">
        <v>21941.919999999998</v>
      </c>
      <c r="T18" s="4">
        <v>2458.62</v>
      </c>
      <c r="U18" s="4">
        <v>1.1930254665532596</v>
      </c>
      <c r="V18" s="4">
        <v>1.9466294053718365</v>
      </c>
      <c r="W18" s="4">
        <v>3.1675083741303784</v>
      </c>
      <c r="Y18" s="553">
        <v>476.9</v>
      </c>
      <c r="Z18" s="4">
        <v>146.63999999999999</v>
      </c>
      <c r="AA18" s="4">
        <v>497.7</v>
      </c>
      <c r="AB18" s="4">
        <v>189.65</v>
      </c>
      <c r="AC18" s="4">
        <v>44</v>
      </c>
      <c r="AD18" s="4">
        <v>466.84</v>
      </c>
      <c r="AF18" s="4">
        <v>1.1930254665532596</v>
      </c>
      <c r="AG18" s="4">
        <v>1.7455064873229376</v>
      </c>
      <c r="AH18" s="4">
        <v>1.0032453788627065</v>
      </c>
      <c r="AI18" s="4">
        <v>2.4681155648099948</v>
      </c>
      <c r="AJ18" s="4" t="e">
        <v>#DIV/0!</v>
      </c>
      <c r="AK18" s="4">
        <v>3.1618015577378933</v>
      </c>
      <c r="AM18" s="555">
        <v>45905</v>
      </c>
      <c r="AN18" s="556">
        <v>455.46</v>
      </c>
      <c r="AO18" s="556">
        <v>2051502</v>
      </c>
      <c r="AP18" s="556">
        <v>233.46505999999999</v>
      </c>
      <c r="AQ18" s="556">
        <v>106333.99622759999</v>
      </c>
      <c r="AR18" s="556">
        <v>1.4918</v>
      </c>
    </row>
    <row r="19" spans="2:44">
      <c r="B19" s="557">
        <v>45821</v>
      </c>
      <c r="C19" s="553">
        <v>14.7834</v>
      </c>
      <c r="D19" s="553">
        <v>21.180099999999999</v>
      </c>
      <c r="E19" s="553">
        <v>16.915099999999999</v>
      </c>
      <c r="F19" s="553">
        <v>97.0976</v>
      </c>
      <c r="G19" s="553">
        <v>22.062799999999999</v>
      </c>
      <c r="H19" s="553">
        <v>27.987100000000002</v>
      </c>
      <c r="I19" s="557">
        <v>45821</v>
      </c>
      <c r="J19" s="553">
        <v>17.757899999999999</v>
      </c>
      <c r="K19" s="553">
        <v>25.436399999999999</v>
      </c>
      <c r="L19" s="553">
        <v>22.391400000000001</v>
      </c>
      <c r="M19" s="553">
        <v>74.108699999999999</v>
      </c>
      <c r="N19" s="553">
        <v>49.491500000000002</v>
      </c>
      <c r="O19" s="553">
        <v>40.2149</v>
      </c>
      <c r="P19" s="553"/>
      <c r="Q19" s="557">
        <v>45821</v>
      </c>
      <c r="R19" s="4">
        <v>480.17</v>
      </c>
      <c r="S19" s="4">
        <v>21662.58</v>
      </c>
      <c r="T19" s="4">
        <v>2572.3000000000002</v>
      </c>
      <c r="U19" s="4">
        <v>1.2012057837594436</v>
      </c>
      <c r="V19" s="4">
        <v>1.9218470956151441</v>
      </c>
      <c r="W19" s="4">
        <v>3.3139654728162844</v>
      </c>
      <c r="Y19" s="553">
        <v>480.17</v>
      </c>
      <c r="Z19" s="4">
        <v>145.69</v>
      </c>
      <c r="AA19" s="4">
        <v>516.72</v>
      </c>
      <c r="AB19" s="4">
        <v>195.1</v>
      </c>
      <c r="AC19" s="4">
        <v>46.07</v>
      </c>
      <c r="AD19" s="4">
        <v>473.32</v>
      </c>
      <c r="AF19" s="4">
        <v>1.2012057837594436</v>
      </c>
      <c r="AG19" s="4">
        <v>1.7341983097250326</v>
      </c>
      <c r="AH19" s="4">
        <v>1.0415851962345544</v>
      </c>
      <c r="AI19" s="4">
        <v>2.5390421655387816</v>
      </c>
      <c r="AJ19" s="4" t="e">
        <v>#DIV/0!</v>
      </c>
      <c r="AK19" s="4">
        <v>3.2056891296986114</v>
      </c>
      <c r="AM19" s="555">
        <v>45904</v>
      </c>
      <c r="AN19" s="556">
        <v>447.72</v>
      </c>
      <c r="AO19" s="556">
        <v>985189</v>
      </c>
      <c r="AP19" s="556">
        <v>233.46505999999999</v>
      </c>
      <c r="AQ19" s="556">
        <v>104526.97666320001</v>
      </c>
      <c r="AR19" s="556">
        <v>1.4663999999999999</v>
      </c>
    </row>
    <row r="20" spans="2:44">
      <c r="B20" s="557">
        <v>45814</v>
      </c>
      <c r="C20" s="553">
        <v>14.659000000000001</v>
      </c>
      <c r="D20" s="553">
        <v>20.3841</v>
      </c>
      <c r="E20" s="553">
        <v>16.1706</v>
      </c>
      <c r="F20" s="553">
        <v>95.007900000000006</v>
      </c>
      <c r="G20" s="553">
        <v>22.062799999999999</v>
      </c>
      <c r="H20" s="553">
        <v>26.815899999999999</v>
      </c>
      <c r="I20" s="557">
        <v>45814</v>
      </c>
      <c r="J20" s="553">
        <v>17.584099999999999</v>
      </c>
      <c r="K20" s="553">
        <v>24.285799999999998</v>
      </c>
      <c r="L20" s="553">
        <v>21.207999999999998</v>
      </c>
      <c r="M20" s="553">
        <v>72.509500000000003</v>
      </c>
      <c r="N20" s="553">
        <v>47.681399999999996</v>
      </c>
      <c r="O20" s="553">
        <v>38.447600000000001</v>
      </c>
      <c r="P20" s="553"/>
      <c r="Q20" s="557">
        <v>45814</v>
      </c>
      <c r="R20" s="4">
        <v>476.85</v>
      </c>
      <c r="S20" s="4">
        <v>21414.99</v>
      </c>
      <c r="T20" s="4">
        <v>2518.52</v>
      </c>
      <c r="U20" s="4">
        <v>1.1929003852504128</v>
      </c>
      <c r="V20" s="4">
        <v>1.899881562312862</v>
      </c>
      <c r="W20" s="4">
        <v>3.2446792063901055</v>
      </c>
      <c r="Y20" s="553">
        <v>476.85</v>
      </c>
      <c r="Z20" s="4">
        <v>139.1</v>
      </c>
      <c r="AA20" s="4">
        <v>489.41</v>
      </c>
      <c r="AB20" s="4">
        <v>190.89</v>
      </c>
      <c r="AC20" s="4">
        <v>44.384999999999998</v>
      </c>
      <c r="AD20" s="4">
        <v>452.52</v>
      </c>
      <c r="AF20" s="4">
        <v>1.1929003852504128</v>
      </c>
      <c r="AG20" s="4">
        <v>1.6557552672300915</v>
      </c>
      <c r="AH20" s="4">
        <v>0.98653470136467181</v>
      </c>
      <c r="AI20" s="4">
        <v>2.4842529932326909</v>
      </c>
      <c r="AJ20" s="4" t="e">
        <v>#DIV/0!</v>
      </c>
      <c r="AK20" s="4">
        <v>3.0648154419234674</v>
      </c>
      <c r="AM20" s="555">
        <v>45903</v>
      </c>
      <c r="AN20" s="556">
        <v>446.2</v>
      </c>
      <c r="AO20" s="556">
        <v>1890334</v>
      </c>
      <c r="AP20" s="556">
        <v>233.46505999999999</v>
      </c>
      <c r="AQ20" s="556">
        <v>104172.109772</v>
      </c>
      <c r="AR20" s="556">
        <v>1.4615</v>
      </c>
    </row>
    <row r="21" spans="2:44">
      <c r="B21" s="557">
        <v>45807</v>
      </c>
      <c r="C21" s="553">
        <v>14.677</v>
      </c>
      <c r="D21" s="553">
        <v>20.067599999999999</v>
      </c>
      <c r="E21" s="553">
        <v>16.0441</v>
      </c>
      <c r="F21" s="553">
        <v>88.624499999999998</v>
      </c>
      <c r="G21" s="553">
        <v>22.062799999999999</v>
      </c>
      <c r="H21" s="553">
        <v>26.117100000000001</v>
      </c>
      <c r="I21" s="557">
        <v>45807</v>
      </c>
      <c r="J21" s="553">
        <v>17.609300000000001</v>
      </c>
      <c r="K21" s="553">
        <v>23.828399999999998</v>
      </c>
      <c r="L21" s="553">
        <v>21.006900000000002</v>
      </c>
      <c r="M21" s="553">
        <v>67.624600000000001</v>
      </c>
      <c r="N21" s="553">
        <v>45.441600000000001</v>
      </c>
      <c r="O21" s="553">
        <v>37.3932</v>
      </c>
      <c r="P21" s="553"/>
      <c r="Q21" s="557">
        <v>45807</v>
      </c>
      <c r="R21" s="4">
        <v>475.82</v>
      </c>
      <c r="S21" s="4">
        <v>21367.37</v>
      </c>
      <c r="T21" s="4">
        <v>2435.25</v>
      </c>
      <c r="U21" s="4">
        <v>1.1903237104117677</v>
      </c>
      <c r="V21" s="4">
        <v>1.8956568412180894</v>
      </c>
      <c r="W21" s="4">
        <v>3.1374001545993297</v>
      </c>
      <c r="Y21" s="553">
        <v>475.82</v>
      </c>
      <c r="Z21" s="4">
        <v>136.47999999999999</v>
      </c>
      <c r="AA21" s="4">
        <v>484.77</v>
      </c>
      <c r="AB21" s="4">
        <v>178.03</v>
      </c>
      <c r="AC21" s="4">
        <v>42.3</v>
      </c>
      <c r="AD21" s="4">
        <v>440.11</v>
      </c>
      <c r="AF21" s="4">
        <v>1.1903237104117677</v>
      </c>
      <c r="AG21" s="4">
        <v>1.6245685037495534</v>
      </c>
      <c r="AH21" s="4">
        <v>0.97718155979761734</v>
      </c>
      <c r="AI21" s="4">
        <v>2.316892243623113</v>
      </c>
      <c r="AJ21" s="4" t="e">
        <v>#DIV/0!</v>
      </c>
      <c r="AK21" s="4">
        <v>2.9807653233999321</v>
      </c>
      <c r="AM21" s="555">
        <v>45902</v>
      </c>
      <c r="AN21" s="556">
        <v>446.2</v>
      </c>
      <c r="AO21" s="556">
        <v>1890334</v>
      </c>
      <c r="AP21" s="556">
        <v>233.46505999999999</v>
      </c>
      <c r="AQ21" s="556">
        <v>104172.109772</v>
      </c>
      <c r="AR21" s="556">
        <v>1.4615</v>
      </c>
    </row>
    <row r="22" spans="2:44">
      <c r="B22" s="557">
        <v>45800</v>
      </c>
      <c r="C22" s="553">
        <v>14.324</v>
      </c>
      <c r="D22" s="553">
        <v>19.5688</v>
      </c>
      <c r="E22" s="553">
        <v>15.6813</v>
      </c>
      <c r="F22" s="553">
        <v>84.177000000000007</v>
      </c>
      <c r="G22" s="553">
        <v>22.062799999999999</v>
      </c>
      <c r="H22" s="553">
        <v>25.4605</v>
      </c>
      <c r="I22" s="557">
        <v>45800</v>
      </c>
      <c r="J22" s="553">
        <v>17.116499999999998</v>
      </c>
      <c r="K22" s="553">
        <v>23.107299999999999</v>
      </c>
      <c r="L22" s="553">
        <v>20.430099999999999</v>
      </c>
      <c r="M22" s="553">
        <v>64.221199999999996</v>
      </c>
      <c r="N22" s="553">
        <v>44.088000000000001</v>
      </c>
      <c r="O22" s="553">
        <v>36.402500000000003</v>
      </c>
      <c r="P22" s="553"/>
      <c r="Q22" s="557">
        <v>45800</v>
      </c>
      <c r="R22" s="4">
        <v>459.83</v>
      </c>
      <c r="S22" s="4">
        <v>21197.7</v>
      </c>
      <c r="T22" s="4">
        <v>2323.89</v>
      </c>
      <c r="U22" s="4">
        <v>1.1503227097613449</v>
      </c>
      <c r="V22" s="4">
        <v>1.8806041652804579</v>
      </c>
      <c r="W22" s="4">
        <v>2.9939319762947689</v>
      </c>
      <c r="Y22" s="553">
        <v>459.83</v>
      </c>
      <c r="Z22" s="4">
        <v>132.35</v>
      </c>
      <c r="AA22" s="4">
        <v>471.46</v>
      </c>
      <c r="AB22" s="4">
        <v>169.07</v>
      </c>
      <c r="AC22" s="4">
        <v>41.04</v>
      </c>
      <c r="AD22" s="4">
        <v>428.45</v>
      </c>
      <c r="AF22" s="4">
        <v>1.1503227097613449</v>
      </c>
      <c r="AG22" s="4">
        <v>1.5754076895607665</v>
      </c>
      <c r="AH22" s="4">
        <v>0.9503517506903989</v>
      </c>
      <c r="AI22" s="4">
        <v>2.2002863092139511</v>
      </c>
      <c r="AJ22" s="4" t="e">
        <v>#DIV/0!</v>
      </c>
      <c r="AK22" s="4">
        <v>2.9017947849644425</v>
      </c>
      <c r="AM22" s="555">
        <v>45901</v>
      </c>
      <c r="AN22" s="556">
        <v>446.2</v>
      </c>
      <c r="AO22" s="556">
        <v>1890334</v>
      </c>
      <c r="AP22" s="556">
        <v>233.46505999999999</v>
      </c>
      <c r="AQ22" s="556">
        <v>104172.109772</v>
      </c>
      <c r="AR22" s="556">
        <v>1.4615</v>
      </c>
    </row>
    <row r="23" spans="2:44">
      <c r="B23" s="557">
        <v>45793</v>
      </c>
      <c r="C23" s="553">
        <v>14.3094</v>
      </c>
      <c r="D23" s="553">
        <v>19.9468</v>
      </c>
      <c r="E23" s="553">
        <v>15.7279</v>
      </c>
      <c r="F23" s="553">
        <v>81.704999999999998</v>
      </c>
      <c r="G23" s="553">
        <v>22.062799999999999</v>
      </c>
      <c r="H23" s="553">
        <v>24.427900000000001</v>
      </c>
      <c r="I23" s="557">
        <v>45793</v>
      </c>
      <c r="J23" s="553">
        <v>17.0961</v>
      </c>
      <c r="K23" s="553">
        <v>23.6538</v>
      </c>
      <c r="L23" s="553">
        <v>20.504200000000001</v>
      </c>
      <c r="M23" s="553">
        <v>62.329500000000003</v>
      </c>
      <c r="N23" s="553">
        <v>44.764800000000001</v>
      </c>
      <c r="O23" s="553">
        <v>34.844299999999997</v>
      </c>
      <c r="P23" s="553"/>
      <c r="Q23" s="557">
        <v>45793</v>
      </c>
      <c r="R23" s="4">
        <v>468.21</v>
      </c>
      <c r="S23" s="4">
        <v>19791.349999999999</v>
      </c>
      <c r="T23" s="4">
        <v>2320.6</v>
      </c>
      <c r="U23" s="4">
        <v>1.1712863361184769</v>
      </c>
      <c r="V23" s="4">
        <v>1.7558364938895912</v>
      </c>
      <c r="W23" s="4">
        <v>2.9896933779953616</v>
      </c>
      <c r="Y23" s="553">
        <v>468.21</v>
      </c>
      <c r="Z23" s="4">
        <v>135.47999999999999</v>
      </c>
      <c r="AA23" s="4">
        <v>473.17</v>
      </c>
      <c r="AB23" s="4">
        <v>164.09</v>
      </c>
      <c r="AC23" s="4">
        <v>41.67</v>
      </c>
      <c r="AD23" s="4">
        <v>410.11</v>
      </c>
      <c r="AF23" s="4">
        <v>1.1712863361184769</v>
      </c>
      <c r="AG23" s="4">
        <v>1.6126651589096535</v>
      </c>
      <c r="AH23" s="4">
        <v>0.9537987058799815</v>
      </c>
      <c r="AI23" s="4">
        <v>2.1354763144195732</v>
      </c>
      <c r="AJ23" s="4" t="e">
        <v>#DIV/0!</v>
      </c>
      <c r="AK23" s="4">
        <v>2.7775821198780899</v>
      </c>
      <c r="AM23" s="555">
        <v>45900</v>
      </c>
      <c r="AN23" s="556">
        <v>447.2</v>
      </c>
      <c r="AO23" s="556">
        <v>1026288</v>
      </c>
      <c r="AP23" s="556">
        <v>233.46505999999999</v>
      </c>
      <c r="AQ23" s="556">
        <v>104405.574832</v>
      </c>
      <c r="AR23" s="556">
        <v>1.4646999999999999</v>
      </c>
    </row>
    <row r="24" spans="2:44">
      <c r="B24" s="557">
        <v>45786</v>
      </c>
      <c r="C24" s="553">
        <v>14.445399999999999</v>
      </c>
      <c r="D24" s="553">
        <v>19.124199999999998</v>
      </c>
      <c r="E24" s="553">
        <v>15.9855</v>
      </c>
      <c r="F24" s="553">
        <v>82.39</v>
      </c>
      <c r="G24" s="553">
        <v>22.062799999999999</v>
      </c>
      <c r="H24" s="553">
        <v>22.991499999999998</v>
      </c>
      <c r="I24" s="557">
        <v>45786</v>
      </c>
      <c r="J24" s="553">
        <v>17.285900000000002</v>
      </c>
      <c r="K24" s="553">
        <v>22.4648</v>
      </c>
      <c r="L24" s="553">
        <v>20.913699999999999</v>
      </c>
      <c r="M24" s="553">
        <v>62.853700000000003</v>
      </c>
      <c r="N24" s="553">
        <v>44.872199999999999</v>
      </c>
      <c r="O24" s="553">
        <v>32.676900000000003</v>
      </c>
      <c r="P24" s="553"/>
      <c r="Q24" s="557">
        <v>45786</v>
      </c>
      <c r="R24" s="4">
        <v>475.88</v>
      </c>
      <c r="S24" s="4">
        <v>19544.95</v>
      </c>
      <c r="T24" s="4">
        <v>2175.9299999999998</v>
      </c>
      <c r="U24" s="4">
        <v>1.1904738079751838</v>
      </c>
      <c r="V24" s="4">
        <v>1.7339765342559941</v>
      </c>
      <c r="W24" s="4">
        <v>2.8033110023189898</v>
      </c>
      <c r="Y24" s="553">
        <v>475.88</v>
      </c>
      <c r="Z24" s="4">
        <v>128.66999999999999</v>
      </c>
      <c r="AA24" s="4">
        <v>482.62</v>
      </c>
      <c r="AB24" s="4">
        <v>165.47</v>
      </c>
      <c r="AC24" s="4">
        <v>41.77</v>
      </c>
      <c r="AD24" s="4">
        <v>384.6</v>
      </c>
      <c r="AF24" s="4">
        <v>1.1904738079751838</v>
      </c>
      <c r="AG24" s="4">
        <v>1.5316033805499343</v>
      </c>
      <c r="AH24" s="4">
        <v>0.97284766876977968</v>
      </c>
      <c r="AI24" s="4">
        <v>2.1534357105674129</v>
      </c>
      <c r="AJ24" s="4" t="e">
        <v>#DIV/0!</v>
      </c>
      <c r="AK24" s="4">
        <v>2.604808669150017</v>
      </c>
      <c r="AM24" s="555">
        <v>45899</v>
      </c>
      <c r="AN24" s="556">
        <v>446</v>
      </c>
      <c r="AO24" s="556">
        <v>1282792</v>
      </c>
      <c r="AP24" s="556">
        <v>233.46505999999999</v>
      </c>
      <c r="AQ24" s="556">
        <v>104125.41675999999</v>
      </c>
      <c r="AR24" s="556">
        <v>1.4608000000000001</v>
      </c>
    </row>
    <row r="25" spans="2:44">
      <c r="B25" s="557">
        <v>45779</v>
      </c>
      <c r="C25" s="553">
        <v>14.426500000000001</v>
      </c>
      <c r="D25" s="553">
        <v>19.310300000000002</v>
      </c>
      <c r="E25" s="553">
        <v>16.2254</v>
      </c>
      <c r="F25" s="553">
        <v>48.983199999999997</v>
      </c>
      <c r="G25" s="553">
        <v>22.062799999999999</v>
      </c>
      <c r="H25" s="553">
        <v>21.4755</v>
      </c>
      <c r="I25" s="557">
        <v>45779</v>
      </c>
      <c r="J25" s="553">
        <v>17.259599999999999</v>
      </c>
      <c r="K25" s="553">
        <v>22.733699999999999</v>
      </c>
      <c r="L25" s="553">
        <v>21.295100000000001</v>
      </c>
      <c r="M25" s="553">
        <v>60.316299999999998</v>
      </c>
      <c r="N25" s="553">
        <v>45.119300000000003</v>
      </c>
      <c r="O25" s="553">
        <v>30.388000000000002</v>
      </c>
      <c r="P25" s="553"/>
      <c r="Q25" s="557">
        <v>45779</v>
      </c>
      <c r="R25" s="4">
        <v>462.08</v>
      </c>
      <c r="S25" s="4">
        <v>18276.41</v>
      </c>
      <c r="T25" s="4">
        <v>2078.96</v>
      </c>
      <c r="U25" s="4">
        <v>1.1559513683894531</v>
      </c>
      <c r="V25" s="4">
        <v>1.621435003437798</v>
      </c>
      <c r="W25" s="4">
        <v>2.6783818603452718</v>
      </c>
      <c r="Y25" s="553">
        <v>462.08</v>
      </c>
      <c r="Z25" s="4">
        <v>130.21</v>
      </c>
      <c r="AA25" s="4">
        <v>491.42</v>
      </c>
      <c r="AB25" s="4">
        <v>158.79</v>
      </c>
      <c r="AC25" s="4">
        <v>42</v>
      </c>
      <c r="AD25" s="4">
        <v>357.66</v>
      </c>
      <c r="AF25" s="4">
        <v>1.1559513683894531</v>
      </c>
      <c r="AG25" s="4">
        <v>1.5499345316033806</v>
      </c>
      <c r="AH25" s="4">
        <v>0.99058638553488287</v>
      </c>
      <c r="AI25" s="4">
        <v>2.0665018219677251</v>
      </c>
      <c r="AJ25" s="4" t="e">
        <v>#DIV/0!</v>
      </c>
      <c r="AK25" s="4">
        <v>2.4223501523874029</v>
      </c>
      <c r="AM25" s="555">
        <v>45898</v>
      </c>
      <c r="AN25" s="556">
        <v>441.1</v>
      </c>
      <c r="AO25" s="556">
        <v>1248122</v>
      </c>
      <c r="AP25" s="556">
        <v>233.46505999999999</v>
      </c>
      <c r="AQ25" s="556">
        <v>102981.437966</v>
      </c>
      <c r="AR25" s="556">
        <v>1.4448000000000001</v>
      </c>
    </row>
    <row r="26" spans="2:44">
      <c r="B26" s="557">
        <v>45772</v>
      </c>
      <c r="C26" s="553">
        <v>14.553100000000001</v>
      </c>
      <c r="D26" s="553">
        <v>18.7075</v>
      </c>
      <c r="E26" s="553">
        <v>15.7288</v>
      </c>
      <c r="F26" s="553">
        <v>51.814999999999998</v>
      </c>
      <c r="G26" s="553">
        <v>22.062799999999999</v>
      </c>
      <c r="H26" s="553">
        <v>20.3842</v>
      </c>
      <c r="I26" s="557">
        <v>45772</v>
      </c>
      <c r="J26" s="553">
        <v>17.436299999999999</v>
      </c>
      <c r="K26" s="553">
        <v>21.862500000000001</v>
      </c>
      <c r="L26" s="553">
        <v>20.505500000000001</v>
      </c>
      <c r="M26" s="553">
        <v>94.174300000000002</v>
      </c>
      <c r="N26" s="553">
        <v>40.016500000000001</v>
      </c>
      <c r="O26" s="553">
        <v>28.741399999999999</v>
      </c>
      <c r="P26" s="553"/>
      <c r="Q26" s="557">
        <v>45772</v>
      </c>
      <c r="R26" s="4">
        <v>469.58</v>
      </c>
      <c r="S26" s="4">
        <v>18830.23</v>
      </c>
      <c r="T26" s="4">
        <v>2142.2399999999998</v>
      </c>
      <c r="U26" s="4">
        <v>1.1747135638164807</v>
      </c>
      <c r="V26" s="4">
        <v>1.6705684565395791</v>
      </c>
      <c r="W26" s="4">
        <v>2.759907240401958</v>
      </c>
      <c r="Y26" s="553">
        <v>469.58</v>
      </c>
      <c r="Z26" s="4">
        <v>125.22</v>
      </c>
      <c r="AA26" s="4">
        <v>473.2</v>
      </c>
      <c r="AB26" s="4">
        <v>149.59</v>
      </c>
      <c r="AC26" s="4">
        <v>37.25</v>
      </c>
      <c r="AD26" s="4">
        <v>338.28</v>
      </c>
      <c r="AF26" s="4">
        <v>1.1747135638164807</v>
      </c>
      <c r="AG26" s="4">
        <v>1.4905368408522794</v>
      </c>
      <c r="AH26" s="4">
        <v>0.95385917877804438</v>
      </c>
      <c r="AI26" s="4">
        <v>1.9467725143154606</v>
      </c>
      <c r="AJ26" s="4" t="e">
        <v>#DIV/0!</v>
      </c>
      <c r="AK26" s="4">
        <v>2.2910938029122923</v>
      </c>
      <c r="AM26" s="555">
        <v>45897</v>
      </c>
      <c r="AN26" s="556">
        <v>440.64</v>
      </c>
      <c r="AO26" s="556">
        <v>1154395</v>
      </c>
      <c r="AP26" s="556">
        <v>233.46505999999999</v>
      </c>
      <c r="AQ26" s="556">
        <v>102874.0440384</v>
      </c>
      <c r="AR26" s="556">
        <v>1.4433</v>
      </c>
    </row>
    <row r="27" spans="2:44">
      <c r="B27" s="557">
        <v>45765</v>
      </c>
      <c r="C27" s="553">
        <v>14.4961</v>
      </c>
      <c r="D27" s="553">
        <v>19.064699999999998</v>
      </c>
      <c r="E27" s="553">
        <v>17.4071</v>
      </c>
      <c r="F27" s="553">
        <v>50.689100000000003</v>
      </c>
      <c r="G27" s="553">
        <v>22.062799999999999</v>
      </c>
      <c r="H27" s="553">
        <v>19.1662</v>
      </c>
      <c r="I27" s="557">
        <v>45765</v>
      </c>
      <c r="J27" s="553">
        <v>17.336300000000001</v>
      </c>
      <c r="K27" s="553">
        <v>22.3932</v>
      </c>
      <c r="L27" s="553">
        <v>23.139800000000001</v>
      </c>
      <c r="M27" s="553">
        <v>92.122</v>
      </c>
      <c r="N27" s="553">
        <v>37.706800000000001</v>
      </c>
      <c r="O27" s="553">
        <v>26.903600000000001</v>
      </c>
      <c r="P27" s="553"/>
      <c r="Q27" s="557">
        <v>45765</v>
      </c>
      <c r="R27" s="4">
        <v>443.36</v>
      </c>
      <c r="S27" s="4">
        <v>17090.400000000001</v>
      </c>
      <c r="T27" s="4">
        <v>2011.54</v>
      </c>
      <c r="U27" s="4">
        <v>1.1091209286035923</v>
      </c>
      <c r="V27" s="4">
        <v>1.5162153170536963</v>
      </c>
      <c r="W27" s="4">
        <v>2.591522803401185</v>
      </c>
      <c r="Y27" s="553">
        <v>443.36</v>
      </c>
      <c r="Z27" s="4">
        <v>128.26</v>
      </c>
      <c r="AA27" s="4">
        <v>533.99</v>
      </c>
      <c r="AB27" s="4">
        <v>146.33000000000001</v>
      </c>
      <c r="AC27" s="4">
        <v>35.1</v>
      </c>
      <c r="AD27" s="4">
        <v>316.64999999999998</v>
      </c>
      <c r="AF27" s="4">
        <v>1.1091209286035923</v>
      </c>
      <c r="AG27" s="4">
        <v>1.5267230091655752</v>
      </c>
      <c r="AH27" s="4">
        <v>1.0763974278860691</v>
      </c>
      <c r="AI27" s="4">
        <v>1.9043466944299845</v>
      </c>
      <c r="AJ27" s="4" t="e">
        <v>#DIV/0!</v>
      </c>
      <c r="AK27" s="4">
        <v>2.144598713173044</v>
      </c>
      <c r="AM27" s="555">
        <v>45896</v>
      </c>
      <c r="AN27" s="556">
        <v>437.56</v>
      </c>
      <c r="AO27" s="556">
        <v>1501663</v>
      </c>
      <c r="AP27" s="556">
        <v>233.46505999999999</v>
      </c>
      <c r="AQ27" s="556">
        <v>102154.97165360001</v>
      </c>
      <c r="AR27" s="556">
        <v>1.4332</v>
      </c>
    </row>
    <row r="28" spans="2:44">
      <c r="B28" s="557">
        <v>45758</v>
      </c>
      <c r="C28" s="553">
        <v>14.4961</v>
      </c>
      <c r="D28" s="553">
        <v>19.064699999999998</v>
      </c>
      <c r="E28" s="553">
        <v>17.4071</v>
      </c>
      <c r="F28" s="553">
        <v>50.689100000000003</v>
      </c>
      <c r="G28" s="553">
        <v>22.062799999999999</v>
      </c>
      <c r="H28" s="553">
        <v>19.1662</v>
      </c>
      <c r="I28" s="557">
        <v>45758</v>
      </c>
      <c r="J28" s="553">
        <v>17.336300000000001</v>
      </c>
      <c r="K28" s="553">
        <v>22.3932</v>
      </c>
      <c r="L28" s="553">
        <v>23.139800000000001</v>
      </c>
      <c r="M28" s="553">
        <v>92.122</v>
      </c>
      <c r="N28" s="553">
        <v>37.706800000000001</v>
      </c>
      <c r="O28" s="553">
        <v>26.903600000000001</v>
      </c>
      <c r="P28" s="553"/>
      <c r="Q28" s="557">
        <v>45758</v>
      </c>
      <c r="R28" s="4">
        <v>448.64</v>
      </c>
      <c r="S28" s="4">
        <v>19436.419999999998</v>
      </c>
      <c r="T28" s="4">
        <v>2253.37</v>
      </c>
      <c r="U28" s="4">
        <v>1.1223295141842198</v>
      </c>
      <c r="V28" s="4">
        <v>1.7243480382371856</v>
      </c>
      <c r="W28" s="4">
        <v>2.9030791033238854</v>
      </c>
      <c r="Y28" s="553">
        <v>448.64</v>
      </c>
      <c r="Z28" s="4">
        <v>128.26</v>
      </c>
      <c r="AA28" s="4">
        <v>533.99</v>
      </c>
      <c r="AB28" s="4">
        <v>146.33000000000001</v>
      </c>
      <c r="AC28" s="4">
        <v>35.1</v>
      </c>
      <c r="AD28" s="4">
        <v>316.64999999999998</v>
      </c>
      <c r="AF28" s="4">
        <v>1.1223295141842198</v>
      </c>
      <c r="AG28" s="4">
        <v>1.5267230091655752</v>
      </c>
      <c r="AH28" s="4">
        <v>1.0763974278860691</v>
      </c>
      <c r="AI28" s="4">
        <v>1.9043466944299845</v>
      </c>
      <c r="AJ28" s="4" t="e">
        <v>#DIV/0!</v>
      </c>
      <c r="AK28" s="4">
        <v>2.144598713173044</v>
      </c>
      <c r="AM28" s="555">
        <v>45895</v>
      </c>
      <c r="AN28" s="556">
        <v>437.56</v>
      </c>
      <c r="AO28" s="556">
        <v>1501663</v>
      </c>
      <c r="AP28" s="556">
        <v>233.46505999999999</v>
      </c>
      <c r="AQ28" s="556">
        <v>102154.97165360001</v>
      </c>
      <c r="AR28" s="556">
        <v>1.4332</v>
      </c>
    </row>
    <row r="29" spans="2:44">
      <c r="B29" s="557">
        <v>45751</v>
      </c>
      <c r="C29" s="553">
        <v>13.377000000000001</v>
      </c>
      <c r="D29" s="553">
        <v>17.759799999999998</v>
      </c>
      <c r="E29" s="553">
        <v>16.0839</v>
      </c>
      <c r="F29" s="553">
        <v>38.711199999999998</v>
      </c>
      <c r="G29" s="553">
        <v>22.062799999999999</v>
      </c>
      <c r="H29" s="553">
        <v>17.281500000000001</v>
      </c>
      <c r="I29" s="557">
        <v>45751</v>
      </c>
      <c r="J29" s="553">
        <v>15.775700000000001</v>
      </c>
      <c r="K29" s="553">
        <v>20.5059</v>
      </c>
      <c r="L29" s="553">
        <v>21.039400000000001</v>
      </c>
      <c r="M29" s="553">
        <v>70.289199999999994</v>
      </c>
      <c r="N29" s="553">
        <v>32.389200000000002</v>
      </c>
      <c r="O29" s="553">
        <v>24.059899999999999</v>
      </c>
      <c r="P29" s="553"/>
      <c r="Q29" s="557">
        <v>45751</v>
      </c>
      <c r="R29" s="4">
        <v>442.07</v>
      </c>
      <c r="S29" s="4">
        <v>20287.830000000002</v>
      </c>
      <c r="T29" s="4">
        <v>2287.69</v>
      </c>
      <c r="U29" s="4">
        <v>1.1058938309901436</v>
      </c>
      <c r="V29" s="4">
        <v>1.7998828930733917</v>
      </c>
      <c r="W29" s="4">
        <v>2.9472945117237823</v>
      </c>
      <c r="Y29" s="553">
        <v>442.07</v>
      </c>
      <c r="Z29" s="4">
        <v>117.45</v>
      </c>
      <c r="AA29" s="4">
        <v>485.52</v>
      </c>
      <c r="AB29" s="4">
        <v>111.65</v>
      </c>
      <c r="AC29" s="4">
        <v>30.15</v>
      </c>
      <c r="AD29" s="4">
        <v>283.18</v>
      </c>
      <c r="AF29" s="4">
        <v>1.1058938309901436</v>
      </c>
      <c r="AG29" s="4">
        <v>1.3980478514462564</v>
      </c>
      <c r="AH29" s="4">
        <v>0.97869338224918867</v>
      </c>
      <c r="AI29" s="4">
        <v>1.4530192608016659</v>
      </c>
      <c r="AJ29" s="4" t="e">
        <v>#DIV/0!</v>
      </c>
      <c r="AK29" s="4">
        <v>1.9179139857771756</v>
      </c>
      <c r="AM29" s="555">
        <v>45894</v>
      </c>
      <c r="AN29" s="556">
        <v>437.56</v>
      </c>
      <c r="AO29" s="556">
        <v>1501663</v>
      </c>
      <c r="AP29" s="556">
        <v>233.46505999999999</v>
      </c>
      <c r="AQ29" s="556">
        <v>102154.97165360001</v>
      </c>
      <c r="AR29" s="556">
        <v>1.4332</v>
      </c>
    </row>
    <row r="30" spans="2:44">
      <c r="B30" s="557">
        <v>45744</v>
      </c>
      <c r="C30" s="553">
        <v>14.284700000000001</v>
      </c>
      <c r="D30" s="553">
        <v>19.752500000000001</v>
      </c>
      <c r="E30" s="553">
        <v>15.363300000000001</v>
      </c>
      <c r="F30" s="553">
        <v>41.9163</v>
      </c>
      <c r="G30" s="553">
        <v>22.062799999999999</v>
      </c>
      <c r="H30" s="553">
        <v>20.1004</v>
      </c>
      <c r="I30" s="557">
        <v>45744</v>
      </c>
      <c r="J30" s="553">
        <v>16.6602</v>
      </c>
      <c r="K30" s="553">
        <v>22.6721</v>
      </c>
      <c r="L30" s="553">
        <v>19.6417</v>
      </c>
      <c r="M30" s="553">
        <v>76.131399999999999</v>
      </c>
      <c r="N30" s="553">
        <v>38.029499999999999</v>
      </c>
      <c r="O30" s="553">
        <v>28.752500000000001</v>
      </c>
      <c r="P30" s="553"/>
      <c r="Q30" s="557">
        <v>45744</v>
      </c>
      <c r="R30" s="4">
        <v>469.28</v>
      </c>
      <c r="S30" s="4">
        <v>19483.36</v>
      </c>
      <c r="T30" s="4">
        <v>2333.4699999999998</v>
      </c>
      <c r="U30" s="4">
        <v>1.1739630759993995</v>
      </c>
      <c r="V30" s="4">
        <v>1.7285124315212812</v>
      </c>
      <c r="W30" s="4">
        <v>3.0062741561453228</v>
      </c>
      <c r="Y30" s="553">
        <v>469.28</v>
      </c>
      <c r="Z30" s="4">
        <v>131.72</v>
      </c>
      <c r="AA30" s="4">
        <v>512.19000000000005</v>
      </c>
      <c r="AB30" s="4">
        <v>120.93</v>
      </c>
      <c r="AC30" s="4">
        <v>32.83</v>
      </c>
      <c r="AD30" s="4">
        <v>316.8</v>
      </c>
      <c r="AF30" s="4">
        <v>1.1739630759993995</v>
      </c>
      <c r="AG30" s="4">
        <v>1.5679085823116294</v>
      </c>
      <c r="AH30" s="4">
        <v>1.0324537886270637</v>
      </c>
      <c r="AI30" s="4">
        <v>1.5737896928682977</v>
      </c>
      <c r="AJ30" s="4" t="e">
        <v>#DIV/0!</v>
      </c>
      <c r="AK30" s="4">
        <v>2.1456146291906535</v>
      </c>
      <c r="AM30" s="555">
        <v>45893</v>
      </c>
      <c r="AN30" s="556">
        <v>437.32</v>
      </c>
      <c r="AO30" s="556">
        <v>1733619</v>
      </c>
      <c r="AP30" s="556">
        <v>233.46505999999999</v>
      </c>
      <c r="AQ30" s="556">
        <v>102098.9400392</v>
      </c>
      <c r="AR30" s="556">
        <v>1.4323999999999999</v>
      </c>
    </row>
    <row r="31" spans="2:44">
      <c r="B31" s="557">
        <v>45737</v>
      </c>
      <c r="C31" s="553">
        <v>14.2774</v>
      </c>
      <c r="D31" s="553">
        <v>19.832100000000001</v>
      </c>
      <c r="E31" s="553">
        <v>14.821899999999999</v>
      </c>
      <c r="F31" s="553">
        <v>43.325499999999998</v>
      </c>
      <c r="G31" s="553">
        <v>22.180199999999999</v>
      </c>
      <c r="H31" s="553">
        <v>20.588000000000001</v>
      </c>
      <c r="I31" s="557">
        <v>45737</v>
      </c>
      <c r="J31" s="553">
        <v>16.592600000000001</v>
      </c>
      <c r="K31" s="553">
        <v>22.783999999999999</v>
      </c>
      <c r="L31" s="553">
        <v>18.818300000000001</v>
      </c>
      <c r="M31" s="553">
        <v>78.7</v>
      </c>
      <c r="N31" s="553">
        <v>38.226399999999998</v>
      </c>
      <c r="O31" s="553">
        <v>29.524899999999999</v>
      </c>
      <c r="P31" s="553"/>
      <c r="Q31" s="557">
        <v>45737</v>
      </c>
      <c r="R31" s="4">
        <v>468.88</v>
      </c>
      <c r="S31" s="4">
        <v>19376.96</v>
      </c>
      <c r="T31" s="4">
        <v>2147.39</v>
      </c>
      <c r="U31" s="4">
        <v>1.1729624255766247</v>
      </c>
      <c r="V31" s="4">
        <v>1.7190729034976822</v>
      </c>
      <c r="W31" s="4">
        <v>2.7665421283174436</v>
      </c>
      <c r="Y31" s="553">
        <v>468.88</v>
      </c>
      <c r="Z31" s="4">
        <v>132.37</v>
      </c>
      <c r="AA31" s="4">
        <v>490.72</v>
      </c>
      <c r="AB31" s="4">
        <v>125.01</v>
      </c>
      <c r="AC31" s="4">
        <v>33</v>
      </c>
      <c r="AD31" s="4">
        <v>325.31</v>
      </c>
      <c r="AF31" s="4">
        <v>1.1729624255766247</v>
      </c>
      <c r="AG31" s="4">
        <v>1.5756457564575646</v>
      </c>
      <c r="AH31" s="4">
        <v>0.98917535124674971</v>
      </c>
      <c r="AI31" s="4">
        <v>1.6268870380010412</v>
      </c>
      <c r="AJ31" s="4" t="e">
        <v>#DIV/0!</v>
      </c>
      <c r="AK31" s="4">
        <v>2.2032509312563495</v>
      </c>
      <c r="AM31" s="555">
        <v>45892</v>
      </c>
      <c r="AN31" s="556">
        <v>442.57</v>
      </c>
      <c r="AO31" s="556">
        <v>1890577</v>
      </c>
      <c r="AP31" s="556">
        <v>233.46505999999999</v>
      </c>
      <c r="AQ31" s="556">
        <v>103324.6316042</v>
      </c>
      <c r="AR31" s="556">
        <v>1.4496</v>
      </c>
    </row>
    <row r="32" spans="2:44">
      <c r="B32" s="557">
        <v>45730</v>
      </c>
      <c r="C32" s="553">
        <v>15.004300000000001</v>
      </c>
      <c r="D32" s="553">
        <v>19.540700000000001</v>
      </c>
      <c r="E32" s="553">
        <v>14.675800000000001</v>
      </c>
      <c r="F32" s="553">
        <v>44.859000000000002</v>
      </c>
      <c r="G32" s="553">
        <v>21.648499999999999</v>
      </c>
      <c r="H32" s="553">
        <v>20.431100000000001</v>
      </c>
      <c r="I32" s="557">
        <v>45730</v>
      </c>
      <c r="J32" s="553">
        <v>17.5915</v>
      </c>
      <c r="K32" s="553">
        <v>22.374300000000002</v>
      </c>
      <c r="L32" s="553">
        <v>18.596299999999999</v>
      </c>
      <c r="M32" s="553">
        <v>81.495199999999997</v>
      </c>
      <c r="N32" s="553">
        <v>37.334499999999998</v>
      </c>
      <c r="O32" s="553">
        <v>29.284400000000002</v>
      </c>
      <c r="P32" s="553"/>
      <c r="Q32" s="557">
        <v>45730</v>
      </c>
      <c r="R32" s="4">
        <v>448.82</v>
      </c>
      <c r="S32" s="4">
        <v>20352.53</v>
      </c>
      <c r="T32" s="4">
        <v>2219.39</v>
      </c>
      <c r="U32" s="4">
        <v>1.1227798068744683</v>
      </c>
      <c r="V32" s="4">
        <v>1.8056229068245835</v>
      </c>
      <c r="W32" s="4">
        <v>2.8593017263591856</v>
      </c>
      <c r="Y32" s="553">
        <v>448.82</v>
      </c>
      <c r="Z32" s="4">
        <v>129.99</v>
      </c>
      <c r="AA32" s="4">
        <v>484.93</v>
      </c>
      <c r="AB32" s="4">
        <v>129.44999999999999</v>
      </c>
      <c r="AC32" s="4">
        <v>32.229999999999997</v>
      </c>
      <c r="AD32" s="4">
        <v>322.66000000000003</v>
      </c>
      <c r="AF32" s="4">
        <v>1.1227798068744683</v>
      </c>
      <c r="AG32" s="4">
        <v>1.5473157957386026</v>
      </c>
      <c r="AH32" s="4">
        <v>0.97750408192061933</v>
      </c>
      <c r="AI32" s="4">
        <v>1.6846694429984381</v>
      </c>
      <c r="AJ32" s="4" t="e">
        <v>#DIV/0!</v>
      </c>
      <c r="AK32" s="4">
        <v>2.1853030816119201</v>
      </c>
      <c r="AM32" s="555">
        <v>45891</v>
      </c>
      <c r="AN32" s="556">
        <v>431.56</v>
      </c>
      <c r="AO32" s="556">
        <v>1493389</v>
      </c>
      <c r="AP32" s="556">
        <v>233.46505999999999</v>
      </c>
      <c r="AQ32" s="556">
        <v>100754.18129359999</v>
      </c>
      <c r="AR32" s="556">
        <v>1.4135</v>
      </c>
    </row>
    <row r="33" spans="2:44">
      <c r="B33" s="557">
        <v>45723</v>
      </c>
      <c r="C33" s="553">
        <v>15.2097</v>
      </c>
      <c r="D33" s="553">
        <v>19.311</v>
      </c>
      <c r="E33" s="553">
        <v>14.7159</v>
      </c>
      <c r="F33" s="553">
        <v>45.853700000000003</v>
      </c>
      <c r="G33" s="553">
        <v>20.9787</v>
      </c>
      <c r="H33" s="553">
        <v>19.9618</v>
      </c>
      <c r="I33" s="557">
        <v>45723</v>
      </c>
      <c r="J33" s="553">
        <v>17.873799999999999</v>
      </c>
      <c r="K33" s="553">
        <v>22.1006</v>
      </c>
      <c r="L33" s="553">
        <v>18.657299999999999</v>
      </c>
      <c r="M33" s="553">
        <v>83.308300000000003</v>
      </c>
      <c r="N33" s="553">
        <v>36.210900000000002</v>
      </c>
      <c r="O33" s="553">
        <v>28.564699999999998</v>
      </c>
      <c r="P33" s="553"/>
      <c r="Q33" s="557">
        <v>45723</v>
      </c>
      <c r="R33" s="4">
        <v>448.46</v>
      </c>
      <c r="S33" s="4">
        <v>21087.25</v>
      </c>
      <c r="T33" s="4">
        <v>1983.26</v>
      </c>
      <c r="U33" s="4">
        <v>1.121879221493971</v>
      </c>
      <c r="V33" s="4">
        <v>1.8708053319138553</v>
      </c>
      <c r="W33" s="4">
        <v>2.5550888946147898</v>
      </c>
      <c r="Y33" s="553">
        <v>448.46</v>
      </c>
      <c r="Z33" s="4">
        <v>128.4</v>
      </c>
      <c r="AA33" s="4">
        <v>486.52</v>
      </c>
      <c r="AB33" s="4">
        <v>132.33000000000001</v>
      </c>
      <c r="AC33" s="4">
        <v>31.26</v>
      </c>
      <c r="AD33" s="4">
        <v>314.73</v>
      </c>
      <c r="AF33" s="4">
        <v>1.121879221493971</v>
      </c>
      <c r="AG33" s="4">
        <v>1.5283894774431614</v>
      </c>
      <c r="AH33" s="4">
        <v>0.98070914551795041</v>
      </c>
      <c r="AI33" s="4">
        <v>1.7221499219156691</v>
      </c>
      <c r="AJ33" s="4" t="e">
        <v>#DIV/0!</v>
      </c>
      <c r="AK33" s="4">
        <v>2.1315949881476466</v>
      </c>
      <c r="AM33" s="555">
        <v>45890</v>
      </c>
      <c r="AN33" s="556">
        <v>426.26</v>
      </c>
      <c r="AO33" s="556">
        <v>1462070</v>
      </c>
      <c r="AP33" s="556">
        <v>233.46505999999999</v>
      </c>
      <c r="AQ33" s="556">
        <v>99516.81647559999</v>
      </c>
      <c r="AR33" s="556">
        <v>1.3962000000000001</v>
      </c>
    </row>
    <row r="34" spans="2:44">
      <c r="B34" s="557">
        <v>45716</v>
      </c>
      <c r="C34" s="553">
        <v>14.570399999999999</v>
      </c>
      <c r="D34" s="553">
        <v>19.8719</v>
      </c>
      <c r="E34" s="553">
        <v>14.090999999999999</v>
      </c>
      <c r="F34" s="553">
        <v>51.798900000000003</v>
      </c>
      <c r="G34" s="553">
        <v>20.359100000000002</v>
      </c>
      <c r="H34" s="553">
        <v>20.3719</v>
      </c>
      <c r="I34" s="557">
        <v>45716</v>
      </c>
      <c r="J34" s="553">
        <v>16.9953</v>
      </c>
      <c r="K34" s="553">
        <v>22.890699999999999</v>
      </c>
      <c r="L34" s="553">
        <v>17.707000000000001</v>
      </c>
      <c r="M34" s="553">
        <v>94.193200000000004</v>
      </c>
      <c r="N34" s="553">
        <v>35.272599999999997</v>
      </c>
      <c r="O34" s="553">
        <v>29.1936</v>
      </c>
      <c r="P34" s="553"/>
      <c r="Q34" s="557">
        <v>45716</v>
      </c>
      <c r="R34" s="4">
        <v>428.54</v>
      </c>
      <c r="S34" s="4">
        <v>22164.61</v>
      </c>
      <c r="T34" s="4">
        <v>2022.02</v>
      </c>
      <c r="U34" s="4">
        <v>1.0720468304397859</v>
      </c>
      <c r="V34" s="4">
        <v>1.966385876194912</v>
      </c>
      <c r="W34" s="4">
        <v>2.6050244782272607</v>
      </c>
      <c r="Y34" s="553">
        <v>428.54</v>
      </c>
      <c r="Z34" s="4">
        <v>132.99</v>
      </c>
      <c r="AA34" s="4">
        <v>461.74</v>
      </c>
      <c r="AB34" s="4">
        <v>149.62</v>
      </c>
      <c r="AC34" s="4">
        <v>30.45</v>
      </c>
      <c r="AD34" s="4">
        <v>321.66000000000003</v>
      </c>
      <c r="AF34" s="4">
        <v>1.0720468304397859</v>
      </c>
      <c r="AG34" s="4">
        <v>1.5830258302583027</v>
      </c>
      <c r="AH34" s="4">
        <v>0.93075853171803513</v>
      </c>
      <c r="AI34" s="4">
        <v>1.9471629359708484</v>
      </c>
      <c r="AJ34" s="4" t="e">
        <v>#DIV/0!</v>
      </c>
      <c r="AK34" s="4">
        <v>2.178530308161192</v>
      </c>
      <c r="AM34" s="555">
        <v>45889</v>
      </c>
      <c r="AN34" s="556">
        <v>425.63</v>
      </c>
      <c r="AO34" s="556">
        <v>1478047</v>
      </c>
      <c r="AP34" s="556">
        <v>233.46505999999999</v>
      </c>
      <c r="AQ34" s="556">
        <v>99369.733487799997</v>
      </c>
      <c r="AR34" s="556">
        <v>1.3940999999999999</v>
      </c>
    </row>
    <row r="35" spans="2:44">
      <c r="B35" s="557">
        <v>45709</v>
      </c>
      <c r="C35" s="553">
        <v>14.305400000000001</v>
      </c>
      <c r="D35" s="553">
        <v>18.686599999999999</v>
      </c>
      <c r="E35" s="553">
        <v>13.743499999999999</v>
      </c>
      <c r="F35" s="553">
        <v>53.583599999999997</v>
      </c>
      <c r="G35" s="553">
        <v>19.257400000000001</v>
      </c>
      <c r="H35" s="553">
        <v>20.0488</v>
      </c>
      <c r="I35" s="557">
        <v>45709</v>
      </c>
      <c r="J35" s="553">
        <v>16.6311</v>
      </c>
      <c r="K35" s="553">
        <v>21.2211</v>
      </c>
      <c r="L35" s="553">
        <v>17.178599999999999</v>
      </c>
      <c r="M35" s="553">
        <v>97.447999999999993</v>
      </c>
      <c r="N35" s="553">
        <v>33.419199999999996</v>
      </c>
      <c r="O35" s="553">
        <v>28.6981</v>
      </c>
      <c r="P35" s="553"/>
      <c r="Q35" s="557">
        <v>45709</v>
      </c>
      <c r="R35" s="4">
        <v>449.36</v>
      </c>
      <c r="S35" s="4">
        <v>21693.52</v>
      </c>
      <c r="T35" s="4">
        <v>1876.76</v>
      </c>
      <c r="U35" s="4">
        <v>1.1241306849452144</v>
      </c>
      <c r="V35" s="4">
        <v>1.9245920110009538</v>
      </c>
      <c r="W35" s="4">
        <v>2.4178819891780465</v>
      </c>
      <c r="Y35" s="553">
        <v>449.36</v>
      </c>
      <c r="Z35" s="4">
        <v>123.29</v>
      </c>
      <c r="AA35" s="4">
        <v>447.96</v>
      </c>
      <c r="AB35" s="4">
        <v>154.79</v>
      </c>
      <c r="AC35" s="4">
        <v>28.85</v>
      </c>
      <c r="AD35" s="4">
        <v>316.2</v>
      </c>
      <c r="AF35" s="4">
        <v>1.1241306849452144</v>
      </c>
      <c r="AG35" s="4">
        <v>1.4675633853112724</v>
      </c>
      <c r="AH35" s="4">
        <v>0.90298131387449854</v>
      </c>
      <c r="AI35" s="4">
        <v>2.0144456012493492</v>
      </c>
      <c r="AJ35" s="4" t="e">
        <v>#DIV/0!</v>
      </c>
      <c r="AK35" s="4">
        <v>2.1415509651202167</v>
      </c>
      <c r="AM35" s="555">
        <v>45888</v>
      </c>
      <c r="AN35" s="556">
        <v>425.63</v>
      </c>
      <c r="AO35" s="556">
        <v>1478047</v>
      </c>
      <c r="AP35" s="556">
        <v>233.46505999999999</v>
      </c>
      <c r="AQ35" s="556">
        <v>99369.733487799997</v>
      </c>
      <c r="AR35" s="556">
        <v>1.3940999999999999</v>
      </c>
    </row>
    <row r="36" spans="2:44">
      <c r="B36" s="557">
        <v>45702</v>
      </c>
      <c r="C36" s="553">
        <v>13.8241</v>
      </c>
      <c r="D36" s="553">
        <v>18.5791</v>
      </c>
      <c r="E36" s="553">
        <v>13.515000000000001</v>
      </c>
      <c r="F36" s="553">
        <v>54.343000000000004</v>
      </c>
      <c r="G36" s="553">
        <v>19.408899999999999</v>
      </c>
      <c r="H36" s="553">
        <v>20.463100000000001</v>
      </c>
      <c r="I36" s="557">
        <v>45702</v>
      </c>
      <c r="J36" s="553">
        <v>15.9696</v>
      </c>
      <c r="K36" s="553">
        <v>21.069600000000001</v>
      </c>
      <c r="L36" s="553">
        <v>16.831099999999999</v>
      </c>
      <c r="M36" s="553">
        <v>98.832999999999998</v>
      </c>
      <c r="N36" s="553">
        <v>33.673999999999999</v>
      </c>
      <c r="O36" s="553">
        <v>29.333400000000001</v>
      </c>
      <c r="P36" s="553"/>
      <c r="Q36" s="557">
        <v>45702</v>
      </c>
      <c r="R36" s="4">
        <v>453.68</v>
      </c>
      <c r="S36" s="4">
        <v>21566.92</v>
      </c>
      <c r="T36" s="4">
        <v>1860.19</v>
      </c>
      <c r="U36" s="4">
        <v>1.1349377095111823</v>
      </c>
      <c r="V36" s="4">
        <v>1.9133603921307691</v>
      </c>
      <c r="W36" s="4">
        <v>2.3965343983509406</v>
      </c>
      <c r="Y36" s="553">
        <v>453.68</v>
      </c>
      <c r="Z36" s="4">
        <v>122.41</v>
      </c>
      <c r="AA36" s="4">
        <v>438.9</v>
      </c>
      <c r="AB36" s="4">
        <v>156.99</v>
      </c>
      <c r="AC36" s="4">
        <v>29.07</v>
      </c>
      <c r="AD36" s="4">
        <v>323.2</v>
      </c>
      <c r="AF36" s="4">
        <v>1.1349377095111823</v>
      </c>
      <c r="AG36" s="4">
        <v>1.4570884418521604</v>
      </c>
      <c r="AH36" s="4">
        <v>0.88471849865951746</v>
      </c>
      <c r="AI36" s="4">
        <v>2.0430765226444558</v>
      </c>
      <c r="AJ36" s="4" t="e">
        <v>#DIV/0!</v>
      </c>
      <c r="AK36" s="4">
        <v>2.1889603792753132</v>
      </c>
      <c r="AM36" s="555">
        <v>45887</v>
      </c>
      <c r="AN36" s="556">
        <v>425.63</v>
      </c>
      <c r="AO36" s="556">
        <v>1478047</v>
      </c>
      <c r="AP36" s="556">
        <v>233.46505999999999</v>
      </c>
      <c r="AQ36" s="556">
        <v>99369.733487799997</v>
      </c>
      <c r="AR36" s="556">
        <v>1.3940999999999999</v>
      </c>
    </row>
    <row r="37" spans="2:44">
      <c r="B37" s="557">
        <v>45695</v>
      </c>
      <c r="C37" s="553">
        <v>14.4062</v>
      </c>
      <c r="D37" s="553">
        <v>19.256</v>
      </c>
      <c r="E37" s="553">
        <v>14.263500000000001</v>
      </c>
      <c r="F37" s="553">
        <v>61.226399999999998</v>
      </c>
      <c r="G37" s="553">
        <v>23.2303</v>
      </c>
      <c r="H37" s="553">
        <v>22.507300000000001</v>
      </c>
      <c r="I37" s="557">
        <v>45695</v>
      </c>
      <c r="J37" s="553">
        <v>16.769600000000001</v>
      </c>
      <c r="K37" s="553">
        <v>22.023199999999999</v>
      </c>
      <c r="L37" s="553">
        <v>17.9693</v>
      </c>
      <c r="M37" s="553">
        <v>111.3862</v>
      </c>
      <c r="N37" s="553">
        <v>40.103000000000002</v>
      </c>
      <c r="O37" s="553">
        <v>32.220399999999998</v>
      </c>
      <c r="P37" s="553"/>
      <c r="Q37" s="557">
        <v>45695</v>
      </c>
      <c r="R37" s="4">
        <v>457.45</v>
      </c>
      <c r="S37" s="4">
        <v>21463.040000000001</v>
      </c>
      <c r="T37" s="4">
        <v>1844.86</v>
      </c>
      <c r="U37" s="4">
        <v>1.1443688397458347</v>
      </c>
      <c r="V37" s="4">
        <v>1.9041444318761507</v>
      </c>
      <c r="W37" s="4">
        <v>2.3767843339345527</v>
      </c>
      <c r="Y37" s="553">
        <v>457.45</v>
      </c>
      <c r="Z37" s="4">
        <v>127.95</v>
      </c>
      <c r="AA37" s="4">
        <v>468.58</v>
      </c>
      <c r="AB37" s="4">
        <v>176.93</v>
      </c>
      <c r="AC37" s="4">
        <v>34.619999999999997</v>
      </c>
      <c r="AD37" s="4">
        <v>355.01</v>
      </c>
      <c r="AF37" s="4">
        <v>1.1443688397458347</v>
      </c>
      <c r="AG37" s="4">
        <v>1.5230329722652065</v>
      </c>
      <c r="AH37" s="4">
        <v>0.9445463524763652</v>
      </c>
      <c r="AI37" s="4">
        <v>2.3025767829255597</v>
      </c>
      <c r="AJ37" s="4" t="e">
        <v>#DIV/0!</v>
      </c>
      <c r="AK37" s="4">
        <v>2.4044023027429731</v>
      </c>
      <c r="AM37" s="555">
        <v>45886</v>
      </c>
      <c r="AN37" s="556">
        <v>430.75</v>
      </c>
      <c r="AO37" s="556">
        <v>1490332</v>
      </c>
      <c r="AP37" s="556">
        <v>233.46505999999999</v>
      </c>
      <c r="AQ37" s="556">
        <v>100565.074595</v>
      </c>
      <c r="AR37" s="556">
        <v>1.4109</v>
      </c>
    </row>
    <row r="38" spans="2:44">
      <c r="B38" s="557">
        <v>45688</v>
      </c>
      <c r="C38" s="553">
        <v>14.915900000000001</v>
      </c>
      <c r="D38" s="553">
        <v>19.365100000000002</v>
      </c>
      <c r="E38" s="553">
        <v>14.7349</v>
      </c>
      <c r="F38" s="553">
        <v>62.338000000000001</v>
      </c>
      <c r="G38" s="553">
        <v>23.595199999999998</v>
      </c>
      <c r="H38" s="553">
        <v>22.026</v>
      </c>
      <c r="I38" s="557">
        <v>45688</v>
      </c>
      <c r="J38" s="553">
        <v>17.47</v>
      </c>
      <c r="K38" s="553">
        <v>22.1953</v>
      </c>
      <c r="L38" s="553">
        <v>18.686</v>
      </c>
      <c r="M38" s="553">
        <v>113.4134</v>
      </c>
      <c r="N38" s="553">
        <v>40.716900000000003</v>
      </c>
      <c r="O38" s="553">
        <v>31.488</v>
      </c>
      <c r="P38" s="553"/>
      <c r="Q38" s="557">
        <v>45688</v>
      </c>
      <c r="R38" s="4">
        <v>506.29</v>
      </c>
      <c r="S38" s="4">
        <v>21566.51</v>
      </c>
      <c r="T38" s="4">
        <v>1808.34</v>
      </c>
      <c r="U38" s="4">
        <v>1.2665482563666384</v>
      </c>
      <c r="V38" s="4">
        <v>1.9133240180096256</v>
      </c>
      <c r="W38" s="4">
        <v>2.3297346044833804</v>
      </c>
      <c r="Y38" s="553">
        <v>506.29</v>
      </c>
      <c r="Z38" s="4">
        <v>128.94999999999999</v>
      </c>
      <c r="AA38" s="4">
        <v>487.27</v>
      </c>
      <c r="AB38" s="4">
        <v>180.15</v>
      </c>
      <c r="AC38" s="4">
        <v>35.15</v>
      </c>
      <c r="AD38" s="4">
        <v>346.94</v>
      </c>
      <c r="AF38" s="4">
        <v>1.2665482563666384</v>
      </c>
      <c r="AG38" s="4">
        <v>1.5349363171051063</v>
      </c>
      <c r="AH38" s="4">
        <v>0.98222096796952163</v>
      </c>
      <c r="AI38" s="4">
        <v>2.344482040603852</v>
      </c>
      <c r="AJ38" s="4" t="e">
        <v>#DIV/0!</v>
      </c>
      <c r="AK38" s="4">
        <v>2.3497460209955974</v>
      </c>
      <c r="AM38" s="555">
        <v>45885</v>
      </c>
      <c r="AN38" s="556">
        <v>434.85</v>
      </c>
      <c r="AO38" s="556">
        <v>2032345</v>
      </c>
      <c r="AP38" s="556">
        <v>233.46505999999999</v>
      </c>
      <c r="AQ38" s="556">
        <v>101522.28134100001</v>
      </c>
      <c r="AR38" s="556">
        <v>1.4242999999999999</v>
      </c>
    </row>
    <row r="39" spans="2:44">
      <c r="B39" s="557">
        <v>45681</v>
      </c>
      <c r="C39" s="553">
        <v>15.945399999999999</v>
      </c>
      <c r="D39" s="553">
        <v>18.9207</v>
      </c>
      <c r="E39" s="553">
        <v>15.062099999999999</v>
      </c>
      <c r="F39" s="553">
        <v>50.960900000000002</v>
      </c>
      <c r="G39" s="553">
        <v>24.738199999999999</v>
      </c>
      <c r="H39" s="553">
        <v>24.226800000000001</v>
      </c>
      <c r="I39" s="557">
        <v>45681</v>
      </c>
      <c r="J39" s="553">
        <v>18.753399999999999</v>
      </c>
      <c r="K39" s="553">
        <v>21.5688</v>
      </c>
      <c r="L39" s="553">
        <v>19.059899999999999</v>
      </c>
      <c r="M39" s="553">
        <v>95.623999999999995</v>
      </c>
      <c r="N39" s="553">
        <v>42.639800000000001</v>
      </c>
      <c r="O39" s="553">
        <v>34.837000000000003</v>
      </c>
      <c r="P39" s="553"/>
      <c r="Q39" s="557">
        <v>45681</v>
      </c>
      <c r="R39" s="4">
        <v>484.46</v>
      </c>
      <c r="S39" s="4">
        <v>20757.41</v>
      </c>
      <c r="T39" s="4">
        <v>1737.72</v>
      </c>
      <c r="U39" s="4">
        <v>1.2119377595437033</v>
      </c>
      <c r="V39" s="4">
        <v>1.8415427950406991</v>
      </c>
      <c r="W39" s="4">
        <v>2.2387528987374385</v>
      </c>
      <c r="Y39" s="553">
        <v>484.46</v>
      </c>
      <c r="Z39" s="4">
        <v>125.31</v>
      </c>
      <c r="AA39" s="4">
        <v>497.02</v>
      </c>
      <c r="AB39" s="4">
        <v>180.36</v>
      </c>
      <c r="AC39" s="4">
        <v>36.81</v>
      </c>
      <c r="AD39" s="4">
        <v>383.84</v>
      </c>
      <c r="AF39" s="4">
        <v>1.2119377595437033</v>
      </c>
      <c r="AG39" s="4">
        <v>1.4916081418878704</v>
      </c>
      <c r="AH39" s="4">
        <v>1.0018746598399484</v>
      </c>
      <c r="AI39" s="4">
        <v>2.3472149921915668</v>
      </c>
      <c r="AJ39" s="4" t="e">
        <v>#DIV/0!</v>
      </c>
      <c r="AK39" s="4">
        <v>2.5996613613274633</v>
      </c>
      <c r="AM39" s="555">
        <v>45884</v>
      </c>
      <c r="AN39" s="556">
        <v>428.24</v>
      </c>
      <c r="AO39" s="556">
        <v>1643922</v>
      </c>
      <c r="AP39" s="556">
        <v>233.46505999999999</v>
      </c>
      <c r="AQ39" s="556">
        <v>99979.077294400005</v>
      </c>
      <c r="AR39" s="556">
        <v>1.4026000000000001</v>
      </c>
    </row>
    <row r="40" spans="2:44">
      <c r="B40" s="557">
        <v>45674</v>
      </c>
      <c r="C40" s="553">
        <v>15.761799999999999</v>
      </c>
      <c r="D40" s="553">
        <v>18.407900000000001</v>
      </c>
      <c r="E40" s="553">
        <v>14.6905</v>
      </c>
      <c r="F40" s="553">
        <v>47.665500000000002</v>
      </c>
      <c r="G40" s="553">
        <v>23.911899999999999</v>
      </c>
      <c r="H40" s="553">
        <v>23.217600000000001</v>
      </c>
      <c r="I40" s="557">
        <v>45674</v>
      </c>
      <c r="J40" s="553">
        <v>18.502800000000001</v>
      </c>
      <c r="K40" s="553">
        <v>20.8459</v>
      </c>
      <c r="L40" s="553">
        <v>18.4985</v>
      </c>
      <c r="M40" s="553">
        <v>89.463200000000001</v>
      </c>
      <c r="N40" s="553">
        <v>41.2498</v>
      </c>
      <c r="O40" s="553">
        <v>33.301400000000001</v>
      </c>
      <c r="P40" s="553"/>
      <c r="Q40" s="557">
        <v>45674</v>
      </c>
      <c r="R40" s="4">
        <v>463.96</v>
      </c>
      <c r="S40" s="4">
        <v>21173.040000000001</v>
      </c>
      <c r="T40" s="4">
        <v>1723.7</v>
      </c>
      <c r="U40" s="4">
        <v>1.1606544253764945</v>
      </c>
      <c r="V40" s="4">
        <v>1.8784163949697252</v>
      </c>
      <c r="W40" s="4">
        <v>2.2206905436743107</v>
      </c>
      <c r="Y40" s="553">
        <v>463.96</v>
      </c>
      <c r="Z40" s="4">
        <v>121.11</v>
      </c>
      <c r="AA40" s="4">
        <v>482.38</v>
      </c>
      <c r="AB40" s="4">
        <v>168.74</v>
      </c>
      <c r="AC40" s="4">
        <v>35.61</v>
      </c>
      <c r="AD40" s="4">
        <v>366.92</v>
      </c>
      <c r="AF40" s="4">
        <v>1.1606544253764945</v>
      </c>
      <c r="AG40" s="4">
        <v>1.4416140935602904</v>
      </c>
      <c r="AH40" s="4">
        <v>0.97236388558527687</v>
      </c>
      <c r="AI40" s="4">
        <v>2.195991671004685</v>
      </c>
      <c r="AJ40" s="4" t="e">
        <v>#DIV/0!</v>
      </c>
      <c r="AK40" s="4">
        <v>2.4850660345411448</v>
      </c>
      <c r="AM40" s="555">
        <v>45883</v>
      </c>
      <c r="AN40" s="556">
        <v>423.7</v>
      </c>
      <c r="AO40" s="556">
        <v>1548178</v>
      </c>
      <c r="AP40" s="556">
        <v>233.46505999999999</v>
      </c>
      <c r="AQ40" s="556">
        <v>98919.145921999996</v>
      </c>
      <c r="AR40" s="556">
        <v>1.3877999999999999</v>
      </c>
    </row>
    <row r="41" spans="2:44">
      <c r="B41" s="557">
        <v>45667</v>
      </c>
      <c r="C41" s="553">
        <v>15.146000000000001</v>
      </c>
      <c r="D41" s="553">
        <v>17.6754</v>
      </c>
      <c r="E41" s="553">
        <v>14.0892</v>
      </c>
      <c r="F41" s="553">
        <v>46.613399999999999</v>
      </c>
      <c r="G41" s="553">
        <v>22.156199999999998</v>
      </c>
      <c r="H41" s="553">
        <v>22.219200000000001</v>
      </c>
      <c r="I41" s="557">
        <v>45667</v>
      </c>
      <c r="J41" s="553">
        <v>17.662500000000001</v>
      </c>
      <c r="K41" s="553">
        <v>19.813099999999999</v>
      </c>
      <c r="L41" s="553">
        <v>17.59</v>
      </c>
      <c r="M41" s="553">
        <v>87.496200000000002</v>
      </c>
      <c r="N41" s="553">
        <v>38.295900000000003</v>
      </c>
      <c r="O41" s="553">
        <v>31.7821</v>
      </c>
      <c r="P41" s="553"/>
      <c r="Q41" s="557">
        <v>45667</v>
      </c>
      <c r="R41" s="4">
        <v>485.94</v>
      </c>
      <c r="S41" s="4">
        <v>21012.17</v>
      </c>
      <c r="T41" s="4">
        <v>1704.65</v>
      </c>
      <c r="U41" s="4">
        <v>1.2156401661079701</v>
      </c>
      <c r="V41" s="4">
        <v>1.8641444318761504</v>
      </c>
      <c r="W41" s="4">
        <v>2.1961479000257667</v>
      </c>
      <c r="Y41" s="553">
        <v>485.94</v>
      </c>
      <c r="Z41" s="4">
        <v>115.11</v>
      </c>
      <c r="AA41" s="4">
        <v>458.69</v>
      </c>
      <c r="AB41" s="4">
        <v>165.03</v>
      </c>
      <c r="AC41" s="4">
        <v>33.06</v>
      </c>
      <c r="AD41" s="4">
        <v>350.18</v>
      </c>
      <c r="AF41" s="4">
        <v>1.2156401661079701</v>
      </c>
      <c r="AG41" s="4">
        <v>1.3701940245208903</v>
      </c>
      <c r="AH41" s="4">
        <v>0.92461045374831186</v>
      </c>
      <c r="AI41" s="4">
        <v>2.1477095262883914</v>
      </c>
      <c r="AJ41" s="4" t="e">
        <v>#DIV/0!</v>
      </c>
      <c r="AK41" s="4">
        <v>2.3716898069759567</v>
      </c>
      <c r="AM41" s="555">
        <v>45882</v>
      </c>
      <c r="AN41" s="556">
        <v>421.01</v>
      </c>
      <c r="AO41" s="556">
        <v>2006314</v>
      </c>
      <c r="AP41" s="556">
        <v>233.46505999999999</v>
      </c>
      <c r="AQ41" s="556">
        <v>98291.124910599989</v>
      </c>
      <c r="AR41" s="556">
        <v>1.379</v>
      </c>
    </row>
    <row r="42" spans="2:44">
      <c r="B42" s="557">
        <v>45660</v>
      </c>
      <c r="C42" s="553">
        <v>15.5268</v>
      </c>
      <c r="D42" s="553">
        <v>17.7682</v>
      </c>
      <c r="E42" s="553">
        <v>14.3209</v>
      </c>
      <c r="F42" s="553">
        <v>45.473300000000002</v>
      </c>
      <c r="G42" s="553">
        <v>22.0322</v>
      </c>
      <c r="H42" s="553">
        <v>22.1739</v>
      </c>
      <c r="I42" s="557">
        <v>45660</v>
      </c>
      <c r="J42" s="553">
        <v>18.182099999999998</v>
      </c>
      <c r="K42" s="553">
        <v>19.943899999999999</v>
      </c>
      <c r="L42" s="553">
        <v>17.940100000000001</v>
      </c>
      <c r="M42" s="553">
        <v>85.364900000000006</v>
      </c>
      <c r="N42" s="553">
        <v>38.087400000000002</v>
      </c>
      <c r="O42" s="553">
        <v>31.713100000000001</v>
      </c>
      <c r="P42" s="553"/>
      <c r="Q42" s="557">
        <v>45660</v>
      </c>
      <c r="R42" s="4">
        <v>488.13</v>
      </c>
      <c r="S42" s="4">
        <v>21797.65</v>
      </c>
      <c r="T42" s="4">
        <v>1699.61</v>
      </c>
      <c r="U42" s="4">
        <v>1.2211187271726622</v>
      </c>
      <c r="V42" s="4">
        <v>1.9338301505977333</v>
      </c>
      <c r="W42" s="4">
        <v>2.1896547281628442</v>
      </c>
      <c r="Y42" s="553">
        <v>488.13</v>
      </c>
      <c r="Z42" s="4">
        <v>115.87</v>
      </c>
      <c r="AA42" s="4">
        <v>467.82</v>
      </c>
      <c r="AB42" s="4">
        <v>161.01</v>
      </c>
      <c r="AC42" s="4">
        <v>32.880000000000003</v>
      </c>
      <c r="AD42" s="4">
        <v>349.42</v>
      </c>
      <c r="AF42" s="4">
        <v>1.2211187271726622</v>
      </c>
      <c r="AG42" s="4">
        <v>1.3792405665992145</v>
      </c>
      <c r="AH42" s="4">
        <v>0.94301437239210628</v>
      </c>
      <c r="AI42" s="4">
        <v>2.0953930244664236</v>
      </c>
      <c r="AJ42" s="4" t="e">
        <v>#DIV/0!</v>
      </c>
      <c r="AK42" s="4">
        <v>2.3665424991534034</v>
      </c>
      <c r="AM42" s="555">
        <v>45881</v>
      </c>
      <c r="AN42" s="556">
        <v>421.01</v>
      </c>
      <c r="AO42" s="556">
        <v>2006314</v>
      </c>
      <c r="AP42" s="556">
        <v>233.46505999999999</v>
      </c>
      <c r="AQ42" s="556">
        <v>98291.124910599989</v>
      </c>
      <c r="AR42" s="556">
        <v>1.379</v>
      </c>
    </row>
    <row r="43" spans="2:44">
      <c r="B43" s="557">
        <v>45653</v>
      </c>
      <c r="C43" s="553">
        <v>13.0365</v>
      </c>
      <c r="D43" s="553">
        <v>18.512</v>
      </c>
      <c r="E43" s="553">
        <v>19.662199999999999</v>
      </c>
      <c r="F43" s="553">
        <v>44.523299999999999</v>
      </c>
      <c r="G43" s="553">
        <v>24.017600000000002</v>
      </c>
      <c r="H43" s="553">
        <v>22.303100000000001</v>
      </c>
      <c r="I43" s="557">
        <v>45653</v>
      </c>
      <c r="J43" s="553">
        <v>16.575800000000001</v>
      </c>
      <c r="K43" s="553">
        <v>20.829599999999999</v>
      </c>
      <c r="L43" s="553">
        <v>25.708400000000001</v>
      </c>
      <c r="M43" s="553">
        <v>83.588800000000006</v>
      </c>
      <c r="N43" s="553">
        <v>41.399700000000003</v>
      </c>
      <c r="O43" s="553">
        <v>33.530900000000003</v>
      </c>
      <c r="P43" s="553"/>
      <c r="Q43" s="557">
        <v>45653</v>
      </c>
      <c r="R43" s="4">
        <v>490.61</v>
      </c>
      <c r="S43" s="4">
        <v>22001.08</v>
      </c>
      <c r="T43" s="4">
        <v>1718.27</v>
      </c>
      <c r="U43" s="4">
        <v>1.2273227597938661</v>
      </c>
      <c r="V43" s="4">
        <v>1.9518779249007476</v>
      </c>
      <c r="W43" s="4">
        <v>2.2136949239886627</v>
      </c>
      <c r="Y43" s="553">
        <v>490.61</v>
      </c>
      <c r="Z43" s="4">
        <v>116.71</v>
      </c>
      <c r="AA43" s="4">
        <v>471.35</v>
      </c>
      <c r="AB43" s="4">
        <v>157.66</v>
      </c>
      <c r="AC43" s="4">
        <v>32.54</v>
      </c>
      <c r="AD43" s="4">
        <v>359.36</v>
      </c>
      <c r="AF43" s="4">
        <v>1.2273227597938661</v>
      </c>
      <c r="AG43" s="4">
        <v>1.3892393762647302</v>
      </c>
      <c r="AH43" s="4">
        <v>0.95013001673083519</v>
      </c>
      <c r="AI43" s="4">
        <v>2.051795939614784</v>
      </c>
      <c r="AJ43" s="4" t="e">
        <v>#DIV/0!</v>
      </c>
      <c r="AK43" s="4">
        <v>2.4338638672536406</v>
      </c>
      <c r="AM43" s="555">
        <v>45880</v>
      </c>
      <c r="AN43" s="556">
        <v>421.01</v>
      </c>
      <c r="AO43" s="556">
        <v>2006314</v>
      </c>
      <c r="AP43" s="556">
        <v>233.46505999999999</v>
      </c>
      <c r="AQ43" s="556">
        <v>98291.124910599989</v>
      </c>
      <c r="AR43" s="556">
        <v>1.379</v>
      </c>
    </row>
    <row r="44" spans="2:44">
      <c r="B44" s="557">
        <v>45646</v>
      </c>
      <c r="C44" s="553">
        <v>13.037699999999999</v>
      </c>
      <c r="D44" s="553">
        <v>18.482800000000001</v>
      </c>
      <c r="E44" s="553">
        <v>19.600100000000001</v>
      </c>
      <c r="F44" s="553">
        <v>46.329799999999999</v>
      </c>
      <c r="G44" s="553">
        <v>24.3337</v>
      </c>
      <c r="H44" s="553">
        <v>22.000499999999999</v>
      </c>
      <c r="I44" s="557">
        <v>45646</v>
      </c>
      <c r="J44" s="553">
        <v>16.577500000000001</v>
      </c>
      <c r="K44" s="553">
        <v>20.788599999999999</v>
      </c>
      <c r="L44" s="553">
        <v>25.6097</v>
      </c>
      <c r="M44" s="553">
        <v>86.966099999999997</v>
      </c>
      <c r="N44" s="553">
        <v>41.959499999999998</v>
      </c>
      <c r="O44" s="553">
        <v>33.051299999999998</v>
      </c>
      <c r="P44" s="553"/>
      <c r="Q44" s="557">
        <v>45646</v>
      </c>
      <c r="R44" s="4">
        <v>512.94000000000005</v>
      </c>
      <c r="S44" s="4">
        <v>21368.18</v>
      </c>
      <c r="T44" s="4">
        <v>1696.73</v>
      </c>
      <c r="U44" s="4">
        <v>1.2831840696452694</v>
      </c>
      <c r="V44" s="4">
        <v>1.8957287022866902</v>
      </c>
      <c r="W44" s="4">
        <v>2.1859443442411748</v>
      </c>
      <c r="Y44" s="553">
        <v>512.94000000000005</v>
      </c>
      <c r="Z44" s="4">
        <v>116.48</v>
      </c>
      <c r="AA44" s="4">
        <v>469.54</v>
      </c>
      <c r="AB44" s="4">
        <v>164.03</v>
      </c>
      <c r="AC44" s="4">
        <v>32.979999999999997</v>
      </c>
      <c r="AD44" s="4">
        <v>354.22</v>
      </c>
      <c r="AF44" s="4">
        <v>1.2831840696452694</v>
      </c>
      <c r="AG44" s="4">
        <v>1.3865016069515534</v>
      </c>
      <c r="AH44" s="4">
        <v>0.94648148521437647</v>
      </c>
      <c r="AI44" s="4">
        <v>2.1346954711087975</v>
      </c>
      <c r="AJ44" s="4" t="e">
        <v>#DIV/0!</v>
      </c>
      <c r="AK44" s="4">
        <v>2.3990518117168982</v>
      </c>
      <c r="AM44" s="555">
        <v>45879</v>
      </c>
      <c r="AN44" s="556">
        <v>420.98</v>
      </c>
      <c r="AO44" s="556">
        <v>2178023</v>
      </c>
      <c r="AP44" s="556">
        <v>233.46505999999999</v>
      </c>
      <c r="AQ44" s="556">
        <v>98284.120958800006</v>
      </c>
      <c r="AR44" s="556">
        <v>1.3789</v>
      </c>
    </row>
    <row r="45" spans="2:44">
      <c r="B45" s="557">
        <v>45639</v>
      </c>
      <c r="C45" s="553">
        <v>13.1694</v>
      </c>
      <c r="D45" s="553">
        <v>18.643999999999998</v>
      </c>
      <c r="E45" s="553">
        <v>19.959199999999999</v>
      </c>
      <c r="F45" s="553">
        <v>44.194299999999998</v>
      </c>
      <c r="G45" s="553">
        <v>25.1312</v>
      </c>
      <c r="H45" s="553">
        <v>22.748200000000001</v>
      </c>
      <c r="I45" s="557">
        <v>45639</v>
      </c>
      <c r="J45" s="553">
        <v>16.7683</v>
      </c>
      <c r="K45" s="553">
        <v>21.0152</v>
      </c>
      <c r="L45" s="553">
        <v>26.180199999999999</v>
      </c>
      <c r="M45" s="553">
        <v>82.973799999999997</v>
      </c>
      <c r="N45" s="553">
        <v>43.371699999999997</v>
      </c>
      <c r="O45" s="553">
        <v>34.2363</v>
      </c>
      <c r="P45" s="553"/>
      <c r="Q45" s="557">
        <v>45639</v>
      </c>
      <c r="R45" s="4">
        <v>517</v>
      </c>
      <c r="S45" s="4">
        <v>21229.32</v>
      </c>
      <c r="T45" s="4">
        <v>1763.21</v>
      </c>
      <c r="U45" s="4">
        <v>1.2933406714364337</v>
      </c>
      <c r="V45" s="4">
        <v>1.8834094084769446</v>
      </c>
      <c r="W45" s="4">
        <v>2.2715923730997165</v>
      </c>
      <c r="Y45" s="553">
        <v>517</v>
      </c>
      <c r="Z45" s="4">
        <v>117.75</v>
      </c>
      <c r="AA45" s="4">
        <v>480</v>
      </c>
      <c r="AB45" s="4">
        <v>156.5</v>
      </c>
      <c r="AC45" s="4">
        <v>34.090000000000003</v>
      </c>
      <c r="AD45" s="4">
        <v>366.92</v>
      </c>
      <c r="AF45" s="4">
        <v>1.2933406714364337</v>
      </c>
      <c r="AG45" s="4">
        <v>1.4016188548982262</v>
      </c>
      <c r="AH45" s="4">
        <v>0.96756636900562398</v>
      </c>
      <c r="AI45" s="4">
        <v>2.0366996356064551</v>
      </c>
      <c r="AJ45" s="4" t="e">
        <v>#DIV/0!</v>
      </c>
      <c r="AK45" s="4">
        <v>2.4850660345411448</v>
      </c>
      <c r="AM45" s="555">
        <v>45878</v>
      </c>
      <c r="AN45" s="556">
        <v>418.68</v>
      </c>
      <c r="AO45" s="556">
        <v>1632102</v>
      </c>
      <c r="AP45" s="556">
        <v>233.46505999999999</v>
      </c>
      <c r="AQ45" s="556">
        <v>97747.151320799996</v>
      </c>
      <c r="AR45" s="556">
        <v>1.3713</v>
      </c>
    </row>
    <row r="46" spans="2:44">
      <c r="B46" s="557">
        <v>45632</v>
      </c>
      <c r="C46" s="553">
        <v>13.599500000000001</v>
      </c>
      <c r="D46" s="553">
        <v>18.674399999999999</v>
      </c>
      <c r="E46" s="553">
        <v>19.741199999999999</v>
      </c>
      <c r="F46" s="553">
        <v>46.131300000000003</v>
      </c>
      <c r="G46" s="553">
        <v>27.257899999999999</v>
      </c>
      <c r="H46" s="553">
        <v>23.283300000000001</v>
      </c>
      <c r="I46" s="557">
        <v>45632</v>
      </c>
      <c r="J46" s="553">
        <v>17.391400000000001</v>
      </c>
      <c r="K46" s="553">
        <v>21.058</v>
      </c>
      <c r="L46" s="553">
        <v>25.8339</v>
      </c>
      <c r="M46" s="553">
        <v>86.594899999999996</v>
      </c>
      <c r="N46" s="553">
        <v>47.137599999999999</v>
      </c>
      <c r="O46" s="553">
        <v>35.084499999999998</v>
      </c>
      <c r="P46" s="553"/>
      <c r="Q46" s="557">
        <v>45632</v>
      </c>
      <c r="R46" s="4">
        <v>521.45000000000005</v>
      </c>
      <c r="S46" s="4">
        <v>20922.900000000001</v>
      </c>
      <c r="T46" s="4">
        <v>1675.23</v>
      </c>
      <c r="U46" s="4">
        <v>1.3044729073898034</v>
      </c>
      <c r="V46" s="4">
        <v>1.8562246323774039</v>
      </c>
      <c r="W46" s="4">
        <v>2.1582452976037101</v>
      </c>
      <c r="Y46" s="553">
        <v>521.45000000000005</v>
      </c>
      <c r="Z46" s="4">
        <v>117.99</v>
      </c>
      <c r="AA46" s="4">
        <v>473.65</v>
      </c>
      <c r="AB46" s="4">
        <v>163.33000000000001</v>
      </c>
      <c r="AC46" s="4">
        <v>37.049999999999997</v>
      </c>
      <c r="AD46" s="4">
        <v>376.01</v>
      </c>
      <c r="AF46" s="4">
        <v>1.3044729073898034</v>
      </c>
      <c r="AG46" s="4">
        <v>1.4044756576598023</v>
      </c>
      <c r="AH46" s="4">
        <v>0.95476627224898714</v>
      </c>
      <c r="AI46" s="4">
        <v>2.125585632483082</v>
      </c>
      <c r="AJ46" s="4" t="e">
        <v>#DIV/0!</v>
      </c>
      <c r="AK46" s="4">
        <v>2.5466305452082625</v>
      </c>
      <c r="AM46" s="555">
        <v>45877</v>
      </c>
      <c r="AN46" s="556">
        <v>420.13</v>
      </c>
      <c r="AO46" s="556">
        <v>2428781</v>
      </c>
      <c r="AP46" s="556">
        <v>233.46505999999999</v>
      </c>
      <c r="AQ46" s="556">
        <v>98085.675657799991</v>
      </c>
      <c r="AR46" s="556">
        <v>1.3761000000000001</v>
      </c>
    </row>
    <row r="47" spans="2:44">
      <c r="B47" s="557">
        <v>45625</v>
      </c>
      <c r="C47" s="553">
        <v>13.982699999999999</v>
      </c>
      <c r="D47" s="553">
        <v>19.161799999999999</v>
      </c>
      <c r="E47" s="553">
        <v>20.290500000000002</v>
      </c>
      <c r="F47" s="553">
        <v>54.9741</v>
      </c>
      <c r="G47" s="553">
        <v>25.619800000000001</v>
      </c>
      <c r="H47" s="553">
        <v>23.1432</v>
      </c>
      <c r="I47" s="557">
        <v>45625</v>
      </c>
      <c r="J47" s="553">
        <v>17.9467</v>
      </c>
      <c r="K47" s="553">
        <v>21.743400000000001</v>
      </c>
      <c r="L47" s="553">
        <v>26.706499999999998</v>
      </c>
      <c r="M47" s="553">
        <v>103.1208</v>
      </c>
      <c r="N47" s="553">
        <v>44.236899999999999</v>
      </c>
      <c r="O47" s="553">
        <v>34.862400000000001</v>
      </c>
      <c r="P47" s="553"/>
      <c r="Q47" s="557">
        <v>45625</v>
      </c>
      <c r="R47" s="4">
        <v>533.26</v>
      </c>
      <c r="S47" s="4">
        <v>20684.59</v>
      </c>
      <c r="T47" s="4">
        <v>1669.47</v>
      </c>
      <c r="U47" s="4">
        <v>1.3340171111222294</v>
      </c>
      <c r="V47" s="4">
        <v>1.8350823962561271</v>
      </c>
      <c r="W47" s="4">
        <v>2.1508245297603708</v>
      </c>
      <c r="Y47" s="553">
        <v>533.26</v>
      </c>
      <c r="Z47" s="4">
        <v>121.83</v>
      </c>
      <c r="AA47" s="4">
        <v>489.65</v>
      </c>
      <c r="AB47" s="4">
        <v>194.5</v>
      </c>
      <c r="AC47" s="4">
        <v>34.770000000000003</v>
      </c>
      <c r="AD47" s="4">
        <v>373.63</v>
      </c>
      <c r="AF47" s="4">
        <v>1.3340171111222294</v>
      </c>
      <c r="AG47" s="4">
        <v>1.4501845018450183</v>
      </c>
      <c r="AH47" s="4">
        <v>0.98701848454917451</v>
      </c>
      <c r="AI47" s="4">
        <v>2.5312337324310255</v>
      </c>
      <c r="AJ47" s="4" t="e">
        <v>#DIV/0!</v>
      </c>
      <c r="AK47" s="4">
        <v>2.53051134439553</v>
      </c>
      <c r="AM47" s="555">
        <v>45876</v>
      </c>
      <c r="AN47" s="556">
        <v>421.34</v>
      </c>
      <c r="AO47" s="556">
        <v>2423723</v>
      </c>
      <c r="AP47" s="556">
        <v>233.46505999999999</v>
      </c>
      <c r="AQ47" s="556">
        <v>98368.168380399991</v>
      </c>
      <c r="AR47" s="556">
        <v>1.38</v>
      </c>
    </row>
    <row r="48" spans="2:44">
      <c r="B48" s="557">
        <v>45618</v>
      </c>
      <c r="C48" s="553">
        <v>14.282400000000001</v>
      </c>
      <c r="D48" s="553">
        <v>19.0273</v>
      </c>
      <c r="E48" s="553">
        <v>20.5383</v>
      </c>
      <c r="F48" s="553">
        <v>55.374000000000002</v>
      </c>
      <c r="G48" s="553">
        <v>26.6831</v>
      </c>
      <c r="H48" s="553">
        <v>22.977799999999998</v>
      </c>
      <c r="I48" s="557">
        <v>45618</v>
      </c>
      <c r="J48" s="553">
        <v>18.3809</v>
      </c>
      <c r="K48" s="553">
        <v>21.554200000000002</v>
      </c>
      <c r="L48" s="553">
        <v>27.100300000000001</v>
      </c>
      <c r="M48" s="553">
        <v>103.8683</v>
      </c>
      <c r="N48" s="553">
        <v>46.119799999999998</v>
      </c>
      <c r="O48" s="553">
        <v>34.600200000000001</v>
      </c>
      <c r="P48" s="553"/>
      <c r="Q48" s="557">
        <v>45618</v>
      </c>
      <c r="R48" s="4">
        <v>565.96</v>
      </c>
      <c r="S48" s="4">
        <v>21070.79</v>
      </c>
      <c r="T48" s="4">
        <v>1703.68</v>
      </c>
      <c r="U48" s="4">
        <v>1.4158202831840696</v>
      </c>
      <c r="V48" s="4">
        <v>1.8693450440259942</v>
      </c>
      <c r="W48" s="4">
        <v>2.194898222107704</v>
      </c>
      <c r="Y48" s="553">
        <v>565.96</v>
      </c>
      <c r="Z48" s="4">
        <v>120.77</v>
      </c>
      <c r="AA48" s="4">
        <v>496.87</v>
      </c>
      <c r="AB48" s="4">
        <v>195.91</v>
      </c>
      <c r="AC48" s="4">
        <v>36.25</v>
      </c>
      <c r="AD48" s="4">
        <v>370.82</v>
      </c>
      <c r="AF48" s="4">
        <v>1.4158202831840696</v>
      </c>
      <c r="AG48" s="4">
        <v>1.4375669563147242</v>
      </c>
      <c r="AH48" s="4">
        <v>1.0015722953496342</v>
      </c>
      <c r="AI48" s="4">
        <v>2.549583550234253</v>
      </c>
      <c r="AJ48" s="4" t="e">
        <v>#DIV/0!</v>
      </c>
      <c r="AK48" s="4">
        <v>2.5114798509989837</v>
      </c>
      <c r="AM48" s="555">
        <v>45875</v>
      </c>
      <c r="AN48" s="556">
        <v>421.17</v>
      </c>
      <c r="AO48" s="556">
        <v>2461751</v>
      </c>
      <c r="AP48" s="556">
        <v>233.46505999999999</v>
      </c>
      <c r="AQ48" s="556">
        <v>98328.4793202</v>
      </c>
      <c r="AR48" s="556">
        <v>1.3794999999999999</v>
      </c>
    </row>
    <row r="49" spans="2:44">
      <c r="B49" s="557">
        <v>45611</v>
      </c>
      <c r="C49" s="553">
        <v>14.109500000000001</v>
      </c>
      <c r="D49" s="553">
        <v>18.742999999999999</v>
      </c>
      <c r="E49" s="553">
        <v>20.439499999999999</v>
      </c>
      <c r="F49" s="553">
        <v>56.551000000000002</v>
      </c>
      <c r="G49" s="553">
        <v>24.865400000000001</v>
      </c>
      <c r="H49" s="553">
        <v>22.2437</v>
      </c>
      <c r="I49" s="557">
        <v>45611</v>
      </c>
      <c r="J49" s="553">
        <v>18.130400000000002</v>
      </c>
      <c r="K49" s="553">
        <v>21.154399999999999</v>
      </c>
      <c r="L49" s="553">
        <v>26.943300000000001</v>
      </c>
      <c r="M49" s="553">
        <v>106.0686</v>
      </c>
      <c r="N49" s="553">
        <v>42.901000000000003</v>
      </c>
      <c r="O49" s="553">
        <v>33.436700000000002</v>
      </c>
      <c r="P49" s="553"/>
      <c r="Q49" s="557">
        <v>45611</v>
      </c>
      <c r="R49" s="4">
        <v>546.75</v>
      </c>
      <c r="S49" s="4">
        <v>20227.46</v>
      </c>
      <c r="T49" s="4">
        <v>1651.06</v>
      </c>
      <c r="U49" s="4">
        <v>1.3677640466303096</v>
      </c>
      <c r="V49" s="4">
        <v>1.7945270255284227</v>
      </c>
      <c r="W49" s="4">
        <v>2.1271064158721975</v>
      </c>
      <c r="Y49" s="553">
        <v>546.75</v>
      </c>
      <c r="Z49" s="4">
        <v>118.53</v>
      </c>
      <c r="AA49" s="4">
        <v>493.99</v>
      </c>
      <c r="AB49" s="4">
        <v>200.06</v>
      </c>
      <c r="AC49" s="4">
        <v>33.72</v>
      </c>
      <c r="AD49" s="4">
        <v>358.35</v>
      </c>
      <c r="AF49" s="4">
        <v>1.3677640466303096</v>
      </c>
      <c r="AG49" s="4">
        <v>1.4109034638733484</v>
      </c>
      <c r="AH49" s="4">
        <v>0.99576689713560051</v>
      </c>
      <c r="AI49" s="4">
        <v>2.603591879229568</v>
      </c>
      <c r="AJ49" s="4" t="e">
        <v>#DIV/0!</v>
      </c>
      <c r="AK49" s="4">
        <v>2.4270233660684051</v>
      </c>
      <c r="AM49" s="555">
        <v>45874</v>
      </c>
      <c r="AN49" s="556">
        <v>421.17</v>
      </c>
      <c r="AO49" s="556">
        <v>2461751</v>
      </c>
      <c r="AP49" s="556">
        <v>233.46505999999999</v>
      </c>
      <c r="AQ49" s="556">
        <v>98328.4793202</v>
      </c>
      <c r="AR49" s="556">
        <v>1.3794999999999999</v>
      </c>
    </row>
    <row r="50" spans="2:44">
      <c r="B50" s="557">
        <v>45604</v>
      </c>
      <c r="C50" s="553">
        <v>14.805099999999999</v>
      </c>
      <c r="D50" s="553">
        <v>19.380099999999999</v>
      </c>
      <c r="E50" s="553">
        <v>21.640999999999998</v>
      </c>
      <c r="F50" s="553">
        <v>64.438100000000006</v>
      </c>
      <c r="G50" s="553">
        <v>26.927399999999999</v>
      </c>
      <c r="H50" s="553">
        <v>23.861899999999999</v>
      </c>
      <c r="I50" s="557">
        <v>45604</v>
      </c>
      <c r="J50" s="553">
        <v>19.138200000000001</v>
      </c>
      <c r="K50" s="553">
        <v>22.0504</v>
      </c>
      <c r="L50" s="553">
        <v>28.8522</v>
      </c>
      <c r="M50" s="553">
        <v>120.813</v>
      </c>
      <c r="N50" s="553">
        <v>46.552399999999999</v>
      </c>
      <c r="O50" s="553">
        <v>36.0017</v>
      </c>
      <c r="P50" s="553"/>
      <c r="Q50" s="557">
        <v>45604</v>
      </c>
      <c r="R50" s="4">
        <v>546.79999999999995</v>
      </c>
      <c r="S50" s="4">
        <v>20550.650000000001</v>
      </c>
      <c r="T50" s="4">
        <v>1635.98</v>
      </c>
      <c r="U50" s="4">
        <v>1.3678891279331564</v>
      </c>
      <c r="V50" s="4">
        <v>1.8231995919001043</v>
      </c>
      <c r="W50" s="4">
        <v>2.1076784333934553</v>
      </c>
      <c r="Y50" s="553">
        <v>546.79999999999995</v>
      </c>
      <c r="Z50" s="4">
        <v>123.55</v>
      </c>
      <c r="AA50" s="4">
        <v>528.99</v>
      </c>
      <c r="AB50" s="4">
        <v>227.87</v>
      </c>
      <c r="AC50" s="4">
        <v>36.590000000000003</v>
      </c>
      <c r="AD50" s="4">
        <v>385.84</v>
      </c>
      <c r="AF50" s="4">
        <v>1.3678891279331564</v>
      </c>
      <c r="AG50" s="4">
        <v>1.4706582549696463</v>
      </c>
      <c r="AH50" s="4">
        <v>1.0663186115422605</v>
      </c>
      <c r="AI50" s="4">
        <v>2.965512753774076</v>
      </c>
      <c r="AJ50" s="4" t="e">
        <v>#DIV/0!</v>
      </c>
      <c r="AK50" s="4">
        <v>2.6132069082289195</v>
      </c>
      <c r="AM50" s="555">
        <v>45873</v>
      </c>
      <c r="AN50" s="556">
        <v>421.17</v>
      </c>
      <c r="AO50" s="556">
        <v>2461751</v>
      </c>
      <c r="AP50" s="556">
        <v>233.46505999999999</v>
      </c>
      <c r="AQ50" s="556">
        <v>98328.4793202</v>
      </c>
      <c r="AR50" s="556">
        <v>1.3794999999999999</v>
      </c>
    </row>
    <row r="51" spans="2:44">
      <c r="B51" s="557">
        <v>45597</v>
      </c>
      <c r="C51" s="553">
        <v>14.355700000000001</v>
      </c>
      <c r="D51" s="553">
        <v>18.770900000000001</v>
      </c>
      <c r="E51" s="553">
        <v>20.884399999999999</v>
      </c>
      <c r="F51" s="553">
        <v>61.0717</v>
      </c>
      <c r="G51" s="553">
        <v>22.71</v>
      </c>
      <c r="H51" s="553">
        <v>21.682700000000001</v>
      </c>
      <c r="I51" s="557">
        <v>45597</v>
      </c>
      <c r="J51" s="553">
        <v>18.486999999999998</v>
      </c>
      <c r="K51" s="553">
        <v>21.1937</v>
      </c>
      <c r="L51" s="553">
        <v>27.650099999999998</v>
      </c>
      <c r="M51" s="553">
        <v>114.5197</v>
      </c>
      <c r="N51" s="553">
        <v>39.084200000000003</v>
      </c>
      <c r="O51" s="553">
        <v>32.547499999999999</v>
      </c>
      <c r="P51" s="553"/>
      <c r="Q51" s="557">
        <v>45597</v>
      </c>
      <c r="R51" s="4">
        <v>576.98</v>
      </c>
      <c r="S51" s="4">
        <v>20383.650000000001</v>
      </c>
      <c r="T51" s="4">
        <v>1655.88</v>
      </c>
      <c r="U51" s="4">
        <v>1.4433882023315154</v>
      </c>
      <c r="V51" s="4">
        <v>1.8083837913367491</v>
      </c>
      <c r="W51" s="4">
        <v>2.1333161556299922</v>
      </c>
      <c r="Y51" s="553">
        <v>576.98</v>
      </c>
      <c r="Z51" s="4">
        <v>118.75</v>
      </c>
      <c r="AA51" s="4">
        <v>506.95</v>
      </c>
      <c r="AB51" s="4">
        <v>216</v>
      </c>
      <c r="AC51" s="4">
        <v>30.72</v>
      </c>
      <c r="AD51" s="4">
        <v>348.82</v>
      </c>
      <c r="AF51" s="4">
        <v>1.4433882023315154</v>
      </c>
      <c r="AG51" s="4">
        <v>1.4135221997381264</v>
      </c>
      <c r="AH51" s="4">
        <v>1.0218911890987523</v>
      </c>
      <c r="AI51" s="4">
        <v>2.8110359187922955</v>
      </c>
      <c r="AJ51" s="4" t="e">
        <v>#DIV/0!</v>
      </c>
      <c r="AK51" s="4">
        <v>2.3624788350829662</v>
      </c>
      <c r="AM51" s="555">
        <v>45872</v>
      </c>
      <c r="AN51" s="556">
        <v>420.55</v>
      </c>
      <c r="AO51" s="556">
        <v>3083942</v>
      </c>
      <c r="AP51" s="556">
        <v>233.46505999999999</v>
      </c>
      <c r="AQ51" s="556">
        <v>98183.730983000001</v>
      </c>
      <c r="AR51" s="556">
        <v>1.3774999999999999</v>
      </c>
    </row>
    <row r="52" spans="2:44">
      <c r="B52" s="557">
        <v>45590</v>
      </c>
      <c r="C52" s="553">
        <v>14.752000000000001</v>
      </c>
      <c r="D52" s="553">
        <v>19.584399999999999</v>
      </c>
      <c r="E52" s="553">
        <v>21.310099999999998</v>
      </c>
      <c r="F52" s="553">
        <v>53.049799999999998</v>
      </c>
      <c r="G52" s="553">
        <v>20.882100000000001</v>
      </c>
      <c r="H52" s="553">
        <v>21.6861</v>
      </c>
      <c r="I52" s="557">
        <v>45590</v>
      </c>
      <c r="J52" s="553">
        <v>19.061299999999999</v>
      </c>
      <c r="K52" s="553">
        <v>22.337700000000002</v>
      </c>
      <c r="L52" s="553">
        <v>28.3264</v>
      </c>
      <c r="M52" s="553">
        <v>96.944199999999995</v>
      </c>
      <c r="N52" s="553">
        <v>35.941699999999997</v>
      </c>
      <c r="O52" s="553">
        <v>32.2545</v>
      </c>
      <c r="P52" s="553"/>
      <c r="Q52" s="557">
        <v>45590</v>
      </c>
      <c r="R52" s="4">
        <v>605</v>
      </c>
      <c r="S52" s="4">
        <v>20159.830000000002</v>
      </c>
      <c r="T52" s="4">
        <v>1605.39</v>
      </c>
      <c r="U52" s="4">
        <v>1.5134837644468904</v>
      </c>
      <c r="V52" s="4">
        <v>1.7885270698871074</v>
      </c>
      <c r="W52" s="4">
        <v>2.0682684875032207</v>
      </c>
      <c r="Y52" s="553">
        <v>605</v>
      </c>
      <c r="Z52" s="4">
        <v>125.16</v>
      </c>
      <c r="AA52" s="4">
        <v>519.35</v>
      </c>
      <c r="AB52" s="4">
        <v>220.9</v>
      </c>
      <c r="AC52" s="4">
        <v>28.25</v>
      </c>
      <c r="AD52" s="4">
        <v>345.68</v>
      </c>
      <c r="AF52" s="4">
        <v>1.5134837644468904</v>
      </c>
      <c r="AG52" s="4">
        <v>1.4898226401618853</v>
      </c>
      <c r="AH52" s="4">
        <v>1.0468866536313977</v>
      </c>
      <c r="AI52" s="4">
        <v>2.8748047891723059</v>
      </c>
      <c r="AJ52" s="4" t="e">
        <v>#DIV/0!</v>
      </c>
      <c r="AK52" s="4">
        <v>2.3412123264476801</v>
      </c>
      <c r="AM52" s="555">
        <v>45871</v>
      </c>
      <c r="AN52" s="556">
        <v>419.39</v>
      </c>
      <c r="AO52" s="556">
        <v>4578552</v>
      </c>
      <c r="AP52" s="556">
        <v>233.46505999999999</v>
      </c>
      <c r="AQ52" s="556">
        <v>97912.911513399988</v>
      </c>
      <c r="AR52" s="556">
        <v>1.3736999999999999</v>
      </c>
    </row>
    <row r="53" spans="2:44">
      <c r="B53" s="557">
        <v>45583</v>
      </c>
      <c r="C53" s="553">
        <v>15.990500000000001</v>
      </c>
      <c r="D53" s="553">
        <v>19.671500000000002</v>
      </c>
      <c r="E53" s="553">
        <v>21.771599999999999</v>
      </c>
      <c r="F53" s="553">
        <v>52.1008</v>
      </c>
      <c r="G53" s="553">
        <v>21.218900000000001</v>
      </c>
      <c r="H53" s="553">
        <v>22.794799999999999</v>
      </c>
      <c r="I53" s="557">
        <v>45583</v>
      </c>
      <c r="J53" s="553">
        <v>20.74</v>
      </c>
      <c r="K53" s="553">
        <v>22.473299999999998</v>
      </c>
      <c r="L53" s="553">
        <v>28.950399999999998</v>
      </c>
      <c r="M53" s="553">
        <v>95.219499999999996</v>
      </c>
      <c r="N53" s="553">
        <v>36.5396</v>
      </c>
      <c r="O53" s="553">
        <v>33.995600000000003</v>
      </c>
      <c r="P53" s="553"/>
      <c r="Q53" s="557">
        <v>45583</v>
      </c>
      <c r="R53" s="4">
        <v>608.04999999999995</v>
      </c>
      <c r="S53" s="4">
        <v>20107.78</v>
      </c>
      <c r="T53" s="4">
        <v>1565.38</v>
      </c>
      <c r="U53" s="4">
        <v>1.5211137239205481</v>
      </c>
      <c r="V53" s="4">
        <v>1.7839093308492469</v>
      </c>
      <c r="W53" s="4">
        <v>2.0167224942025253</v>
      </c>
      <c r="Y53" s="553">
        <v>608.04999999999995</v>
      </c>
      <c r="Z53" s="4">
        <v>125.92</v>
      </c>
      <c r="AA53" s="4">
        <v>530.79</v>
      </c>
      <c r="AB53" s="4">
        <v>216.97</v>
      </c>
      <c r="AC53" s="4">
        <v>28.72</v>
      </c>
      <c r="AD53" s="4">
        <v>364.34</v>
      </c>
      <c r="AF53" s="4">
        <v>1.5211137239205481</v>
      </c>
      <c r="AG53" s="4">
        <v>1.4988691822402094</v>
      </c>
      <c r="AH53" s="4">
        <v>1.0699469854260315</v>
      </c>
      <c r="AI53" s="4">
        <v>2.8236595523165016</v>
      </c>
      <c r="AJ53" s="4" t="e">
        <v>#DIV/0!</v>
      </c>
      <c r="AK53" s="4">
        <v>2.4675922790382661</v>
      </c>
      <c r="AM53" s="555">
        <v>45870</v>
      </c>
      <c r="AN53" s="556">
        <v>410.74</v>
      </c>
      <c r="AO53" s="556">
        <v>8886507</v>
      </c>
      <c r="AP53" s="556">
        <v>233.46505999999999</v>
      </c>
      <c r="AQ53" s="556">
        <v>95893.438744400002</v>
      </c>
      <c r="AR53" s="556">
        <v>1.3452999999999999</v>
      </c>
    </row>
    <row r="54" spans="2:44">
      <c r="B54" s="557">
        <v>45576</v>
      </c>
      <c r="C54" s="553">
        <v>15.8108</v>
      </c>
      <c r="D54" s="553">
        <v>19.4191</v>
      </c>
      <c r="E54" s="553">
        <v>21.6995</v>
      </c>
      <c r="F54" s="553">
        <v>51.719299999999997</v>
      </c>
      <c r="G54" s="553">
        <v>21.548500000000001</v>
      </c>
      <c r="H54" s="553">
        <v>21.759799999999998</v>
      </c>
      <c r="I54" s="557">
        <v>45576</v>
      </c>
      <c r="J54" s="553">
        <v>20.481000000000002</v>
      </c>
      <c r="K54" s="553">
        <v>22.118200000000002</v>
      </c>
      <c r="L54" s="553">
        <v>28.836400000000001</v>
      </c>
      <c r="M54" s="553">
        <v>94.5261</v>
      </c>
      <c r="N54" s="553">
        <v>37.124899999999997</v>
      </c>
      <c r="O54" s="553">
        <v>32.370199999999997</v>
      </c>
      <c r="P54" s="553"/>
      <c r="Q54" s="557">
        <v>45576</v>
      </c>
      <c r="R54" s="4">
        <v>605.86</v>
      </c>
      <c r="S54" s="4">
        <v>19773.3</v>
      </c>
      <c r="T54" s="4">
        <v>1582.34</v>
      </c>
      <c r="U54" s="4">
        <v>1.5156351628558562</v>
      </c>
      <c r="V54" s="4">
        <v>1.7542351453855878</v>
      </c>
      <c r="W54" s="4">
        <v>2.0385725328523576</v>
      </c>
      <c r="Y54" s="553">
        <v>605.86</v>
      </c>
      <c r="Z54" s="4">
        <v>123.93</v>
      </c>
      <c r="AA54" s="4">
        <v>528.70000000000005</v>
      </c>
      <c r="AB54" s="4">
        <v>215.39</v>
      </c>
      <c r="AC54" s="4">
        <v>29.18</v>
      </c>
      <c r="AD54" s="4">
        <v>346.92</v>
      </c>
      <c r="AF54" s="4">
        <v>1.5156351628558562</v>
      </c>
      <c r="AG54" s="4">
        <v>1.4751815260088084</v>
      </c>
      <c r="AH54" s="4">
        <v>1.0657340401943198</v>
      </c>
      <c r="AI54" s="4">
        <v>2.803097345132743</v>
      </c>
      <c r="AJ54" s="4" t="e">
        <v>#DIV/0!</v>
      </c>
      <c r="AK54" s="4">
        <v>2.3496105655265831</v>
      </c>
      <c r="AM54" s="555">
        <v>45869</v>
      </c>
      <c r="AN54" s="556">
        <v>460.53</v>
      </c>
      <c r="AO54" s="556">
        <v>1577788</v>
      </c>
      <c r="AP54" s="556">
        <v>234.29595</v>
      </c>
      <c r="AQ54" s="556">
        <v>107900.31385349999</v>
      </c>
      <c r="AR54" s="556">
        <v>1.5084</v>
      </c>
    </row>
    <row r="55" spans="2:44">
      <c r="B55" s="557">
        <v>45569</v>
      </c>
      <c r="C55" s="553">
        <v>15.833299999999999</v>
      </c>
      <c r="D55" s="553">
        <v>19.543399999999998</v>
      </c>
      <c r="E55" s="553">
        <v>21.976600000000001</v>
      </c>
      <c r="F55" s="553">
        <v>49.922800000000002</v>
      </c>
      <c r="G55" s="553">
        <v>22.386900000000001</v>
      </c>
      <c r="H55" s="553">
        <v>21.200099999999999</v>
      </c>
      <c r="I55" s="557">
        <v>45569</v>
      </c>
      <c r="J55" s="553">
        <v>20.513500000000001</v>
      </c>
      <c r="K55" s="553">
        <v>22.293099999999999</v>
      </c>
      <c r="L55" s="553">
        <v>29.274899999999999</v>
      </c>
      <c r="M55" s="553">
        <v>91.260999999999996</v>
      </c>
      <c r="N55" s="553">
        <v>38.613399999999999</v>
      </c>
      <c r="O55" s="553">
        <v>31.491199999999999</v>
      </c>
      <c r="P55" s="553"/>
      <c r="Q55" s="557">
        <v>45569</v>
      </c>
      <c r="R55" s="4">
        <v>578.63</v>
      </c>
      <c r="S55" s="4">
        <v>19944.84</v>
      </c>
      <c r="T55" s="4">
        <v>1600.77</v>
      </c>
      <c r="U55" s="4">
        <v>1.4475158853254615</v>
      </c>
      <c r="V55" s="4">
        <v>1.7694537228025817</v>
      </c>
      <c r="W55" s="4">
        <v>2.0623164132955423</v>
      </c>
      <c r="Y55" s="553">
        <v>578.63</v>
      </c>
      <c r="Z55" s="4">
        <v>124.91</v>
      </c>
      <c r="AA55" s="4">
        <v>536.74</v>
      </c>
      <c r="AB55" s="4">
        <v>207.95</v>
      </c>
      <c r="AC55" s="4">
        <v>30.35</v>
      </c>
      <c r="AD55" s="4">
        <v>337.5</v>
      </c>
      <c r="AF55" s="4">
        <v>1.4475158853254615</v>
      </c>
      <c r="AG55" s="4">
        <v>1.4868468039519103</v>
      </c>
      <c r="AH55" s="4">
        <v>1.0819407768751639</v>
      </c>
      <c r="AI55" s="4">
        <v>2.706272774596564</v>
      </c>
      <c r="AJ55" s="4" t="e">
        <v>#DIV/0!</v>
      </c>
      <c r="AK55" s="4">
        <v>2.2858110396207247</v>
      </c>
      <c r="AM55" s="555">
        <v>45868</v>
      </c>
      <c r="AN55" s="556">
        <v>463.96</v>
      </c>
      <c r="AO55" s="556">
        <v>1845269</v>
      </c>
      <c r="AP55" s="556">
        <v>234.29595</v>
      </c>
      <c r="AQ55" s="556">
        <v>108703.94896199999</v>
      </c>
      <c r="AR55" s="556">
        <v>1.5196000000000001</v>
      </c>
    </row>
    <row r="56" spans="2:44">
      <c r="B56" s="557">
        <v>45562</v>
      </c>
      <c r="C56" s="553">
        <v>15.565300000000001</v>
      </c>
      <c r="D56" s="553">
        <v>28.307600000000001</v>
      </c>
      <c r="E56" s="553">
        <v>22.2818</v>
      </c>
      <c r="F56" s="553">
        <v>47.8172</v>
      </c>
      <c r="G56" s="553">
        <v>21.638300000000001</v>
      </c>
      <c r="H56" s="553">
        <v>20.9055</v>
      </c>
      <c r="I56" s="557">
        <v>45562</v>
      </c>
      <c r="J56" s="553">
        <v>19.781099999999999</v>
      </c>
      <c r="K56" s="553">
        <v>21.7209</v>
      </c>
      <c r="L56" s="553">
        <v>30.077400000000001</v>
      </c>
      <c r="M56" s="553">
        <v>87.434100000000001</v>
      </c>
      <c r="N56" s="553">
        <v>36.780999999999999</v>
      </c>
      <c r="O56" s="553">
        <v>31.700299999999999</v>
      </c>
      <c r="P56" s="553"/>
      <c r="Q56" s="557">
        <v>45562</v>
      </c>
      <c r="R56" s="4">
        <v>567.01</v>
      </c>
      <c r="S56" s="4">
        <v>19432.400000000001</v>
      </c>
      <c r="T56" s="4">
        <v>1538.46</v>
      </c>
      <c r="U56" s="4">
        <v>1.4184469905438535</v>
      </c>
      <c r="V56" s="4">
        <v>1.7239913944152419</v>
      </c>
      <c r="W56" s="4">
        <v>1.9820407111569183</v>
      </c>
      <c r="Y56" s="553">
        <v>567.01</v>
      </c>
      <c r="Z56" s="4">
        <v>120.39</v>
      </c>
      <c r="AA56" s="4">
        <v>526.79</v>
      </c>
      <c r="AB56" s="4">
        <v>199.23</v>
      </c>
      <c r="AC56" s="4">
        <v>27.87</v>
      </c>
      <c r="AD56" s="4">
        <v>325.64999999999998</v>
      </c>
      <c r="AF56" s="4">
        <v>1.4184469905438535</v>
      </c>
      <c r="AG56" s="4">
        <v>1.4330436852755624</v>
      </c>
      <c r="AH56" s="4">
        <v>1.0618839323509848</v>
      </c>
      <c r="AI56" s="4">
        <v>2.5927902134305048</v>
      </c>
      <c r="AJ56" s="4" t="e">
        <v>#DIV/0!</v>
      </c>
      <c r="AK56" s="4">
        <v>2.2055536742295967</v>
      </c>
      <c r="AM56" s="555">
        <v>45867</v>
      </c>
      <c r="AN56" s="556">
        <v>463.96</v>
      </c>
      <c r="AO56" s="556">
        <v>1845269</v>
      </c>
      <c r="AP56" s="556">
        <v>234.29595</v>
      </c>
      <c r="AQ56" s="556">
        <v>108703.94896199999</v>
      </c>
      <c r="AR56" s="556">
        <v>1.5196000000000001</v>
      </c>
    </row>
    <row r="57" spans="2:44">
      <c r="B57" s="557">
        <v>45555</v>
      </c>
      <c r="C57" s="553">
        <v>15.3163</v>
      </c>
      <c r="D57" s="553">
        <v>27.884599999999999</v>
      </c>
      <c r="E57" s="553">
        <v>22.222899999999999</v>
      </c>
      <c r="F57" s="553">
        <v>43.840299999999999</v>
      </c>
      <c r="G57" s="553">
        <v>22.045100000000001</v>
      </c>
      <c r="H57" s="553">
        <v>21.0776</v>
      </c>
      <c r="I57" s="557">
        <v>45555</v>
      </c>
      <c r="J57" s="553">
        <v>19.426500000000001</v>
      </c>
      <c r="K57" s="553">
        <v>21.316800000000001</v>
      </c>
      <c r="L57" s="553">
        <v>29.982700000000001</v>
      </c>
      <c r="M57" s="553">
        <v>80.206100000000006</v>
      </c>
      <c r="N57" s="553">
        <v>37.493600000000001</v>
      </c>
      <c r="O57" s="553">
        <v>31.977799999999998</v>
      </c>
      <c r="P57" s="553"/>
      <c r="Q57" s="557">
        <v>45555</v>
      </c>
      <c r="R57" s="4">
        <v>572.19000000000005</v>
      </c>
      <c r="S57" s="4">
        <v>18829.14</v>
      </c>
      <c r="T57" s="4">
        <v>1534.75</v>
      </c>
      <c r="U57" s="4">
        <v>1.4314054135187873</v>
      </c>
      <c r="V57" s="4">
        <v>1.6704717546077583</v>
      </c>
      <c r="W57" s="4">
        <v>1.9772610152022674</v>
      </c>
      <c r="Y57" s="553">
        <v>572.19000000000005</v>
      </c>
      <c r="Z57" s="4">
        <v>118.15</v>
      </c>
      <c r="AA57" s="4">
        <v>525.13</v>
      </c>
      <c r="AB57" s="4">
        <v>182.76</v>
      </c>
      <c r="AC57" s="4">
        <v>28.41</v>
      </c>
      <c r="AD57" s="4">
        <v>328.5</v>
      </c>
      <c r="AF57" s="4">
        <v>1.4314054135187873</v>
      </c>
      <c r="AG57" s="4">
        <v>1.4063801928341864</v>
      </c>
      <c r="AH57" s="4">
        <v>1.0585377653248402</v>
      </c>
      <c r="AI57" s="4">
        <v>2.3784487246225923</v>
      </c>
      <c r="AJ57" s="4" t="e">
        <v>#DIV/0!</v>
      </c>
      <c r="AK57" s="4">
        <v>2.224856078564172</v>
      </c>
      <c r="AM57" s="555">
        <v>45866</v>
      </c>
      <c r="AN57" s="556">
        <v>463.96</v>
      </c>
      <c r="AO57" s="556">
        <v>1845269</v>
      </c>
      <c r="AP57" s="556">
        <v>234.29595</v>
      </c>
      <c r="AQ57" s="556">
        <v>108703.94896199999</v>
      </c>
      <c r="AR57" s="556">
        <v>1.5196000000000001</v>
      </c>
    </row>
    <row r="58" spans="2:44">
      <c r="B58" s="557">
        <v>45548</v>
      </c>
      <c r="C58" s="553">
        <v>15.2683</v>
      </c>
      <c r="D58" s="553">
        <v>28.067699999999999</v>
      </c>
      <c r="E58" s="553">
        <v>22.033300000000001</v>
      </c>
      <c r="F58" s="553">
        <v>46.097999999999999</v>
      </c>
      <c r="G58" s="553">
        <v>21.789000000000001</v>
      </c>
      <c r="H58" s="553">
        <v>19.957699999999999</v>
      </c>
      <c r="I58" s="557">
        <v>45548</v>
      </c>
      <c r="J58" s="553">
        <v>19.3583</v>
      </c>
      <c r="K58" s="553">
        <v>21.491800000000001</v>
      </c>
      <c r="L58" s="553">
        <v>29.677199999999999</v>
      </c>
      <c r="M58" s="553">
        <v>84.309399999999997</v>
      </c>
      <c r="N58" s="553">
        <v>37.044899999999998</v>
      </c>
      <c r="O58" s="553">
        <v>30.172000000000001</v>
      </c>
      <c r="P58" s="553"/>
      <c r="Q58" s="557">
        <v>45548</v>
      </c>
      <c r="R58" s="4">
        <v>567.22</v>
      </c>
      <c r="S58" s="4">
        <v>18958.73</v>
      </c>
      <c r="T58" s="4">
        <v>1546.98</v>
      </c>
      <c r="U58" s="4">
        <v>1.4189723320158103</v>
      </c>
      <c r="V58" s="4">
        <v>1.6819686384101846</v>
      </c>
      <c r="W58" s="4">
        <v>1.9930172635918577</v>
      </c>
      <c r="Y58" s="553">
        <v>567.22</v>
      </c>
      <c r="Z58" s="4">
        <v>119.12</v>
      </c>
      <c r="AA58" s="4">
        <v>519.78</v>
      </c>
      <c r="AB58" s="4">
        <v>192.11</v>
      </c>
      <c r="AC58" s="4">
        <v>28.07</v>
      </c>
      <c r="AD58" s="4">
        <v>309.95</v>
      </c>
      <c r="AF58" s="4">
        <v>1.4189723320158103</v>
      </c>
      <c r="AG58" s="4">
        <v>1.4179264373288893</v>
      </c>
      <c r="AH58" s="4">
        <v>1.047753431836965</v>
      </c>
      <c r="AI58" s="4">
        <v>2.5001301405517959</v>
      </c>
      <c r="AJ58" s="4" t="e">
        <v>#DIV/0!</v>
      </c>
      <c r="AK58" s="4">
        <v>2.0992211310531661</v>
      </c>
      <c r="AM58" s="555">
        <v>45865</v>
      </c>
      <c r="AN58" s="556">
        <v>469.2</v>
      </c>
      <c r="AO58" s="556">
        <v>926150</v>
      </c>
      <c r="AP58" s="556">
        <v>234.29595</v>
      </c>
      <c r="AQ58" s="556">
        <v>109931.65974</v>
      </c>
      <c r="AR58" s="556">
        <v>1.5367999999999999</v>
      </c>
    </row>
    <row r="59" spans="2:44">
      <c r="B59" s="557">
        <v>45541</v>
      </c>
      <c r="C59" s="553">
        <v>15.190099999999999</v>
      </c>
      <c r="D59" s="553">
        <v>27.939299999999999</v>
      </c>
      <c r="E59" s="553">
        <v>21.863900000000001</v>
      </c>
      <c r="F59" s="553">
        <v>43.045900000000003</v>
      </c>
      <c r="G59" s="553">
        <v>20.4818</v>
      </c>
      <c r="H59" s="553">
        <v>18.979700000000001</v>
      </c>
      <c r="I59" s="557">
        <v>45541</v>
      </c>
      <c r="J59" s="553">
        <v>19.2468</v>
      </c>
      <c r="K59" s="553">
        <v>21.3691</v>
      </c>
      <c r="L59" s="553">
        <v>29.404299999999999</v>
      </c>
      <c r="M59" s="553">
        <v>78.762200000000007</v>
      </c>
      <c r="N59" s="553">
        <v>34.755200000000002</v>
      </c>
      <c r="O59" s="553">
        <v>28.594999999999999</v>
      </c>
      <c r="P59" s="553"/>
      <c r="Q59" s="557">
        <v>45541</v>
      </c>
      <c r="R59" s="4">
        <v>560.41</v>
      </c>
      <c r="S59" s="4">
        <v>19581.52</v>
      </c>
      <c r="T59" s="4">
        <v>1589.63</v>
      </c>
      <c r="U59" s="4">
        <v>1.401936258568069</v>
      </c>
      <c r="V59" s="4">
        <v>1.7372209284272628</v>
      </c>
      <c r="W59" s="4">
        <v>2.0479644421540839</v>
      </c>
      <c r="Y59" s="553">
        <v>560.41</v>
      </c>
      <c r="Z59" s="4">
        <v>118.44</v>
      </c>
      <c r="AA59" s="4">
        <v>515</v>
      </c>
      <c r="AB59" s="4">
        <v>179.47</v>
      </c>
      <c r="AC59" s="4">
        <v>26.335000000000001</v>
      </c>
      <c r="AD59" s="4">
        <v>293.75</v>
      </c>
      <c r="AF59" s="4">
        <v>1.401936258568069</v>
      </c>
      <c r="AG59" s="4">
        <v>1.4098321628377573</v>
      </c>
      <c r="AH59" s="4">
        <v>1.0381180834122841</v>
      </c>
      <c r="AI59" s="4">
        <v>2.3356324830817283</v>
      </c>
      <c r="AJ59" s="4" t="e">
        <v>#DIV/0!</v>
      </c>
      <c r="AK59" s="4">
        <v>1.9895022011513714</v>
      </c>
      <c r="AM59" s="555">
        <v>45864</v>
      </c>
      <c r="AN59" s="556">
        <v>471.47</v>
      </c>
      <c r="AO59" s="556">
        <v>935241</v>
      </c>
      <c r="AP59" s="556">
        <v>234.29595</v>
      </c>
      <c r="AQ59" s="556">
        <v>110463.51154650001</v>
      </c>
      <c r="AR59" s="556">
        <v>1.5442</v>
      </c>
    </row>
    <row r="60" spans="2:44">
      <c r="B60" s="557">
        <v>45534</v>
      </c>
      <c r="C60" s="553">
        <v>15.225199999999999</v>
      </c>
      <c r="D60" s="553">
        <v>28.864699999999999</v>
      </c>
      <c r="E60" s="553">
        <v>22.154900000000001</v>
      </c>
      <c r="F60" s="553">
        <v>48.785200000000003</v>
      </c>
      <c r="G60" s="553">
        <v>22.1431</v>
      </c>
      <c r="H60" s="553">
        <v>20.314499999999999</v>
      </c>
      <c r="I60" s="557">
        <v>45534</v>
      </c>
      <c r="J60" s="553">
        <v>19.296800000000001</v>
      </c>
      <c r="K60" s="553">
        <v>22.2532</v>
      </c>
      <c r="L60" s="553">
        <v>29.873000000000001</v>
      </c>
      <c r="M60" s="553">
        <v>89.422200000000004</v>
      </c>
      <c r="N60" s="553">
        <v>37.665199999999999</v>
      </c>
      <c r="O60" s="553">
        <v>30.747299999999999</v>
      </c>
      <c r="P60" s="553"/>
      <c r="Q60" s="557">
        <v>45534</v>
      </c>
      <c r="R60" s="4">
        <v>557.01</v>
      </c>
      <c r="S60" s="4">
        <v>19719.82</v>
      </c>
      <c r="T60" s="4">
        <v>1574.96</v>
      </c>
      <c r="U60" s="4">
        <v>1.3934307299744833</v>
      </c>
      <c r="V60" s="4">
        <v>1.7494905405105685</v>
      </c>
      <c r="W60" s="4">
        <v>2.0290646740530791</v>
      </c>
      <c r="Y60" s="553">
        <v>557.01</v>
      </c>
      <c r="Z60" s="4">
        <v>123.34</v>
      </c>
      <c r="AA60" s="4">
        <v>523.21</v>
      </c>
      <c r="AB60" s="4">
        <v>203.76</v>
      </c>
      <c r="AC60" s="4">
        <v>28.54</v>
      </c>
      <c r="AD60" s="4">
        <v>315.86</v>
      </c>
      <c r="AF60" s="4">
        <v>1.3934307299744833</v>
      </c>
      <c r="AG60" s="4">
        <v>1.4681585525532674</v>
      </c>
      <c r="AH60" s="4">
        <v>1.0546674998488179</v>
      </c>
      <c r="AI60" s="4">
        <v>2.6517438833940652</v>
      </c>
      <c r="AJ60" s="4" t="e">
        <v>#DIV/0!</v>
      </c>
      <c r="AK60" s="4">
        <v>2.1392482221469691</v>
      </c>
      <c r="AM60" s="555">
        <v>45863</v>
      </c>
      <c r="AN60" s="556">
        <v>470.12</v>
      </c>
      <c r="AO60" s="556">
        <v>1039511</v>
      </c>
      <c r="AP60" s="556">
        <v>234.29595</v>
      </c>
      <c r="AQ60" s="556">
        <v>110147.212014</v>
      </c>
      <c r="AR60" s="556">
        <v>1.5398000000000001</v>
      </c>
    </row>
    <row r="61" spans="2:44">
      <c r="B61" s="557">
        <v>45527</v>
      </c>
      <c r="C61" s="553">
        <v>14.9129</v>
      </c>
      <c r="D61" s="553">
        <v>27.9544</v>
      </c>
      <c r="E61" s="553">
        <v>21.6632</v>
      </c>
      <c r="F61" s="553">
        <v>44.414999999999999</v>
      </c>
      <c r="G61" s="553">
        <v>22.052700000000002</v>
      </c>
      <c r="H61" s="553">
        <v>19.960100000000001</v>
      </c>
      <c r="I61" s="557">
        <v>45527</v>
      </c>
      <c r="J61" s="553">
        <v>18.8521</v>
      </c>
      <c r="K61" s="553">
        <v>21.383500000000002</v>
      </c>
      <c r="L61" s="553">
        <v>29.081099999999999</v>
      </c>
      <c r="M61" s="553">
        <v>81.459000000000003</v>
      </c>
      <c r="N61" s="553">
        <v>37.506799999999998</v>
      </c>
      <c r="O61" s="553">
        <v>30.175899999999999</v>
      </c>
      <c r="P61" s="553"/>
      <c r="Q61" s="557">
        <v>45527</v>
      </c>
      <c r="R61" s="4">
        <v>559.41999999999996</v>
      </c>
      <c r="S61" s="4">
        <v>19006.43</v>
      </c>
      <c r="T61" s="4">
        <v>1561.56</v>
      </c>
      <c r="U61" s="4">
        <v>1.3994596487717015</v>
      </c>
      <c r="V61" s="4">
        <v>1.6862004568944486</v>
      </c>
      <c r="W61" s="4">
        <v>2.0118010821953103</v>
      </c>
      <c r="Y61" s="553">
        <v>559.41999999999996</v>
      </c>
      <c r="Z61" s="4">
        <v>118.52</v>
      </c>
      <c r="AA61" s="4">
        <v>509.34</v>
      </c>
      <c r="AB61" s="4">
        <v>185.61500000000001</v>
      </c>
      <c r="AC61" s="4">
        <v>28.42</v>
      </c>
      <c r="AD61" s="4">
        <v>309.99</v>
      </c>
      <c r="AF61" s="4">
        <v>1.3994596487717015</v>
      </c>
      <c r="AG61" s="4">
        <v>1.4107844304249493</v>
      </c>
      <c r="AH61" s="4">
        <v>1.0267088633110928</v>
      </c>
      <c r="AI61" s="4">
        <v>2.4156038521603334</v>
      </c>
      <c r="AJ61" s="4" t="e">
        <v>#DIV/0!</v>
      </c>
      <c r="AK61" s="4">
        <v>2.0994920419911955</v>
      </c>
      <c r="AM61" s="555">
        <v>45862</v>
      </c>
      <c r="AN61" s="556">
        <v>473.57</v>
      </c>
      <c r="AO61" s="556">
        <v>1488005</v>
      </c>
      <c r="AP61" s="556">
        <v>234.29595</v>
      </c>
      <c r="AQ61" s="556">
        <v>110955.53304150001</v>
      </c>
      <c r="AR61" s="556">
        <v>1.5510999999999999</v>
      </c>
    </row>
    <row r="62" spans="2:44">
      <c r="B62" s="557">
        <v>45520</v>
      </c>
      <c r="C62" s="553">
        <v>15.0351</v>
      </c>
      <c r="D62" s="553">
        <v>27.846800000000002</v>
      </c>
      <c r="E62" s="553">
        <v>21.568300000000001</v>
      </c>
      <c r="F62" s="553">
        <v>45.577100000000002</v>
      </c>
      <c r="G62" s="553">
        <v>21.547899999999998</v>
      </c>
      <c r="H62" s="553">
        <v>19.430700000000002</v>
      </c>
      <c r="I62" s="557">
        <v>45520</v>
      </c>
      <c r="J62" s="553">
        <v>19.0261</v>
      </c>
      <c r="K62" s="553">
        <v>21.2807</v>
      </c>
      <c r="L62" s="553">
        <v>28.928100000000001</v>
      </c>
      <c r="M62" s="553">
        <v>83.576499999999996</v>
      </c>
      <c r="N62" s="553">
        <v>36.622599999999998</v>
      </c>
      <c r="O62" s="553">
        <v>29.322199999999999</v>
      </c>
      <c r="P62" s="553"/>
      <c r="Q62" s="557">
        <v>45520</v>
      </c>
      <c r="R62" s="4">
        <v>541.55999999999995</v>
      </c>
      <c r="S62" s="4">
        <v>18077.919999999998</v>
      </c>
      <c r="T62" s="4">
        <v>1508.17</v>
      </c>
      <c r="U62" s="4">
        <v>1.3547806073948065</v>
      </c>
      <c r="V62" s="4">
        <v>1.6038254929358793</v>
      </c>
      <c r="W62" s="4">
        <v>1.9430172635918577</v>
      </c>
      <c r="Y62" s="553">
        <v>541.55999999999995</v>
      </c>
      <c r="Z62" s="4">
        <v>117.95</v>
      </c>
      <c r="AA62" s="4">
        <v>506.66</v>
      </c>
      <c r="AB62" s="4">
        <v>190.44</v>
      </c>
      <c r="AC62" s="4">
        <v>27.75</v>
      </c>
      <c r="AD62" s="4">
        <v>301.22000000000003</v>
      </c>
      <c r="AF62" s="4">
        <v>1.3547806073948065</v>
      </c>
      <c r="AG62" s="4">
        <v>1.4039995238662064</v>
      </c>
      <c r="AH62" s="4">
        <v>1.0213066177508114</v>
      </c>
      <c r="AI62" s="4">
        <v>2.4783966684018739</v>
      </c>
      <c r="AJ62" s="4" t="e">
        <v>#DIV/0!</v>
      </c>
      <c r="AK62" s="4">
        <v>2.0400948188283103</v>
      </c>
      <c r="AM62" s="555">
        <v>45861</v>
      </c>
      <c r="AN62" s="556">
        <v>467.51</v>
      </c>
      <c r="AO62" s="556">
        <v>1209186</v>
      </c>
      <c r="AP62" s="556">
        <v>234.29595</v>
      </c>
      <c r="AQ62" s="556">
        <v>109535.69958450001</v>
      </c>
      <c r="AR62" s="556">
        <v>1.5313000000000001</v>
      </c>
    </row>
    <row r="63" spans="2:44">
      <c r="B63" s="557">
        <v>45513</v>
      </c>
      <c r="C63" s="553">
        <v>14.831099999999999</v>
      </c>
      <c r="D63" s="553">
        <v>27.506900000000002</v>
      </c>
      <c r="E63" s="553">
        <v>21.131599999999999</v>
      </c>
      <c r="F63" s="553">
        <v>42.104100000000003</v>
      </c>
      <c r="G63" s="553">
        <v>21.434799999999999</v>
      </c>
      <c r="H63" s="553">
        <v>18.833600000000001</v>
      </c>
      <c r="I63" s="557">
        <v>45513</v>
      </c>
      <c r="J63" s="553">
        <v>18.735600000000002</v>
      </c>
      <c r="K63" s="553">
        <v>20.9559</v>
      </c>
      <c r="L63" s="553">
        <v>28.224699999999999</v>
      </c>
      <c r="M63" s="553">
        <v>77.248199999999997</v>
      </c>
      <c r="N63" s="553">
        <v>36.424599999999998</v>
      </c>
      <c r="O63" s="553">
        <v>28.359500000000001</v>
      </c>
      <c r="P63" s="553"/>
      <c r="Q63" s="557">
        <v>45513</v>
      </c>
      <c r="R63" s="4">
        <v>537.66</v>
      </c>
      <c r="S63" s="4">
        <v>18796.27</v>
      </c>
      <c r="T63" s="4">
        <v>1554.08</v>
      </c>
      <c r="U63" s="4">
        <v>1.3450242657727522</v>
      </c>
      <c r="V63" s="4">
        <v>1.667555614700468</v>
      </c>
      <c r="W63" s="4">
        <v>2.0021643906209738</v>
      </c>
      <c r="Y63" s="553">
        <v>537.66</v>
      </c>
      <c r="Z63" s="4">
        <v>116.15</v>
      </c>
      <c r="AA63" s="4">
        <v>494.34</v>
      </c>
      <c r="AB63" s="4">
        <v>176.02</v>
      </c>
      <c r="AC63" s="4">
        <v>27.6</v>
      </c>
      <c r="AD63" s="4">
        <v>291.33</v>
      </c>
      <c r="AF63" s="4">
        <v>1.3450242657727522</v>
      </c>
      <c r="AG63" s="4">
        <v>1.3825735031543864</v>
      </c>
      <c r="AH63" s="4">
        <v>0.99647241427966704</v>
      </c>
      <c r="AI63" s="4">
        <v>2.2907339927121293</v>
      </c>
      <c r="AJ63" s="4" t="e">
        <v>#DIV/0!</v>
      </c>
      <c r="AK63" s="4">
        <v>1.9731120894006093</v>
      </c>
      <c r="AM63" s="555">
        <v>45860</v>
      </c>
      <c r="AN63" s="556">
        <v>467.51</v>
      </c>
      <c r="AO63" s="556">
        <v>1209186</v>
      </c>
      <c r="AP63" s="556">
        <v>234.29595</v>
      </c>
      <c r="AQ63" s="556">
        <v>109535.69958450001</v>
      </c>
      <c r="AR63" s="556">
        <v>1.5313000000000001</v>
      </c>
    </row>
    <row r="64" spans="2:44">
      <c r="B64" s="557">
        <v>45506</v>
      </c>
      <c r="C64" s="553">
        <v>14.764099999999999</v>
      </c>
      <c r="D64" s="553">
        <v>27.561599999999999</v>
      </c>
      <c r="E64" s="553">
        <v>21.138999999999999</v>
      </c>
      <c r="F64" s="553">
        <v>39.811199999999999</v>
      </c>
      <c r="G64" s="553">
        <v>20.613600000000002</v>
      </c>
      <c r="H64" s="553">
        <v>17.906700000000001</v>
      </c>
      <c r="I64" s="557">
        <v>45506</v>
      </c>
      <c r="J64" s="553">
        <v>18.6402</v>
      </c>
      <c r="K64" s="553">
        <v>21.008299999999998</v>
      </c>
      <c r="L64" s="553">
        <v>28.236699999999999</v>
      </c>
      <c r="M64" s="553">
        <v>73.0702</v>
      </c>
      <c r="N64" s="553">
        <v>34.9861</v>
      </c>
      <c r="O64" s="553">
        <v>26.865200000000002</v>
      </c>
      <c r="P64" s="553"/>
      <c r="Q64" s="557">
        <v>45506</v>
      </c>
      <c r="R64" s="4">
        <v>501.29</v>
      </c>
      <c r="S64" s="4">
        <v>19754.34</v>
      </c>
      <c r="T64" s="4">
        <v>1551.05</v>
      </c>
      <c r="U64" s="4">
        <v>1.2540401260819534</v>
      </c>
      <c r="V64" s="4">
        <v>1.7525530640761195</v>
      </c>
      <c r="W64" s="4">
        <v>1.9982607575367171</v>
      </c>
      <c r="Y64" s="553">
        <v>501.29</v>
      </c>
      <c r="Z64" s="4">
        <v>116.44</v>
      </c>
      <c r="AA64" s="4">
        <v>494.55</v>
      </c>
      <c r="AB64" s="4">
        <v>166.5</v>
      </c>
      <c r="AC64" s="4">
        <v>26.51</v>
      </c>
      <c r="AD64" s="4">
        <v>275.98</v>
      </c>
      <c r="AF64" s="4">
        <v>1.2540401260819534</v>
      </c>
      <c r="AG64" s="4">
        <v>1.3860254731579573</v>
      </c>
      <c r="AH64" s="4">
        <v>0.99689572456610698</v>
      </c>
      <c r="AI64" s="4">
        <v>2.1668401874023946</v>
      </c>
      <c r="AJ64" s="4" t="e">
        <v>#DIV/0!</v>
      </c>
      <c r="AK64" s="4">
        <v>1.8691500169319337</v>
      </c>
      <c r="AM64" s="555">
        <v>45859</v>
      </c>
      <c r="AN64" s="556">
        <v>467.51</v>
      </c>
      <c r="AO64" s="556">
        <v>1209186</v>
      </c>
      <c r="AP64" s="556">
        <v>234.29595</v>
      </c>
      <c r="AQ64" s="556">
        <v>109535.69958450001</v>
      </c>
      <c r="AR64" s="556">
        <v>1.5313000000000001</v>
      </c>
    </row>
    <row r="65" spans="2:44">
      <c r="B65" s="557">
        <v>45499</v>
      </c>
      <c r="C65" s="553">
        <v>14.192399999999999</v>
      </c>
      <c r="D65" s="553">
        <v>27.0914</v>
      </c>
      <c r="E65" s="553">
        <v>20.633900000000001</v>
      </c>
      <c r="F65" s="553">
        <v>41.336599999999997</v>
      </c>
      <c r="G65" s="553">
        <v>22.067299999999999</v>
      </c>
      <c r="H65" s="553">
        <v>18.168700000000001</v>
      </c>
      <c r="I65" s="557">
        <v>45499</v>
      </c>
      <c r="J65" s="553">
        <v>17.826000000000001</v>
      </c>
      <c r="K65" s="553">
        <v>20.559000000000001</v>
      </c>
      <c r="L65" s="553">
        <v>27.423100000000002</v>
      </c>
      <c r="M65" s="553">
        <v>72.094300000000004</v>
      </c>
      <c r="N65" s="553">
        <v>37.612400000000001</v>
      </c>
      <c r="O65" s="553">
        <v>27.287700000000001</v>
      </c>
      <c r="P65" s="553"/>
      <c r="Q65" s="557">
        <v>45499</v>
      </c>
      <c r="R65" s="4">
        <v>468.58</v>
      </c>
      <c r="S65" s="4">
        <v>20398.63</v>
      </c>
      <c r="T65" s="4">
        <v>1564.9</v>
      </c>
      <c r="U65" s="4">
        <v>1.1722119377595437</v>
      </c>
      <c r="V65" s="4">
        <v>1.8097127775190189</v>
      </c>
      <c r="W65" s="4">
        <v>2.016104096882247</v>
      </c>
      <c r="Y65" s="553">
        <v>468.58</v>
      </c>
      <c r="Z65" s="4">
        <v>113.95</v>
      </c>
      <c r="AA65" s="4">
        <v>480.3</v>
      </c>
      <c r="AB65" s="4">
        <v>173.82</v>
      </c>
      <c r="AC65" s="4">
        <v>28.5</v>
      </c>
      <c r="AD65" s="4">
        <v>280.32</v>
      </c>
      <c r="AF65" s="4">
        <v>1.1722119377595437</v>
      </c>
      <c r="AG65" s="4">
        <v>1.3563861445066063</v>
      </c>
      <c r="AH65" s="4">
        <v>0.96817109798625256</v>
      </c>
      <c r="AI65" s="4">
        <v>2.2621030713170223</v>
      </c>
      <c r="AJ65" s="4" t="e">
        <v>#DIV/0!</v>
      </c>
      <c r="AK65" s="4">
        <v>1.8985438537080934</v>
      </c>
      <c r="AM65" s="555">
        <v>45858</v>
      </c>
      <c r="AN65" s="556">
        <v>464.31</v>
      </c>
      <c r="AO65" s="556">
        <v>1255293</v>
      </c>
      <c r="AP65" s="556">
        <v>234.29595</v>
      </c>
      <c r="AQ65" s="556">
        <v>108785.9525445</v>
      </c>
      <c r="AR65" s="556">
        <v>1.5207999999999999</v>
      </c>
    </row>
    <row r="66" spans="2:44">
      <c r="B66" s="557">
        <v>45492</v>
      </c>
      <c r="C66" s="553">
        <v>13.0777</v>
      </c>
      <c r="D66" s="553">
        <v>24.976900000000001</v>
      </c>
      <c r="E66" s="553">
        <v>19.317699999999999</v>
      </c>
      <c r="F66" s="553">
        <v>39.049599999999998</v>
      </c>
      <c r="G66" s="553">
        <v>21.5335</v>
      </c>
      <c r="H66" s="553">
        <v>17.970700000000001</v>
      </c>
      <c r="I66" s="557">
        <v>45492</v>
      </c>
      <c r="J66" s="553">
        <v>16.131699999999999</v>
      </c>
      <c r="K66" s="553">
        <v>18.549099999999999</v>
      </c>
      <c r="L66" s="553">
        <v>25.0045</v>
      </c>
      <c r="M66" s="553">
        <v>68.116699999999994</v>
      </c>
      <c r="N66" s="553">
        <v>36.675400000000003</v>
      </c>
      <c r="O66" s="553">
        <v>26.968399999999999</v>
      </c>
      <c r="P66" s="553"/>
      <c r="Q66" s="557">
        <v>45492</v>
      </c>
      <c r="R66" s="4">
        <v>460.3</v>
      </c>
      <c r="S66" s="4">
        <v>20453.02</v>
      </c>
      <c r="T66" s="4">
        <v>1540.62</v>
      </c>
      <c r="U66" s="4">
        <v>1.1514984740081053</v>
      </c>
      <c r="V66" s="4">
        <v>1.8145381151995033</v>
      </c>
      <c r="W66" s="4">
        <v>1.9848234990981704</v>
      </c>
      <c r="Y66" s="553">
        <v>460.3</v>
      </c>
      <c r="Z66" s="4">
        <v>102.81</v>
      </c>
      <c r="AA66" s="4">
        <v>437.94</v>
      </c>
      <c r="AB66" s="4">
        <v>164.23</v>
      </c>
      <c r="AC66" s="4">
        <v>27.79</v>
      </c>
      <c r="AD66" s="4">
        <v>277.04000000000002</v>
      </c>
      <c r="AF66" s="4">
        <v>1.1514984740081053</v>
      </c>
      <c r="AG66" s="4">
        <v>1.2237828829901203</v>
      </c>
      <c r="AH66" s="4">
        <v>0.88278336592150619</v>
      </c>
      <c r="AI66" s="4">
        <v>2.137298282144716</v>
      </c>
      <c r="AJ66" s="4" t="e">
        <v>#DIV/0!</v>
      </c>
      <c r="AK66" s="4">
        <v>1.8763291567897054</v>
      </c>
      <c r="AM66" s="555">
        <v>45857</v>
      </c>
      <c r="AN66" s="556">
        <v>463.06</v>
      </c>
      <c r="AO66" s="556">
        <v>892696</v>
      </c>
      <c r="AP66" s="556">
        <v>234.29595</v>
      </c>
      <c r="AQ66" s="556">
        <v>108493.082607</v>
      </c>
      <c r="AR66" s="556">
        <v>1.5166999999999999</v>
      </c>
    </row>
    <row r="67" spans="2:44">
      <c r="B67" s="557">
        <v>45485</v>
      </c>
      <c r="C67" s="553">
        <v>12.808999999999999</v>
      </c>
      <c r="D67" s="553">
        <v>24.688199999999998</v>
      </c>
      <c r="E67" s="553">
        <v>19.113199999999999</v>
      </c>
      <c r="F67" s="553">
        <v>41.200699999999998</v>
      </c>
      <c r="G67" s="553">
        <v>20.6614</v>
      </c>
      <c r="H67" s="553">
        <v>18.1204</v>
      </c>
      <c r="I67" s="557">
        <v>45485</v>
      </c>
      <c r="J67" s="553">
        <v>15.7516</v>
      </c>
      <c r="K67" s="553">
        <v>18.273099999999999</v>
      </c>
      <c r="L67" s="553">
        <v>24.678999999999998</v>
      </c>
      <c r="M67" s="553">
        <v>71.857900000000001</v>
      </c>
      <c r="N67" s="553">
        <v>35.144500000000001</v>
      </c>
      <c r="O67" s="553">
        <v>27.209800000000001</v>
      </c>
      <c r="P67" s="553"/>
      <c r="Q67" s="557">
        <v>45485</v>
      </c>
      <c r="R67" s="4">
        <v>465.7</v>
      </c>
      <c r="S67" s="4">
        <v>20011.89</v>
      </c>
      <c r="T67" s="4">
        <v>1526.23</v>
      </c>
      <c r="U67" s="4">
        <v>1.165007254715565</v>
      </c>
      <c r="V67" s="4">
        <v>1.7754022223700845</v>
      </c>
      <c r="W67" s="4">
        <v>1.9662844627673279</v>
      </c>
      <c r="Y67" s="553">
        <v>465.7</v>
      </c>
      <c r="Z67" s="4">
        <v>101.28</v>
      </c>
      <c r="AA67" s="4">
        <v>432.24</v>
      </c>
      <c r="AB67" s="4">
        <v>173.25</v>
      </c>
      <c r="AC67" s="4">
        <v>26.63</v>
      </c>
      <c r="AD67" s="4">
        <v>279.52</v>
      </c>
      <c r="AF67" s="4">
        <v>1.165007254715565</v>
      </c>
      <c r="AG67" s="4">
        <v>1.2055707653850731</v>
      </c>
      <c r="AH67" s="4">
        <v>0.87129351528956445</v>
      </c>
      <c r="AI67" s="4">
        <v>2.2546850598646535</v>
      </c>
      <c r="AJ67" s="4" t="e">
        <v>#DIV/0!</v>
      </c>
      <c r="AK67" s="4">
        <v>1.8931256349475107</v>
      </c>
      <c r="AM67" s="555">
        <v>45856</v>
      </c>
      <c r="AN67" s="556">
        <v>463.01</v>
      </c>
      <c r="AO67" s="556">
        <v>1242958</v>
      </c>
      <c r="AP67" s="556">
        <v>234.29595</v>
      </c>
      <c r="AQ67" s="556">
        <v>108481.36780950001</v>
      </c>
      <c r="AR67" s="556">
        <v>1.5165</v>
      </c>
    </row>
    <row r="68" spans="2:44">
      <c r="B68" s="557">
        <v>45478</v>
      </c>
      <c r="C68" s="553">
        <v>12.7713</v>
      </c>
      <c r="D68" s="553">
        <v>24.516400000000001</v>
      </c>
      <c r="E68" s="553">
        <v>19.202500000000001</v>
      </c>
      <c r="F68" s="553">
        <v>40.1633</v>
      </c>
      <c r="G68" s="553">
        <v>19.9697</v>
      </c>
      <c r="H68" s="553">
        <v>17.6206</v>
      </c>
      <c r="I68" s="557">
        <v>45478</v>
      </c>
      <c r="J68" s="553">
        <v>15.6983</v>
      </c>
      <c r="K68" s="553">
        <v>18.108899999999998</v>
      </c>
      <c r="L68" s="553">
        <v>24.821200000000001</v>
      </c>
      <c r="M68" s="553">
        <v>70.053700000000006</v>
      </c>
      <c r="N68" s="553">
        <v>33.930300000000003</v>
      </c>
      <c r="O68" s="553">
        <v>26.4038</v>
      </c>
      <c r="P68" s="553"/>
      <c r="Q68" s="557">
        <v>45478</v>
      </c>
      <c r="R68" s="4">
        <v>468.07</v>
      </c>
      <c r="S68" s="4">
        <v>19701.13</v>
      </c>
      <c r="T68" s="4">
        <v>1555.09</v>
      </c>
      <c r="U68" s="4">
        <v>1.1709361084705059</v>
      </c>
      <c r="V68" s="4">
        <v>1.7478324128906337</v>
      </c>
      <c r="W68" s="4">
        <v>2.0034656016490593</v>
      </c>
      <c r="Y68" s="553">
        <v>468.07</v>
      </c>
      <c r="Z68" s="4">
        <v>100.37</v>
      </c>
      <c r="AA68" s="4">
        <v>434.73</v>
      </c>
      <c r="AB68" s="4">
        <v>168.9</v>
      </c>
      <c r="AC68" s="4">
        <v>25.71</v>
      </c>
      <c r="AD68" s="4">
        <v>271.24</v>
      </c>
      <c r="AF68" s="4">
        <v>1.1709361084705059</v>
      </c>
      <c r="AG68" s="4">
        <v>1.1947387215807641</v>
      </c>
      <c r="AH68" s="4">
        <v>0.87631276582878115</v>
      </c>
      <c r="AI68" s="4">
        <v>2.19807391983342</v>
      </c>
      <c r="AJ68" s="4" t="e">
        <v>#DIV/0!</v>
      </c>
      <c r="AK68" s="4">
        <v>1.8370470707754825</v>
      </c>
      <c r="AM68" s="555">
        <v>45855</v>
      </c>
      <c r="AN68" s="556">
        <v>469.06</v>
      </c>
      <c r="AO68" s="556">
        <v>1224120</v>
      </c>
      <c r="AP68" s="556">
        <v>234.29595</v>
      </c>
      <c r="AQ68" s="556">
        <v>109898.858307</v>
      </c>
      <c r="AR68" s="556">
        <v>1.5363</v>
      </c>
    </row>
    <row r="69" spans="2:44">
      <c r="B69" s="557">
        <v>45471</v>
      </c>
      <c r="C69" s="553">
        <v>12.9285</v>
      </c>
      <c r="D69" s="553">
        <v>21.775500000000001</v>
      </c>
      <c r="E69" s="553">
        <v>19.9023</v>
      </c>
      <c r="F69" s="553">
        <v>43.325499999999998</v>
      </c>
      <c r="G69" s="553">
        <v>20.774699999999999</v>
      </c>
      <c r="H69" s="553">
        <v>18.062799999999999</v>
      </c>
      <c r="I69" s="557">
        <v>45471</v>
      </c>
      <c r="J69" s="553">
        <v>15.387600000000001</v>
      </c>
      <c r="K69" s="553">
        <v>18.439499999999999</v>
      </c>
      <c r="L69" s="553">
        <v>26.430099999999999</v>
      </c>
      <c r="M69" s="553">
        <v>75.553399999999996</v>
      </c>
      <c r="N69" s="553">
        <v>34.136499999999998</v>
      </c>
      <c r="O69" s="553">
        <v>27.840699999999998</v>
      </c>
      <c r="P69" s="553"/>
      <c r="Q69" s="557">
        <v>45471</v>
      </c>
      <c r="R69" s="4">
        <v>460</v>
      </c>
      <c r="S69" s="4">
        <v>19908.86</v>
      </c>
      <c r="T69" s="4">
        <v>1599.58</v>
      </c>
      <c r="U69" s="4">
        <v>1.1507479861910241</v>
      </c>
      <c r="V69" s="4">
        <v>1.7662616718788122</v>
      </c>
      <c r="W69" s="4">
        <v>2.0607833032723524</v>
      </c>
      <c r="Y69" s="553">
        <v>460</v>
      </c>
      <c r="Z69" s="4">
        <v>100.39</v>
      </c>
      <c r="AA69" s="4">
        <v>435.95</v>
      </c>
      <c r="AB69" s="4">
        <v>182.16</v>
      </c>
      <c r="AC69" s="4">
        <v>25.51</v>
      </c>
      <c r="AD69" s="4">
        <v>270.98</v>
      </c>
      <c r="AF69" s="4">
        <v>1.1507479861910241</v>
      </c>
      <c r="AG69" s="4">
        <v>1.1949767884775622</v>
      </c>
      <c r="AH69" s="4">
        <v>0.87877199701667041</v>
      </c>
      <c r="AI69" s="4">
        <v>2.3706402915148357</v>
      </c>
      <c r="AJ69" s="4" t="e">
        <v>#DIV/0!</v>
      </c>
      <c r="AK69" s="4">
        <v>1.8352861496782933</v>
      </c>
      <c r="AM69" s="555">
        <v>45854</v>
      </c>
      <c r="AN69" s="556">
        <v>462.52</v>
      </c>
      <c r="AO69" s="556">
        <v>707859</v>
      </c>
      <c r="AP69" s="556">
        <v>234.29595</v>
      </c>
      <c r="AQ69" s="556">
        <v>108366.562794</v>
      </c>
      <c r="AR69" s="556">
        <v>1.5148999999999999</v>
      </c>
    </row>
    <row r="70" spans="2:44">
      <c r="B70" s="557">
        <v>45464</v>
      </c>
      <c r="C70" s="553">
        <v>12.9405</v>
      </c>
      <c r="D70" s="553">
        <v>22.645099999999999</v>
      </c>
      <c r="E70" s="553">
        <v>19.759499999999999</v>
      </c>
      <c r="F70" s="553">
        <v>45.074199999999998</v>
      </c>
      <c r="G70" s="553">
        <v>21.160799999999998</v>
      </c>
      <c r="H70" s="553">
        <v>18.311699999999998</v>
      </c>
      <c r="I70" s="557">
        <v>45464</v>
      </c>
      <c r="J70" s="553">
        <v>15.4041</v>
      </c>
      <c r="K70" s="553">
        <v>19.398299999999999</v>
      </c>
      <c r="L70" s="553">
        <v>26.196100000000001</v>
      </c>
      <c r="M70" s="553">
        <v>78.589500000000001</v>
      </c>
      <c r="N70" s="553">
        <v>34.792200000000001</v>
      </c>
      <c r="O70" s="553">
        <v>28.254799999999999</v>
      </c>
      <c r="P70" s="553"/>
      <c r="Q70" s="557">
        <v>45464</v>
      </c>
      <c r="R70" s="4">
        <v>462.8</v>
      </c>
      <c r="S70" s="4">
        <v>19210.18</v>
      </c>
      <c r="T70" s="4">
        <v>1636.66</v>
      </c>
      <c r="U70" s="4">
        <v>1.1577525391504477</v>
      </c>
      <c r="V70" s="4">
        <v>1.7042766207554285</v>
      </c>
      <c r="W70" s="4">
        <v>2.1085544962638494</v>
      </c>
      <c r="Y70" s="553">
        <v>462.8</v>
      </c>
      <c r="Z70" s="4">
        <v>105.61</v>
      </c>
      <c r="AA70" s="4">
        <v>432.09</v>
      </c>
      <c r="AB70" s="4">
        <v>189.48</v>
      </c>
      <c r="AC70" s="4">
        <v>26</v>
      </c>
      <c r="AD70" s="4">
        <v>275.01</v>
      </c>
      <c r="AF70" s="4">
        <v>1.1577525391504477</v>
      </c>
      <c r="AG70" s="4">
        <v>1.2571122485418402</v>
      </c>
      <c r="AH70" s="4">
        <v>0.87099115079925016</v>
      </c>
      <c r="AI70" s="4">
        <v>2.4659031754294634</v>
      </c>
      <c r="AJ70" s="4" t="e">
        <v>#DIV/0!</v>
      </c>
      <c r="AK70" s="4">
        <v>1.8625804266847272</v>
      </c>
      <c r="AM70" s="555">
        <v>45853</v>
      </c>
      <c r="AN70" s="556">
        <v>462.52</v>
      </c>
      <c r="AO70" s="556">
        <v>707859</v>
      </c>
      <c r="AP70" s="556">
        <v>234.29595</v>
      </c>
      <c r="AQ70" s="556">
        <v>108366.562794</v>
      </c>
      <c r="AR70" s="556">
        <v>1.5148999999999999</v>
      </c>
    </row>
    <row r="71" spans="2:44">
      <c r="B71" s="557">
        <v>45457</v>
      </c>
      <c r="C71" s="553">
        <v>12.7174</v>
      </c>
      <c r="D71" s="553">
        <v>22.415199999999999</v>
      </c>
      <c r="E71" s="553">
        <v>19.4635</v>
      </c>
      <c r="F71" s="553">
        <v>51.217799999999997</v>
      </c>
      <c r="G71" s="553">
        <v>20.105</v>
      </c>
      <c r="H71" s="553">
        <v>17.768899999999999</v>
      </c>
      <c r="I71" s="557">
        <v>45457</v>
      </c>
      <c r="J71" s="553">
        <v>15.099</v>
      </c>
      <c r="K71" s="553">
        <v>19.1448</v>
      </c>
      <c r="L71" s="553">
        <v>25.711099999999998</v>
      </c>
      <c r="M71" s="553">
        <v>89.273799999999994</v>
      </c>
      <c r="N71" s="553">
        <v>32.999099999999999</v>
      </c>
      <c r="O71" s="553">
        <v>27.351700000000001</v>
      </c>
      <c r="P71" s="553"/>
      <c r="Q71" s="557">
        <v>45457</v>
      </c>
      <c r="R71" s="4">
        <v>468.89</v>
      </c>
      <c r="S71" s="4">
        <v>18654.84</v>
      </c>
      <c r="T71" s="4">
        <v>1643.77</v>
      </c>
      <c r="U71" s="4">
        <v>1.1729874418371942</v>
      </c>
      <c r="V71" s="4">
        <v>1.6550083172533103</v>
      </c>
      <c r="W71" s="4">
        <v>2.1177145065704712</v>
      </c>
      <c r="Y71" s="553">
        <v>468.89</v>
      </c>
      <c r="Z71" s="4">
        <v>104.23</v>
      </c>
      <c r="AA71" s="4">
        <v>424.09</v>
      </c>
      <c r="AB71" s="4">
        <v>215.24</v>
      </c>
      <c r="AC71" s="4">
        <v>24.66</v>
      </c>
      <c r="AD71" s="4">
        <v>266.22000000000003</v>
      </c>
      <c r="AF71" s="4">
        <v>1.1729874418371942</v>
      </c>
      <c r="AG71" s="4">
        <v>1.2406856326627782</v>
      </c>
      <c r="AH71" s="4">
        <v>0.85486504464915636</v>
      </c>
      <c r="AI71" s="4">
        <v>2.8011452368558043</v>
      </c>
      <c r="AJ71" s="4" t="e">
        <v>#DIV/0!</v>
      </c>
      <c r="AK71" s="4">
        <v>1.8030477480528277</v>
      </c>
      <c r="AM71" s="555">
        <v>45852</v>
      </c>
      <c r="AN71" s="556">
        <v>462.52</v>
      </c>
      <c r="AO71" s="556">
        <v>707859</v>
      </c>
      <c r="AP71" s="556">
        <v>234.29595</v>
      </c>
      <c r="AQ71" s="556">
        <v>108366.562794</v>
      </c>
      <c r="AR71" s="556">
        <v>1.5148999999999999</v>
      </c>
    </row>
    <row r="72" spans="2:44">
      <c r="B72" s="557">
        <v>45450</v>
      </c>
      <c r="C72" s="553">
        <v>13.0015</v>
      </c>
      <c r="D72" s="553">
        <v>23.061599999999999</v>
      </c>
      <c r="E72" s="553">
        <v>20.053599999999999</v>
      </c>
      <c r="F72" s="553">
        <v>48.129300000000001</v>
      </c>
      <c r="G72" s="553">
        <v>19.797799999999999</v>
      </c>
      <c r="H72" s="553">
        <v>18.097999999999999</v>
      </c>
      <c r="I72" s="557">
        <v>45450</v>
      </c>
      <c r="J72" s="553">
        <v>15.487399999999999</v>
      </c>
      <c r="K72" s="553">
        <v>19.857500000000002</v>
      </c>
      <c r="L72" s="553">
        <v>26.678000000000001</v>
      </c>
      <c r="M72" s="553">
        <v>83.902600000000007</v>
      </c>
      <c r="N72" s="553">
        <v>32.477200000000003</v>
      </c>
      <c r="O72" s="553">
        <v>27.8993</v>
      </c>
      <c r="P72" s="553"/>
      <c r="Q72" s="557">
        <v>45450</v>
      </c>
      <c r="R72" s="4">
        <v>458.48</v>
      </c>
      <c r="S72" s="4">
        <v>18869.439999999999</v>
      </c>
      <c r="T72" s="4">
        <v>1663.29</v>
      </c>
      <c r="U72" s="4">
        <v>1.14694551458448</v>
      </c>
      <c r="V72" s="4">
        <v>1.6740470645640648</v>
      </c>
      <c r="W72" s="4">
        <v>2.1428626642617878</v>
      </c>
      <c r="Y72" s="553">
        <v>458.48</v>
      </c>
      <c r="Z72" s="4">
        <v>108.11</v>
      </c>
      <c r="AA72" s="4">
        <v>440.04</v>
      </c>
      <c r="AB72" s="4">
        <v>202.29</v>
      </c>
      <c r="AC72" s="4">
        <v>24.27</v>
      </c>
      <c r="AD72" s="4">
        <v>271.55</v>
      </c>
      <c r="AF72" s="4">
        <v>1.14694551458448</v>
      </c>
      <c r="AG72" s="4">
        <v>1.2868706106415901</v>
      </c>
      <c r="AH72" s="4">
        <v>0.8870164687859059</v>
      </c>
      <c r="AI72" s="4">
        <v>2.6326132222800624</v>
      </c>
      <c r="AJ72" s="4" t="e">
        <v>#DIV/0!</v>
      </c>
      <c r="AK72" s="4">
        <v>1.8391466305452082</v>
      </c>
      <c r="AM72" s="555">
        <v>45851</v>
      </c>
      <c r="AN72" s="556">
        <v>462.52</v>
      </c>
      <c r="AO72" s="556">
        <v>707859</v>
      </c>
      <c r="AP72" s="556">
        <v>234.29595</v>
      </c>
      <c r="AQ72" s="556">
        <v>108366.562794</v>
      </c>
      <c r="AR72" s="556">
        <v>1.5148999999999999</v>
      </c>
    </row>
    <row r="73" spans="2:44">
      <c r="B73" s="557">
        <v>45443</v>
      </c>
      <c r="C73" s="553">
        <v>13.006600000000001</v>
      </c>
      <c r="D73" s="553">
        <v>23.011700000000001</v>
      </c>
      <c r="E73" s="553">
        <v>20.450600000000001</v>
      </c>
      <c r="F73" s="553">
        <v>48.0959</v>
      </c>
      <c r="G73" s="553">
        <v>19.230499999999999</v>
      </c>
      <c r="H73" s="553">
        <v>18.794</v>
      </c>
      <c r="I73" s="557">
        <v>45443</v>
      </c>
      <c r="J73" s="553">
        <v>15.494300000000001</v>
      </c>
      <c r="K73" s="553">
        <v>19.802399999999999</v>
      </c>
      <c r="L73" s="553">
        <v>27.328600000000002</v>
      </c>
      <c r="M73" s="553">
        <v>83.8446</v>
      </c>
      <c r="N73" s="553">
        <v>31.5137</v>
      </c>
      <c r="O73" s="553">
        <v>29.057200000000002</v>
      </c>
      <c r="P73" s="553"/>
      <c r="Q73" s="557">
        <v>45443</v>
      </c>
      <c r="R73" s="4">
        <v>468.31</v>
      </c>
      <c r="S73" s="4">
        <v>18713.8</v>
      </c>
      <c r="T73" s="4">
        <v>1660.95</v>
      </c>
      <c r="U73" s="4">
        <v>1.1715364987241708</v>
      </c>
      <c r="V73" s="4">
        <v>1.6602390933084925</v>
      </c>
      <c r="W73" s="4">
        <v>2.1398479773254313</v>
      </c>
      <c r="Y73" s="553">
        <v>468.31</v>
      </c>
      <c r="Z73" s="4">
        <v>107.81</v>
      </c>
      <c r="AA73" s="4">
        <v>450.77</v>
      </c>
      <c r="AB73" s="4">
        <v>202.15</v>
      </c>
      <c r="AC73" s="4">
        <v>23.55</v>
      </c>
      <c r="AD73" s="4">
        <v>282.82</v>
      </c>
      <c r="AF73" s="4">
        <v>1.1715364987241708</v>
      </c>
      <c r="AG73" s="4">
        <v>1.2832996071896203</v>
      </c>
      <c r="AH73" s="4">
        <v>0.908645608659719</v>
      </c>
      <c r="AI73" s="4">
        <v>2.6307912545549192</v>
      </c>
      <c r="AJ73" s="4" t="e">
        <v>#DIV/0!</v>
      </c>
      <c r="AK73" s="4">
        <v>1.9154757873349135</v>
      </c>
      <c r="AM73" s="555">
        <v>45850</v>
      </c>
      <c r="AN73" s="556">
        <v>462.55</v>
      </c>
      <c r="AO73" s="556">
        <v>1127591</v>
      </c>
      <c r="AP73" s="556">
        <v>234.29595</v>
      </c>
      <c r="AQ73" s="556">
        <v>108373.5916725</v>
      </c>
      <c r="AR73" s="556">
        <v>1.5149999999999999</v>
      </c>
    </row>
    <row r="74" spans="2:44">
      <c r="B74" s="557">
        <v>45436</v>
      </c>
      <c r="C74" s="553">
        <v>12.9345</v>
      </c>
      <c r="D74" s="553">
        <v>22.755099999999999</v>
      </c>
      <c r="E74" s="553">
        <v>21.03</v>
      </c>
      <c r="F74" s="553">
        <v>47.528300000000002</v>
      </c>
      <c r="G74" s="553">
        <v>19.521999999999998</v>
      </c>
      <c r="H74" s="553">
        <v>18.663699999999999</v>
      </c>
      <c r="I74" s="557">
        <v>45436</v>
      </c>
      <c r="J74" s="553">
        <v>15.395799999999999</v>
      </c>
      <c r="K74" s="553">
        <v>19.519500000000001</v>
      </c>
      <c r="L74" s="553">
        <v>28.277999999999999</v>
      </c>
      <c r="M74" s="553">
        <v>82.857399999999998</v>
      </c>
      <c r="N74" s="553">
        <v>32.008899999999997</v>
      </c>
      <c r="O74" s="553">
        <v>28.840399999999999</v>
      </c>
      <c r="P74" s="553"/>
      <c r="Q74" s="557">
        <v>45436</v>
      </c>
      <c r="R74" s="4">
        <v>467.18</v>
      </c>
      <c r="S74" s="4">
        <v>18322.77</v>
      </c>
      <c r="T74" s="4">
        <v>1623.37</v>
      </c>
      <c r="U74" s="4">
        <v>1.1687096612798318</v>
      </c>
      <c r="V74" s="4">
        <v>1.6255479406480804</v>
      </c>
      <c r="W74" s="4">
        <v>2.0914326204586442</v>
      </c>
      <c r="Y74" s="553">
        <v>467.18</v>
      </c>
      <c r="Z74" s="4">
        <v>106.27</v>
      </c>
      <c r="AA74" s="4">
        <v>466.43</v>
      </c>
      <c r="AB74" s="4">
        <v>199.77</v>
      </c>
      <c r="AC74" s="4">
        <v>23.92</v>
      </c>
      <c r="AD74" s="4">
        <v>280.70999999999998</v>
      </c>
      <c r="AF74" s="4">
        <v>1.1687096612798318</v>
      </c>
      <c r="AG74" s="4">
        <v>1.264968456136174</v>
      </c>
      <c r="AH74" s="4">
        <v>0.94021246144852755</v>
      </c>
      <c r="AI74" s="4">
        <v>2.5998178032274857</v>
      </c>
      <c r="AJ74" s="4" t="e">
        <v>#DIV/0!</v>
      </c>
      <c r="AK74" s="4">
        <v>1.9011852353538772</v>
      </c>
      <c r="AM74" s="555">
        <v>45849</v>
      </c>
      <c r="AN74" s="556">
        <v>465.94</v>
      </c>
      <c r="AO74" s="556">
        <v>1242775</v>
      </c>
      <c r="AP74" s="556">
        <v>234.29595</v>
      </c>
      <c r="AQ74" s="556">
        <v>109167.854943</v>
      </c>
      <c r="AR74" s="556">
        <v>1.5261</v>
      </c>
    </row>
    <row r="75" spans="2:44">
      <c r="B75" s="557">
        <v>45429</v>
      </c>
      <c r="C75" s="553">
        <v>12.9068</v>
      </c>
      <c r="D75" s="553">
        <v>22.4069</v>
      </c>
      <c r="E75" s="553">
        <v>21.170200000000001</v>
      </c>
      <c r="F75" s="553">
        <v>46.111600000000003</v>
      </c>
      <c r="G75" s="553">
        <v>19.073</v>
      </c>
      <c r="H75" s="553">
        <v>18.5093</v>
      </c>
      <c r="I75" s="557">
        <v>45429</v>
      </c>
      <c r="J75" s="553">
        <v>15.357900000000001</v>
      </c>
      <c r="K75" s="553">
        <v>19.1356</v>
      </c>
      <c r="L75" s="553">
        <v>28.5078</v>
      </c>
      <c r="M75" s="553">
        <v>80.393699999999995</v>
      </c>
      <c r="N75" s="553">
        <v>31.246099999999998</v>
      </c>
      <c r="O75" s="553">
        <v>28.583600000000001</v>
      </c>
      <c r="P75" s="553"/>
      <c r="Q75" s="557">
        <v>45429</v>
      </c>
      <c r="R75" s="4">
        <v>466.68</v>
      </c>
      <c r="S75" s="4">
        <v>18091.45</v>
      </c>
      <c r="T75" s="4">
        <v>1623.12</v>
      </c>
      <c r="U75" s="4">
        <v>1.1674588482513635</v>
      </c>
      <c r="V75" s="4">
        <v>1.6050258389336174</v>
      </c>
      <c r="W75" s="4">
        <v>2.0911105385209994</v>
      </c>
      <c r="Y75" s="553">
        <v>466.68</v>
      </c>
      <c r="Z75" s="4">
        <v>104.18</v>
      </c>
      <c r="AA75" s="4">
        <v>470.22</v>
      </c>
      <c r="AB75" s="4">
        <v>193.83</v>
      </c>
      <c r="AC75" s="4">
        <v>23.35</v>
      </c>
      <c r="AD75" s="4">
        <v>278.20999999999998</v>
      </c>
      <c r="AF75" s="4">
        <v>1.1674588482513635</v>
      </c>
      <c r="AG75" s="4">
        <v>1.2400904654207832</v>
      </c>
      <c r="AH75" s="4">
        <v>0.94785220423713445</v>
      </c>
      <c r="AI75" s="4">
        <v>2.5225143154606977</v>
      </c>
      <c r="AJ75" s="4" t="e">
        <v>#DIV/0!</v>
      </c>
      <c r="AK75" s="4">
        <v>1.8842533017270571</v>
      </c>
      <c r="AM75" s="555">
        <v>45848</v>
      </c>
      <c r="AN75" s="556">
        <v>463.14</v>
      </c>
      <c r="AO75" s="556">
        <v>1205616</v>
      </c>
      <c r="AP75" s="556">
        <v>234.29595</v>
      </c>
      <c r="AQ75" s="556">
        <v>108511.826283</v>
      </c>
      <c r="AR75" s="556">
        <v>1.5169999999999999</v>
      </c>
    </row>
    <row r="76" spans="2:44">
      <c r="B76" s="557">
        <v>45422</v>
      </c>
      <c r="C76" s="553">
        <v>12.971399999999999</v>
      </c>
      <c r="D76" s="553">
        <v>22.763400000000001</v>
      </c>
      <c r="E76" s="553">
        <v>21.339700000000001</v>
      </c>
      <c r="F76" s="553">
        <v>44.356299999999997</v>
      </c>
      <c r="G76" s="553">
        <v>18.576599999999999</v>
      </c>
      <c r="H76" s="553">
        <v>18.454999999999998</v>
      </c>
      <c r="I76" s="557">
        <v>45422</v>
      </c>
      <c r="J76" s="553">
        <v>15.446199999999999</v>
      </c>
      <c r="K76" s="553">
        <v>19.528700000000001</v>
      </c>
      <c r="L76" s="553">
        <v>28.785399999999999</v>
      </c>
      <c r="M76" s="553">
        <v>77.341099999999997</v>
      </c>
      <c r="N76" s="553">
        <v>30.403099999999998</v>
      </c>
      <c r="O76" s="553">
        <v>28.493099999999998</v>
      </c>
      <c r="P76" s="553"/>
      <c r="Q76" s="557">
        <v>45422</v>
      </c>
      <c r="R76" s="4">
        <v>464.93</v>
      </c>
      <c r="S76" s="4">
        <v>17440.689999999999</v>
      </c>
      <c r="T76" s="4">
        <v>1593.44</v>
      </c>
      <c r="U76" s="4">
        <v>1.1630810026517235</v>
      </c>
      <c r="V76" s="4">
        <v>1.5472921241155986</v>
      </c>
      <c r="W76" s="4">
        <v>2.0528729708837927</v>
      </c>
      <c r="Y76" s="553">
        <v>464.93</v>
      </c>
      <c r="Z76" s="4">
        <v>106.32</v>
      </c>
      <c r="AA76" s="4">
        <v>474.8</v>
      </c>
      <c r="AB76" s="4">
        <v>186.47</v>
      </c>
      <c r="AC76" s="4">
        <v>22.72</v>
      </c>
      <c r="AD76" s="4">
        <v>277.33</v>
      </c>
      <c r="AF76" s="4">
        <v>1.1630810026517235</v>
      </c>
      <c r="AG76" s="4">
        <v>1.2655636233781691</v>
      </c>
      <c r="AH76" s="4">
        <v>0.95708440000806316</v>
      </c>
      <c r="AI76" s="4">
        <v>2.4267308693388858</v>
      </c>
      <c r="AJ76" s="4" t="e">
        <v>#DIV/0!</v>
      </c>
      <c r="AK76" s="4">
        <v>1.8782932610904164</v>
      </c>
      <c r="AM76" s="555">
        <v>45847</v>
      </c>
      <c r="AN76" s="556">
        <v>458.59</v>
      </c>
      <c r="AO76" s="556">
        <v>1996362</v>
      </c>
      <c r="AP76" s="556">
        <v>234.29595</v>
      </c>
      <c r="AQ76" s="556">
        <v>107445.77971049999</v>
      </c>
      <c r="AR76" s="556">
        <v>1.5114000000000001</v>
      </c>
    </row>
    <row r="77" spans="2:44">
      <c r="B77" s="557">
        <v>45415</v>
      </c>
      <c r="C77" s="553">
        <v>12.8034</v>
      </c>
      <c r="D77" s="553">
        <v>21.9437</v>
      </c>
      <c r="E77" s="553">
        <v>21.128399999999999</v>
      </c>
      <c r="F77" s="553">
        <v>40.134999999999998</v>
      </c>
      <c r="G77" s="553">
        <v>17.3948</v>
      </c>
      <c r="H77" s="553">
        <v>17.889299999999999</v>
      </c>
      <c r="I77" s="557">
        <v>45415</v>
      </c>
      <c r="J77" s="553">
        <v>15.2166</v>
      </c>
      <c r="K77" s="553">
        <v>18.625</v>
      </c>
      <c r="L77" s="553">
        <v>28.4392</v>
      </c>
      <c r="M77" s="553">
        <v>69.999700000000004</v>
      </c>
      <c r="N77" s="553">
        <v>28.395800000000001</v>
      </c>
      <c r="O77" s="553">
        <v>27.552</v>
      </c>
      <c r="P77" s="553"/>
      <c r="Q77" s="557">
        <v>45415</v>
      </c>
      <c r="R77" s="4">
        <v>460.08</v>
      </c>
      <c r="S77" s="4">
        <v>17471.47</v>
      </c>
      <c r="T77" s="4">
        <v>1625.98</v>
      </c>
      <c r="U77" s="4">
        <v>1.150948116275579</v>
      </c>
      <c r="V77" s="4">
        <v>1.5500228447224256</v>
      </c>
      <c r="W77" s="4">
        <v>2.0947951558876579</v>
      </c>
      <c r="Y77" s="553">
        <v>460.08</v>
      </c>
      <c r="Z77" s="4">
        <v>101.4</v>
      </c>
      <c r="AA77" s="4">
        <v>469.09</v>
      </c>
      <c r="AB77" s="4">
        <v>168.77</v>
      </c>
      <c r="AC77" s="4">
        <v>21.22</v>
      </c>
      <c r="AD77" s="4">
        <v>268.17</v>
      </c>
      <c r="AF77" s="4">
        <v>1.150948116275579</v>
      </c>
      <c r="AG77" s="4">
        <v>1.2069991667658613</v>
      </c>
      <c r="AH77" s="4">
        <v>0.94557439174343361</v>
      </c>
      <c r="AI77" s="4">
        <v>2.1963820926600728</v>
      </c>
      <c r="AJ77" s="4" t="e">
        <v>#DIV/0!</v>
      </c>
      <c r="AK77" s="4">
        <v>1.8162546562817474</v>
      </c>
      <c r="AM77" s="555">
        <v>45846</v>
      </c>
      <c r="AN77" s="556">
        <v>458.59</v>
      </c>
      <c r="AO77" s="556">
        <v>1996362</v>
      </c>
      <c r="AP77" s="556">
        <v>234.29595</v>
      </c>
      <c r="AQ77" s="556">
        <v>107445.77971049999</v>
      </c>
      <c r="AR77" s="556">
        <v>1.5114000000000001</v>
      </c>
    </row>
    <row r="78" spans="2:44">
      <c r="B78" s="557">
        <v>45408</v>
      </c>
      <c r="C78" s="553">
        <v>12.788500000000001</v>
      </c>
      <c r="D78" s="553">
        <v>21.945399999999999</v>
      </c>
      <c r="E78" s="553">
        <v>21.5487</v>
      </c>
      <c r="F78" s="553">
        <v>38.502400000000002</v>
      </c>
      <c r="G78" s="553">
        <v>17.738</v>
      </c>
      <c r="H78" s="553">
        <v>16.979900000000001</v>
      </c>
      <c r="I78" s="557">
        <v>45408</v>
      </c>
      <c r="J78" s="553">
        <v>15.196199999999999</v>
      </c>
      <c r="K78" s="553">
        <v>18.626799999999999</v>
      </c>
      <c r="L78" s="553">
        <v>29.128</v>
      </c>
      <c r="M78" s="553">
        <v>52.042099999999998</v>
      </c>
      <c r="N78" s="553">
        <v>28.998000000000001</v>
      </c>
      <c r="O78" s="553">
        <v>26.097200000000001</v>
      </c>
      <c r="P78" s="553"/>
      <c r="Q78" s="557">
        <v>45408</v>
      </c>
      <c r="R78" s="4">
        <v>454.31</v>
      </c>
      <c r="S78" s="4">
        <v>17713.66</v>
      </c>
      <c r="T78" s="4">
        <v>1603.27</v>
      </c>
      <c r="U78" s="4">
        <v>1.1365137339270526</v>
      </c>
      <c r="V78" s="4">
        <v>1.5715093042340365</v>
      </c>
      <c r="W78" s="4">
        <v>2.0655372326719914</v>
      </c>
      <c r="Y78" s="553">
        <v>454.31</v>
      </c>
      <c r="Z78" s="4">
        <v>101.41</v>
      </c>
      <c r="AA78" s="4">
        <v>480.45</v>
      </c>
      <c r="AB78" s="4">
        <v>158.09</v>
      </c>
      <c r="AC78" s="4">
        <v>21.67</v>
      </c>
      <c r="AD78" s="4">
        <v>254.01</v>
      </c>
      <c r="AF78" s="4">
        <v>1.1365137339270526</v>
      </c>
      <c r="AG78" s="4">
        <v>1.2071182002142602</v>
      </c>
      <c r="AH78" s="4">
        <v>0.96847346247656674</v>
      </c>
      <c r="AI78" s="4">
        <v>2.0573919833420091</v>
      </c>
      <c r="AJ78" s="4" t="e">
        <v>#DIV/0!</v>
      </c>
      <c r="AK78" s="4">
        <v>1.7203521842194378</v>
      </c>
      <c r="AM78" s="555">
        <v>45845</v>
      </c>
      <c r="AN78" s="556">
        <v>458.59</v>
      </c>
      <c r="AO78" s="556">
        <v>1996362</v>
      </c>
      <c r="AP78" s="556">
        <v>234.29595</v>
      </c>
      <c r="AQ78" s="556">
        <v>107445.77971049999</v>
      </c>
      <c r="AR78" s="556">
        <v>1.5114000000000001</v>
      </c>
    </row>
    <row r="79" spans="2:44">
      <c r="B79" s="557">
        <v>45401</v>
      </c>
      <c r="C79" s="553">
        <v>12.8766</v>
      </c>
      <c r="D79" s="553">
        <v>21.972100000000001</v>
      </c>
      <c r="E79" s="553">
        <v>20.904900000000001</v>
      </c>
      <c r="F79" s="553">
        <v>38.502400000000002</v>
      </c>
      <c r="G79" s="553">
        <v>17.171099999999999</v>
      </c>
      <c r="H79" s="553">
        <v>16.747599999999998</v>
      </c>
      <c r="I79" s="557">
        <v>45401</v>
      </c>
      <c r="J79" s="553">
        <v>15.2812</v>
      </c>
      <c r="K79" s="553">
        <v>18.654399999999999</v>
      </c>
      <c r="L79" s="553">
        <v>28.044599999999999</v>
      </c>
      <c r="M79" s="553">
        <v>49.3855</v>
      </c>
      <c r="N79" s="553">
        <v>28.034500000000001</v>
      </c>
      <c r="O79" s="553">
        <v>25.709900000000001</v>
      </c>
      <c r="P79" s="553"/>
      <c r="Q79" s="557">
        <v>45401</v>
      </c>
      <c r="R79" s="4">
        <v>447.57</v>
      </c>
      <c r="S79" s="4">
        <v>18169.900000000001</v>
      </c>
      <c r="T79" s="4">
        <v>1605.71</v>
      </c>
      <c r="U79" s="4">
        <v>1.1196527743032971</v>
      </c>
      <c r="V79" s="4">
        <v>1.6119857165036486</v>
      </c>
      <c r="W79" s="4">
        <v>2.0686807523834063</v>
      </c>
      <c r="Y79" s="553">
        <v>447.57</v>
      </c>
      <c r="Z79" s="4">
        <v>101.56</v>
      </c>
      <c r="AA79" s="4">
        <v>462.58</v>
      </c>
      <c r="AB79" s="4">
        <v>150.02000000000001</v>
      </c>
      <c r="AC79" s="4">
        <v>20.95</v>
      </c>
      <c r="AD79" s="4">
        <v>250.24</v>
      </c>
      <c r="AF79" s="4">
        <v>1.1196527743032971</v>
      </c>
      <c r="AG79" s="4">
        <v>1.2089037019402451</v>
      </c>
      <c r="AH79" s="4">
        <v>0.93245177286379488</v>
      </c>
      <c r="AI79" s="4">
        <v>1.9523685580426862</v>
      </c>
      <c r="AJ79" s="4" t="e">
        <v>#DIV/0!</v>
      </c>
      <c r="AK79" s="4">
        <v>1.694818828310193</v>
      </c>
      <c r="AM79" s="555">
        <v>45844</v>
      </c>
      <c r="AN79" s="556">
        <v>457.9</v>
      </c>
      <c r="AO79" s="556">
        <v>1590105</v>
      </c>
      <c r="AP79" s="556">
        <v>234.29595</v>
      </c>
      <c r="AQ79" s="556">
        <v>107284.11550499999</v>
      </c>
      <c r="AR79" s="556">
        <v>1.5092000000000001</v>
      </c>
    </row>
    <row r="80" spans="2:44">
      <c r="B80" s="557">
        <v>45394</v>
      </c>
      <c r="C80" s="553">
        <v>12.5512</v>
      </c>
      <c r="D80" s="553">
        <v>21.728899999999999</v>
      </c>
      <c r="E80" s="553">
        <v>20.665299999999998</v>
      </c>
      <c r="F80" s="553">
        <v>38.502400000000002</v>
      </c>
      <c r="G80" s="553">
        <v>16.895600000000002</v>
      </c>
      <c r="H80" s="553">
        <v>16.6965</v>
      </c>
      <c r="I80" s="557">
        <v>45394</v>
      </c>
      <c r="J80" s="553">
        <v>14.837400000000001</v>
      </c>
      <c r="K80" s="553">
        <v>18.386199999999999</v>
      </c>
      <c r="L80" s="553">
        <v>27.6523</v>
      </c>
      <c r="M80" s="553">
        <v>48.430900000000001</v>
      </c>
      <c r="N80" s="553">
        <v>27.566199999999998</v>
      </c>
      <c r="O80" s="553">
        <v>25.624600000000001</v>
      </c>
      <c r="P80" s="553"/>
      <c r="Q80" s="557">
        <v>45394</v>
      </c>
      <c r="R80" s="4">
        <v>453.24</v>
      </c>
      <c r="S80" s="4">
        <v>18121.78</v>
      </c>
      <c r="T80" s="4">
        <v>1641.73</v>
      </c>
      <c r="U80" s="4">
        <v>1.1338369940461299</v>
      </c>
      <c r="V80" s="4">
        <v>1.6077166367245546</v>
      </c>
      <c r="W80" s="4">
        <v>2.1150863179592889</v>
      </c>
      <c r="Y80" s="553">
        <v>453.24</v>
      </c>
      <c r="Z80" s="4">
        <v>100.1</v>
      </c>
      <c r="AA80" s="4">
        <v>456.11</v>
      </c>
      <c r="AB80" s="4">
        <v>147.12</v>
      </c>
      <c r="AC80" s="4">
        <v>20.6</v>
      </c>
      <c r="AD80" s="4">
        <v>249.41</v>
      </c>
      <c r="AF80" s="4">
        <v>1.1338369940461299</v>
      </c>
      <c r="AG80" s="4">
        <v>1.1915248184739911</v>
      </c>
      <c r="AH80" s="4">
        <v>0.91940978451490663</v>
      </c>
      <c r="AI80" s="4">
        <v>1.9146277980218636</v>
      </c>
      <c r="AJ80" s="4" t="e">
        <v>#DIV/0!</v>
      </c>
      <c r="AK80" s="4">
        <v>1.6891974263460887</v>
      </c>
      <c r="AM80" s="555">
        <v>45843</v>
      </c>
      <c r="AN80" s="556">
        <v>458.39</v>
      </c>
      <c r="AO80" s="556">
        <v>1265509</v>
      </c>
      <c r="AP80" s="556">
        <v>234.29595</v>
      </c>
      <c r="AQ80" s="556">
        <v>107398.9205205</v>
      </c>
      <c r="AR80" s="556">
        <v>1.5107999999999999</v>
      </c>
    </row>
    <row r="81" spans="2:44">
      <c r="B81" s="557">
        <v>45387</v>
      </c>
      <c r="C81" s="553">
        <v>12.6715</v>
      </c>
      <c r="D81" s="553">
        <v>21.9938</v>
      </c>
      <c r="E81" s="553">
        <v>20.605699999999999</v>
      </c>
      <c r="F81" s="553">
        <v>38.502400000000002</v>
      </c>
      <c r="G81" s="553">
        <v>17.110700000000001</v>
      </c>
      <c r="H81" s="553">
        <v>17.295400000000001</v>
      </c>
      <c r="I81" s="557">
        <v>45387</v>
      </c>
      <c r="J81" s="553">
        <v>15.0015</v>
      </c>
      <c r="K81" s="553">
        <v>18.6782</v>
      </c>
      <c r="L81" s="553">
        <v>27.5547</v>
      </c>
      <c r="M81" s="553">
        <v>48.895000000000003</v>
      </c>
      <c r="N81" s="553">
        <v>27.967600000000001</v>
      </c>
      <c r="O81" s="553">
        <v>26.6233</v>
      </c>
      <c r="P81" s="553"/>
      <c r="Q81" s="557">
        <v>45387</v>
      </c>
      <c r="R81" s="4">
        <v>445.99</v>
      </c>
      <c r="S81" s="4">
        <v>18210.54</v>
      </c>
      <c r="T81" s="4">
        <v>1672.11</v>
      </c>
      <c r="U81" s="4">
        <v>1.1157002051333367</v>
      </c>
      <c r="V81" s="4">
        <v>1.6155911903652938</v>
      </c>
      <c r="W81" s="4">
        <v>2.1542257150219015</v>
      </c>
      <c r="Y81" s="553">
        <v>445.99</v>
      </c>
      <c r="Z81" s="4">
        <v>101.69</v>
      </c>
      <c r="AA81" s="4">
        <v>454.5</v>
      </c>
      <c r="AB81" s="4">
        <v>148.53</v>
      </c>
      <c r="AC81" s="4">
        <v>20.9</v>
      </c>
      <c r="AD81" s="4">
        <v>259.13</v>
      </c>
      <c r="AF81" s="4">
        <v>1.1157002051333367</v>
      </c>
      <c r="AG81" s="4">
        <v>1.2104511367694322</v>
      </c>
      <c r="AH81" s="4">
        <v>0.91616440565220025</v>
      </c>
      <c r="AI81" s="4">
        <v>1.9329776158250911</v>
      </c>
      <c r="AJ81" s="4" t="e">
        <v>#DIV/0!</v>
      </c>
      <c r="AK81" s="4">
        <v>1.7550287842871655</v>
      </c>
      <c r="AM81" s="555">
        <v>45842</v>
      </c>
      <c r="AN81" s="556">
        <v>460.2</v>
      </c>
      <c r="AO81" s="556">
        <v>1970232</v>
      </c>
      <c r="AP81" s="556">
        <v>234.29595</v>
      </c>
      <c r="AQ81" s="556">
        <v>107822.99619000001</v>
      </c>
      <c r="AR81" s="556">
        <v>1.5166999999999999</v>
      </c>
    </row>
    <row r="82" spans="2:44">
      <c r="B82" s="557">
        <v>45380</v>
      </c>
      <c r="C82" s="553">
        <v>12.5238</v>
      </c>
      <c r="D82" s="553">
        <v>21.672599999999999</v>
      </c>
      <c r="E82" s="553">
        <v>21.2593</v>
      </c>
      <c r="F82" s="553">
        <v>38.502400000000002</v>
      </c>
      <c r="G82" s="553">
        <v>17.9999</v>
      </c>
      <c r="H82" s="553">
        <v>17.235099999999999</v>
      </c>
      <c r="I82" s="557">
        <v>45380</v>
      </c>
      <c r="J82" s="553">
        <v>14.5764</v>
      </c>
      <c r="K82" s="553">
        <v>18.7195</v>
      </c>
      <c r="L82" s="553">
        <v>29.9053</v>
      </c>
      <c r="M82" s="553">
        <v>49.020099999999999</v>
      </c>
      <c r="N82" s="553">
        <v>33.4238</v>
      </c>
      <c r="O82" s="553">
        <v>27.1066</v>
      </c>
      <c r="P82" s="553"/>
      <c r="Q82" s="557">
        <v>45380</v>
      </c>
      <c r="R82" s="4">
        <v>437.19</v>
      </c>
      <c r="S82" s="4">
        <v>18032.21</v>
      </c>
      <c r="T82" s="4">
        <v>1609.63</v>
      </c>
      <c r="U82" s="4">
        <v>1.093685895832291</v>
      </c>
      <c r="V82" s="4">
        <v>1.599770222015215</v>
      </c>
      <c r="W82" s="4">
        <v>2.0737309971656788</v>
      </c>
      <c r="Y82" s="553">
        <v>437.19</v>
      </c>
      <c r="Z82" s="4">
        <v>95.54</v>
      </c>
      <c r="AA82" s="4">
        <v>468.75</v>
      </c>
      <c r="AB82" s="4">
        <v>148.91</v>
      </c>
      <c r="AC82" s="4">
        <v>21.89</v>
      </c>
      <c r="AD82" s="4">
        <v>250.01</v>
      </c>
      <c r="AF82" s="4">
        <v>1.093685895832291</v>
      </c>
      <c r="AG82" s="4">
        <v>1.1372455660040472</v>
      </c>
      <c r="AH82" s="4">
        <v>0.94488903223205467</v>
      </c>
      <c r="AI82" s="4">
        <v>1.9379229567933367</v>
      </c>
      <c r="AJ82" s="4" t="e">
        <v>#DIV/0!</v>
      </c>
      <c r="AK82" s="4">
        <v>1.6932610904165255</v>
      </c>
      <c r="AM82" s="555">
        <v>45841</v>
      </c>
      <c r="AN82" s="556">
        <v>472.46</v>
      </c>
      <c r="AO82" s="556">
        <v>2666358</v>
      </c>
      <c r="AP82" s="556">
        <v>234.29595</v>
      </c>
      <c r="AQ82" s="556">
        <v>110695.46453699999</v>
      </c>
      <c r="AR82" s="556">
        <v>1.5570999999999999</v>
      </c>
    </row>
    <row r="83" spans="2:44">
      <c r="B83" s="557">
        <v>45373</v>
      </c>
      <c r="C83" s="553">
        <v>12.5238</v>
      </c>
      <c r="D83" s="553">
        <v>21.672599999999999</v>
      </c>
      <c r="E83" s="553">
        <v>21.2593</v>
      </c>
      <c r="F83" s="553">
        <v>38.502400000000002</v>
      </c>
      <c r="G83" s="553">
        <v>17.9999</v>
      </c>
      <c r="H83" s="553">
        <v>17.235099999999999</v>
      </c>
      <c r="I83" s="557">
        <v>45373</v>
      </c>
      <c r="J83" s="553">
        <v>14.5764</v>
      </c>
      <c r="K83" s="553">
        <v>18.7195</v>
      </c>
      <c r="L83" s="553">
        <v>29.9053</v>
      </c>
      <c r="M83" s="553">
        <v>49.020099999999999</v>
      </c>
      <c r="N83" s="553">
        <v>33.4238</v>
      </c>
      <c r="O83" s="553">
        <v>27.1066</v>
      </c>
      <c r="P83" s="553"/>
      <c r="Q83" s="557">
        <v>45373</v>
      </c>
      <c r="R83" s="4">
        <v>434.91</v>
      </c>
      <c r="S83" s="4">
        <v>18219.12</v>
      </c>
      <c r="T83" s="4">
        <v>1534.62</v>
      </c>
      <c r="U83" s="4">
        <v>1.0879821884224747</v>
      </c>
      <c r="V83" s="4">
        <v>1.6163523853882493</v>
      </c>
      <c r="W83" s="4">
        <v>1.9770935325946919</v>
      </c>
      <c r="Y83" s="553">
        <v>434.91</v>
      </c>
      <c r="Z83" s="4">
        <v>95.54</v>
      </c>
      <c r="AA83" s="4">
        <v>468.75</v>
      </c>
      <c r="AB83" s="4">
        <v>148.91</v>
      </c>
      <c r="AC83" s="4">
        <v>21.89</v>
      </c>
      <c r="AD83" s="4">
        <v>250.01</v>
      </c>
      <c r="AF83" s="4">
        <v>1.0879821884224747</v>
      </c>
      <c r="AG83" s="4">
        <v>1.1372455660040472</v>
      </c>
      <c r="AH83" s="4">
        <v>0.94488903223205467</v>
      </c>
      <c r="AI83" s="4">
        <v>1.9379229567933367</v>
      </c>
      <c r="AJ83" s="4" t="e">
        <v>#DIV/0!</v>
      </c>
      <c r="AK83" s="4">
        <v>1.6932610904165255</v>
      </c>
      <c r="AM83" s="555">
        <v>45840</v>
      </c>
      <c r="AN83" s="556">
        <v>470.56</v>
      </c>
      <c r="AO83" s="556">
        <v>2419367</v>
      </c>
      <c r="AP83" s="556">
        <v>234.29595</v>
      </c>
      <c r="AQ83" s="556">
        <v>110250.302232</v>
      </c>
      <c r="AR83" s="556">
        <v>1.5508999999999999</v>
      </c>
    </row>
    <row r="84" spans="2:44">
      <c r="B84" s="557">
        <v>45366</v>
      </c>
      <c r="C84" s="553">
        <v>12.3307</v>
      </c>
      <c r="D84" s="553">
        <v>21.2241</v>
      </c>
      <c r="E84" s="553">
        <v>21.217500000000001</v>
      </c>
      <c r="F84" s="553">
        <v>38.502400000000002</v>
      </c>
      <c r="G84" s="553">
        <v>18.066400000000002</v>
      </c>
      <c r="H84" s="553">
        <v>16.780899999999999</v>
      </c>
      <c r="I84" s="557">
        <v>45366</v>
      </c>
      <c r="J84" s="553">
        <v>14.2476</v>
      </c>
      <c r="K84" s="553">
        <v>18.208100000000002</v>
      </c>
      <c r="L84" s="553">
        <v>29.4588</v>
      </c>
      <c r="M84" s="553">
        <v>48.918100000000003</v>
      </c>
      <c r="N84" s="553">
        <v>33.545900000000003</v>
      </c>
      <c r="O84" s="553">
        <v>26.3325</v>
      </c>
      <c r="P84" s="553"/>
      <c r="Q84" s="557">
        <v>45366</v>
      </c>
      <c r="R84" s="4">
        <v>431.98</v>
      </c>
      <c r="S84" s="4">
        <v>17897.87</v>
      </c>
      <c r="T84" s="4">
        <v>1538.58</v>
      </c>
      <c r="U84" s="4">
        <v>1.0806524240756492</v>
      </c>
      <c r="V84" s="4">
        <v>1.5878519307117349</v>
      </c>
      <c r="W84" s="4">
        <v>1.9821953104869876</v>
      </c>
      <c r="Y84" s="553">
        <v>431.98</v>
      </c>
      <c r="Z84" s="4">
        <v>92.93</v>
      </c>
      <c r="AA84" s="4">
        <v>461.75</v>
      </c>
      <c r="AB84" s="4">
        <v>148.6</v>
      </c>
      <c r="AC84" s="4">
        <v>21.97</v>
      </c>
      <c r="AD84" s="4">
        <v>242.87</v>
      </c>
      <c r="AF84" s="4">
        <v>1.0806524240756492</v>
      </c>
      <c r="AG84" s="4">
        <v>1.1061778359719081</v>
      </c>
      <c r="AH84" s="4">
        <v>0.93077868935072272</v>
      </c>
      <c r="AI84" s="4">
        <v>1.9338885996876625</v>
      </c>
      <c r="AJ84" s="4" t="e">
        <v>#DIV/0!</v>
      </c>
      <c r="AK84" s="4">
        <v>1.6449034879783271</v>
      </c>
      <c r="AM84" s="555">
        <v>45839</v>
      </c>
      <c r="AN84" s="556">
        <v>470.56</v>
      </c>
      <c r="AO84" s="556">
        <v>2419367</v>
      </c>
      <c r="AP84" s="556">
        <v>234.29595</v>
      </c>
      <c r="AQ84" s="556">
        <v>110250.302232</v>
      </c>
      <c r="AR84" s="556">
        <v>1.5508999999999999</v>
      </c>
    </row>
    <row r="85" spans="2:44">
      <c r="B85" s="557">
        <v>45359</v>
      </c>
      <c r="C85" s="553">
        <v>12.2597</v>
      </c>
      <c r="D85" s="553">
        <v>20.838699999999999</v>
      </c>
      <c r="E85" s="553">
        <v>21.130400000000002</v>
      </c>
      <c r="F85" s="553">
        <v>38.502400000000002</v>
      </c>
      <c r="G85" s="553">
        <v>19.263200000000001</v>
      </c>
      <c r="H85" s="553">
        <v>16.719799999999999</v>
      </c>
      <c r="I85" s="557">
        <v>45359</v>
      </c>
      <c r="J85" s="553">
        <v>14.152100000000001</v>
      </c>
      <c r="K85" s="553">
        <v>17.8065</v>
      </c>
      <c r="L85" s="553">
        <v>29.315200000000001</v>
      </c>
      <c r="M85" s="553">
        <v>54.721699999999998</v>
      </c>
      <c r="N85" s="553">
        <v>35.744700000000002</v>
      </c>
      <c r="O85" s="553">
        <v>26.228400000000001</v>
      </c>
      <c r="P85" s="553"/>
      <c r="Q85" s="557">
        <v>45359</v>
      </c>
      <c r="R85" s="4">
        <v>430.43</v>
      </c>
      <c r="S85" s="4">
        <v>17971.05</v>
      </c>
      <c r="T85" s="4">
        <v>1467.89</v>
      </c>
      <c r="U85" s="4">
        <v>1.0767749036873968</v>
      </c>
      <c r="V85" s="4">
        <v>1.5943442677490185</v>
      </c>
      <c r="W85" s="4">
        <v>1.8911234217985056</v>
      </c>
      <c r="Y85" s="553">
        <v>430.43</v>
      </c>
      <c r="Z85" s="4">
        <v>90.88</v>
      </c>
      <c r="AA85" s="4">
        <v>459.5</v>
      </c>
      <c r="AB85" s="4">
        <v>166.23</v>
      </c>
      <c r="AC85" s="4">
        <v>23.41</v>
      </c>
      <c r="AD85" s="4">
        <v>241.91</v>
      </c>
      <c r="AF85" s="4">
        <v>1.0767749036873968</v>
      </c>
      <c r="AG85" s="4">
        <v>1.0817759790501129</v>
      </c>
      <c r="AH85" s="4">
        <v>0.92624322199600884</v>
      </c>
      <c r="AI85" s="4">
        <v>2.1633263925039041</v>
      </c>
      <c r="AJ85" s="4" t="e">
        <v>#DIV/0!</v>
      </c>
      <c r="AK85" s="4">
        <v>1.6384016254656282</v>
      </c>
      <c r="AM85" s="555">
        <v>45838</v>
      </c>
      <c r="AN85" s="556">
        <v>470.56</v>
      </c>
      <c r="AO85" s="556">
        <v>2419367</v>
      </c>
      <c r="AP85" s="556">
        <v>234.29595</v>
      </c>
      <c r="AQ85" s="556">
        <v>110250.302232</v>
      </c>
      <c r="AR85" s="556">
        <v>1.5508999999999999</v>
      </c>
    </row>
    <row r="86" spans="2:44">
      <c r="B86" s="557">
        <v>45352</v>
      </c>
      <c r="C86" s="553">
        <v>12.1031</v>
      </c>
      <c r="D86" s="553">
        <v>20.653500000000001</v>
      </c>
      <c r="E86" s="553">
        <v>20.952300000000001</v>
      </c>
      <c r="F86" s="553">
        <v>38.502400000000002</v>
      </c>
      <c r="G86" s="553">
        <v>18.7895</v>
      </c>
      <c r="H86" s="553">
        <v>16.479399999999998</v>
      </c>
      <c r="I86" s="557">
        <v>45352</v>
      </c>
      <c r="J86" s="553">
        <v>13.941599999999999</v>
      </c>
      <c r="K86" s="553">
        <v>17.594899999999999</v>
      </c>
      <c r="L86" s="553">
        <v>29.021699999999999</v>
      </c>
      <c r="M86" s="553">
        <v>42.377000000000002</v>
      </c>
      <c r="N86" s="553">
        <v>34.874299999999998</v>
      </c>
      <c r="O86" s="553">
        <v>25.8185</v>
      </c>
      <c r="P86" s="553"/>
      <c r="Q86" s="557">
        <v>45352</v>
      </c>
      <c r="R86" s="4">
        <v>424.27</v>
      </c>
      <c r="S86" s="4">
        <v>17546.099999999999</v>
      </c>
      <c r="T86" s="4">
        <v>1444.76</v>
      </c>
      <c r="U86" s="4">
        <v>1.0613648871766648</v>
      </c>
      <c r="V86" s="4">
        <v>1.5566438219442411</v>
      </c>
      <c r="W86" s="4">
        <v>1.8613244009275958</v>
      </c>
      <c r="Y86" s="553">
        <v>424.27</v>
      </c>
      <c r="Z86" s="4">
        <v>89.8</v>
      </c>
      <c r="AA86" s="4">
        <v>454.9</v>
      </c>
      <c r="AB86" s="4">
        <v>128.72999999999999</v>
      </c>
      <c r="AC86" s="4">
        <v>22.84</v>
      </c>
      <c r="AD86" s="4">
        <v>238.13</v>
      </c>
      <c r="AF86" s="4">
        <v>1.0613648871766648</v>
      </c>
      <c r="AG86" s="4">
        <v>1.0689203666230209</v>
      </c>
      <c r="AH86" s="4">
        <v>0.91697071095970484</v>
      </c>
      <c r="AI86" s="4">
        <v>1.6752993232691304</v>
      </c>
      <c r="AJ86" s="4" t="e">
        <v>#DIV/0!</v>
      </c>
      <c r="AK86" s="4">
        <v>1.612800541821876</v>
      </c>
      <c r="AM86" s="555">
        <v>45837</v>
      </c>
      <c r="AN86" s="556">
        <v>468.6</v>
      </c>
      <c r="AO86" s="556">
        <v>1871162</v>
      </c>
      <c r="AP86" s="556">
        <v>234.29595</v>
      </c>
      <c r="AQ86" s="556">
        <v>109791.08217000001</v>
      </c>
      <c r="AR86" s="556">
        <v>1.5444</v>
      </c>
    </row>
    <row r="87" spans="2:44">
      <c r="B87" s="557">
        <v>45345</v>
      </c>
      <c r="C87" s="553">
        <v>12.2164</v>
      </c>
      <c r="D87" s="553">
        <v>20.689499999999999</v>
      </c>
      <c r="E87" s="553">
        <v>21.192399999999999</v>
      </c>
      <c r="F87" s="553">
        <v>38.502400000000002</v>
      </c>
      <c r="G87" s="553">
        <v>17.4588</v>
      </c>
      <c r="H87" s="553">
        <v>16.534099999999999</v>
      </c>
      <c r="I87" s="557">
        <v>45345</v>
      </c>
      <c r="J87" s="553">
        <v>14.0939</v>
      </c>
      <c r="K87" s="553">
        <v>17.635999999999999</v>
      </c>
      <c r="L87" s="553">
        <v>29.417300000000001</v>
      </c>
      <c r="M87" s="553">
        <v>40.569699999999997</v>
      </c>
      <c r="N87" s="553">
        <v>32.461799999999997</v>
      </c>
      <c r="O87" s="553">
        <v>25.911799999999999</v>
      </c>
      <c r="P87" s="553"/>
      <c r="Q87" s="557">
        <v>45345</v>
      </c>
      <c r="R87" s="4">
        <v>426.52</v>
      </c>
      <c r="S87" s="4">
        <v>17600.419999999998</v>
      </c>
      <c r="T87" s="4">
        <v>1391.22</v>
      </c>
      <c r="U87" s="4">
        <v>1.066993545804773</v>
      </c>
      <c r="V87" s="4">
        <v>1.5614629494089203</v>
      </c>
      <c r="W87" s="4">
        <v>1.7923473331615563</v>
      </c>
      <c r="Y87" s="553">
        <v>426.52</v>
      </c>
      <c r="Z87" s="4">
        <v>90.01</v>
      </c>
      <c r="AA87" s="4">
        <v>461.1</v>
      </c>
      <c r="AB87" s="4">
        <v>123.24</v>
      </c>
      <c r="AC87" s="4">
        <v>21.26</v>
      </c>
      <c r="AD87" s="4">
        <v>238.99</v>
      </c>
      <c r="AF87" s="4">
        <v>1.066993545804773</v>
      </c>
      <c r="AG87" s="4">
        <v>1.0714200690394</v>
      </c>
      <c r="AH87" s="4">
        <v>0.92946844322602762</v>
      </c>
      <c r="AI87" s="4">
        <v>1.6038521603331597</v>
      </c>
      <c r="AJ87" s="4" t="e">
        <v>#DIV/0!</v>
      </c>
      <c r="AK87" s="4">
        <v>1.6186251269895022</v>
      </c>
      <c r="AM87" s="555">
        <v>45836</v>
      </c>
      <c r="AN87" s="556">
        <v>468.6</v>
      </c>
      <c r="AO87" s="556">
        <v>1871162</v>
      </c>
      <c r="AP87" s="556">
        <v>234.29595</v>
      </c>
      <c r="AQ87" s="556">
        <v>109791.08217000001</v>
      </c>
      <c r="AR87" s="556">
        <v>1.5444</v>
      </c>
    </row>
    <row r="88" spans="2:44">
      <c r="B88" s="557">
        <v>45338</v>
      </c>
      <c r="C88" s="553">
        <v>12.045</v>
      </c>
      <c r="D88" s="553">
        <v>20.861000000000001</v>
      </c>
      <c r="E88" s="553">
        <v>20.799800000000001</v>
      </c>
      <c r="F88" s="553">
        <v>38.502400000000002</v>
      </c>
      <c r="G88" s="553">
        <v>17.342600000000001</v>
      </c>
      <c r="H88" s="553">
        <v>16.209099999999999</v>
      </c>
      <c r="I88" s="557">
        <v>45338</v>
      </c>
      <c r="J88" s="553">
        <v>13.8634</v>
      </c>
      <c r="K88" s="553">
        <v>17.831900000000001</v>
      </c>
      <c r="L88" s="553">
        <v>28.770399999999999</v>
      </c>
      <c r="M88" s="553">
        <v>40.964799999999997</v>
      </c>
      <c r="N88" s="553">
        <v>32.248100000000001</v>
      </c>
      <c r="O88" s="553">
        <v>25.339300000000001</v>
      </c>
      <c r="P88" s="553"/>
      <c r="Q88" s="557">
        <v>45338</v>
      </c>
      <c r="R88" s="4">
        <v>426.95</v>
      </c>
      <c r="S88" s="4">
        <v>17572.73</v>
      </c>
      <c r="T88" s="4">
        <v>1399.28</v>
      </c>
      <c r="U88" s="4">
        <v>1.0680692450092559</v>
      </c>
      <c r="V88" s="4">
        <v>1.5590063654712001</v>
      </c>
      <c r="W88" s="4">
        <v>1.8027312548312289</v>
      </c>
      <c r="Y88" s="553">
        <v>426.95</v>
      </c>
      <c r="Z88" s="4">
        <v>91.01</v>
      </c>
      <c r="AA88" s="4">
        <v>450.96</v>
      </c>
      <c r="AB88" s="4">
        <v>124.44</v>
      </c>
      <c r="AC88" s="4">
        <v>21.12</v>
      </c>
      <c r="AD88" s="4">
        <v>233.71</v>
      </c>
      <c r="AF88" s="4">
        <v>1.0680692450092559</v>
      </c>
      <c r="AG88" s="4">
        <v>1.0833234138793</v>
      </c>
      <c r="AH88" s="4">
        <v>0.90902860368078375</v>
      </c>
      <c r="AI88" s="4">
        <v>1.6194690265486724</v>
      </c>
      <c r="AJ88" s="4" t="e">
        <v>#DIV/0!</v>
      </c>
      <c r="AK88" s="4">
        <v>1.5828648831696579</v>
      </c>
      <c r="AM88" s="555">
        <v>45835</v>
      </c>
      <c r="AN88" s="556">
        <v>479.34</v>
      </c>
      <c r="AO88" s="556">
        <v>2191204</v>
      </c>
      <c r="AP88" s="556">
        <v>234.29595</v>
      </c>
      <c r="AQ88" s="556">
        <v>112307.420673</v>
      </c>
      <c r="AR88" s="556">
        <v>1.5798000000000001</v>
      </c>
    </row>
    <row r="89" spans="2:44">
      <c r="B89" s="557">
        <v>45331</v>
      </c>
      <c r="C89" s="553">
        <v>12.103999999999999</v>
      </c>
      <c r="D89" s="553">
        <v>20.775200000000002</v>
      </c>
      <c r="E89" s="553">
        <v>20.953099999999999</v>
      </c>
      <c r="F89" s="553">
        <v>38.502400000000002</v>
      </c>
      <c r="G89" s="553">
        <v>16.329599999999999</v>
      </c>
      <c r="H89" s="553">
        <v>15.8978</v>
      </c>
      <c r="I89" s="557">
        <v>45331</v>
      </c>
      <c r="J89" s="553">
        <v>13.9429</v>
      </c>
      <c r="K89" s="553">
        <v>17.734000000000002</v>
      </c>
      <c r="L89" s="553">
        <v>29.023</v>
      </c>
      <c r="M89" s="553">
        <v>41.2117</v>
      </c>
      <c r="N89" s="553">
        <v>30.385300000000001</v>
      </c>
      <c r="O89" s="553">
        <v>24.809100000000001</v>
      </c>
      <c r="P89" s="553"/>
      <c r="Q89" s="557">
        <v>45331</v>
      </c>
      <c r="R89" s="4">
        <v>431.68</v>
      </c>
      <c r="S89" s="4">
        <v>17476.71</v>
      </c>
      <c r="T89" s="4">
        <v>1377.27</v>
      </c>
      <c r="U89" s="4">
        <v>1.079901936258568</v>
      </c>
      <c r="V89" s="4">
        <v>1.5504877237341139</v>
      </c>
      <c r="W89" s="4">
        <v>1.7743751610409686</v>
      </c>
      <c r="Y89" s="553">
        <v>431.68</v>
      </c>
      <c r="Z89" s="4">
        <v>90.51</v>
      </c>
      <c r="AA89" s="4">
        <v>454.92</v>
      </c>
      <c r="AB89" s="4">
        <v>125.19</v>
      </c>
      <c r="AC89" s="4">
        <v>19.899999999999999</v>
      </c>
      <c r="AD89" s="4">
        <v>228.82</v>
      </c>
      <c r="AF89" s="4">
        <v>1.079901936258568</v>
      </c>
      <c r="AG89" s="4">
        <v>1.07737174145935</v>
      </c>
      <c r="AH89" s="4">
        <v>0.91701102622508024</v>
      </c>
      <c r="AI89" s="4">
        <v>1.6292295679333679</v>
      </c>
      <c r="AJ89" s="4" t="e">
        <v>#DIV/0!</v>
      </c>
      <c r="AK89" s="4">
        <v>1.5497460209955976</v>
      </c>
      <c r="AM89" s="555">
        <v>45834</v>
      </c>
      <c r="AN89" s="556">
        <v>467.06</v>
      </c>
      <c r="AO89" s="556">
        <v>2766611</v>
      </c>
      <c r="AP89" s="556">
        <v>234.29595</v>
      </c>
      <c r="AQ89" s="556">
        <v>109430.266407</v>
      </c>
      <c r="AR89" s="556">
        <v>1.5394000000000001</v>
      </c>
    </row>
    <row r="90" spans="2:44">
      <c r="B90" s="557">
        <v>45324</v>
      </c>
      <c r="C90" s="553">
        <v>12.091200000000001</v>
      </c>
      <c r="D90" s="553">
        <v>22.347799999999999</v>
      </c>
      <c r="E90" s="553">
        <v>20.630199999999999</v>
      </c>
      <c r="F90" s="553">
        <v>38.502400000000002</v>
      </c>
      <c r="G90" s="553">
        <v>15.715199999999999</v>
      </c>
      <c r="H90" s="553">
        <v>15.710699999999999</v>
      </c>
      <c r="I90" s="557">
        <v>45324</v>
      </c>
      <c r="J90" s="553">
        <v>13.9255</v>
      </c>
      <c r="K90" s="553">
        <v>18.021999999999998</v>
      </c>
      <c r="L90" s="553">
        <v>28.4909</v>
      </c>
      <c r="M90" s="553">
        <v>40.066099999999999</v>
      </c>
      <c r="N90" s="553">
        <v>29.255299999999998</v>
      </c>
      <c r="O90" s="553">
        <v>24.490400000000001</v>
      </c>
      <c r="P90" s="553"/>
      <c r="Q90" s="557">
        <v>45324</v>
      </c>
      <c r="R90" s="4">
        <v>439.67</v>
      </c>
      <c r="S90" s="4">
        <v>17404.21</v>
      </c>
      <c r="T90" s="4">
        <v>1354.04</v>
      </c>
      <c r="U90" s="4">
        <v>1.0998899284534949</v>
      </c>
      <c r="V90" s="4">
        <v>1.5440557145075076</v>
      </c>
      <c r="W90" s="4">
        <v>1.7444473073950011</v>
      </c>
      <c r="Y90" s="553">
        <v>439.67</v>
      </c>
      <c r="Z90" s="4">
        <v>91.98</v>
      </c>
      <c r="AA90" s="4">
        <v>446.58</v>
      </c>
      <c r="AB90" s="4">
        <v>121.71</v>
      </c>
      <c r="AC90" s="4">
        <v>19.16</v>
      </c>
      <c r="AD90" s="4">
        <v>225.88</v>
      </c>
      <c r="AF90" s="4">
        <v>1.0998899284534949</v>
      </c>
      <c r="AG90" s="4">
        <v>1.0948696583740032</v>
      </c>
      <c r="AH90" s="4">
        <v>0.90019956056360739</v>
      </c>
      <c r="AI90" s="4">
        <v>1.5839406559083808</v>
      </c>
      <c r="AJ90" s="4" t="e">
        <v>#DIV/0!</v>
      </c>
      <c r="AK90" s="4">
        <v>1.5298340670504571</v>
      </c>
      <c r="AM90" s="555">
        <v>45833</v>
      </c>
      <c r="AN90" s="556">
        <v>486.45</v>
      </c>
      <c r="AO90" s="556">
        <v>2729692</v>
      </c>
      <c r="AP90" s="556">
        <v>234.29595</v>
      </c>
      <c r="AQ90" s="556">
        <v>113973.2648775</v>
      </c>
      <c r="AR90" s="556">
        <v>1.6032999999999999</v>
      </c>
    </row>
    <row r="91" spans="2:44">
      <c r="B91" s="557">
        <v>45317</v>
      </c>
      <c r="C91" s="553">
        <v>12.186999999999999</v>
      </c>
      <c r="D91" s="553">
        <v>22.056000000000001</v>
      </c>
      <c r="E91" s="553">
        <v>20.296399999999998</v>
      </c>
      <c r="F91" s="553">
        <v>38.502400000000002</v>
      </c>
      <c r="G91" s="553">
        <v>16.0639</v>
      </c>
      <c r="H91" s="553">
        <v>15.7011</v>
      </c>
      <c r="I91" s="557">
        <v>45317</v>
      </c>
      <c r="J91" s="553">
        <v>14.054399999999999</v>
      </c>
      <c r="K91" s="553">
        <v>17.714400000000001</v>
      </c>
      <c r="L91" s="553">
        <v>27.940999999999999</v>
      </c>
      <c r="M91" s="553">
        <v>47.5398</v>
      </c>
      <c r="N91" s="553">
        <v>29.896599999999999</v>
      </c>
      <c r="O91" s="553">
        <v>24.4741</v>
      </c>
      <c r="P91" s="553"/>
      <c r="Q91" s="557">
        <v>45317</v>
      </c>
      <c r="R91" s="4">
        <v>457.84</v>
      </c>
      <c r="S91" s="4">
        <v>16830.71</v>
      </c>
      <c r="T91" s="4">
        <v>1350.88</v>
      </c>
      <c r="U91" s="4">
        <v>1.1453444739080401</v>
      </c>
      <c r="V91" s="4">
        <v>1.4931763035908354</v>
      </c>
      <c r="W91" s="4">
        <v>1.7403761917031693</v>
      </c>
      <c r="Y91" s="553">
        <v>457.84</v>
      </c>
      <c r="Z91" s="4">
        <v>90.41</v>
      </c>
      <c r="AA91" s="4">
        <v>437.96</v>
      </c>
      <c r="AB91" s="4">
        <v>122.1</v>
      </c>
      <c r="AC91" s="4">
        <v>19.579999999999998</v>
      </c>
      <c r="AD91" s="4">
        <v>225.73</v>
      </c>
      <c r="AF91" s="4">
        <v>1.1453444739080401</v>
      </c>
      <c r="AG91" s="4">
        <v>1.0761814069753599</v>
      </c>
      <c r="AH91" s="4">
        <v>0.88282368118688137</v>
      </c>
      <c r="AI91" s="4">
        <v>1.5890161374284226</v>
      </c>
      <c r="AJ91" s="4" t="e">
        <v>#DIV/0!</v>
      </c>
      <c r="AK91" s="4">
        <v>1.5288181510328478</v>
      </c>
      <c r="AM91" s="555">
        <v>45832</v>
      </c>
      <c r="AN91" s="556">
        <v>486.45</v>
      </c>
      <c r="AO91" s="556">
        <v>2729692</v>
      </c>
      <c r="AP91" s="556">
        <v>234.29595</v>
      </c>
      <c r="AQ91" s="556">
        <v>113973.2648775</v>
      </c>
      <c r="AR91" s="556">
        <v>1.6032999999999999</v>
      </c>
    </row>
    <row r="92" spans="2:44">
      <c r="B92" s="557">
        <v>45310</v>
      </c>
      <c r="C92" s="553">
        <v>13.1616</v>
      </c>
      <c r="D92" s="553">
        <v>21.149100000000001</v>
      </c>
      <c r="E92" s="553">
        <v>21.647500000000001</v>
      </c>
      <c r="F92" s="553">
        <v>38.502400000000002</v>
      </c>
      <c r="G92" s="553">
        <v>15.6488</v>
      </c>
      <c r="H92" s="553">
        <v>15.512700000000001</v>
      </c>
      <c r="I92" s="557">
        <v>45310</v>
      </c>
      <c r="J92" s="553">
        <v>14.9648</v>
      </c>
      <c r="K92" s="553">
        <v>16.758199999999999</v>
      </c>
      <c r="L92" s="553">
        <v>30.015699999999999</v>
      </c>
      <c r="M92" s="553">
        <v>47.874699999999997</v>
      </c>
      <c r="N92" s="553">
        <v>29.133199999999999</v>
      </c>
      <c r="O92" s="553">
        <v>24.153199999999998</v>
      </c>
      <c r="P92" s="553"/>
      <c r="Q92" s="557">
        <v>45310</v>
      </c>
      <c r="R92" s="4">
        <v>456.29</v>
      </c>
      <c r="S92" s="4">
        <v>16678.71</v>
      </c>
      <c r="T92" s="4">
        <v>1319.54</v>
      </c>
      <c r="U92" s="4">
        <v>1.1414669535197879</v>
      </c>
      <c r="V92" s="4">
        <v>1.4796912635571229</v>
      </c>
      <c r="W92" s="4">
        <v>1.7</v>
      </c>
      <c r="Y92" s="553">
        <v>456.29</v>
      </c>
      <c r="Z92" s="4">
        <v>85.53</v>
      </c>
      <c r="AA92" s="4">
        <v>470.48</v>
      </c>
      <c r="AB92" s="4">
        <v>122.96</v>
      </c>
      <c r="AC92" s="4">
        <v>19.079999999999998</v>
      </c>
      <c r="AD92" s="4">
        <v>222.77</v>
      </c>
      <c r="AF92" s="4">
        <v>1.1414669535197879</v>
      </c>
      <c r="AG92" s="4">
        <v>1.018093084156648</v>
      </c>
      <c r="AH92" s="4">
        <v>0.94837630268701256</v>
      </c>
      <c r="AI92" s="4">
        <v>1.6002082248828733</v>
      </c>
      <c r="AJ92" s="4" t="e">
        <v>#DIV/0!</v>
      </c>
      <c r="AK92" s="4">
        <v>1.5087707416186928</v>
      </c>
      <c r="AM92" s="555">
        <v>45831</v>
      </c>
      <c r="AN92" s="556">
        <v>486.45</v>
      </c>
      <c r="AO92" s="556">
        <v>2729692</v>
      </c>
      <c r="AP92" s="556">
        <v>234.29595</v>
      </c>
      <c r="AQ92" s="556">
        <v>113973.2648775</v>
      </c>
      <c r="AR92" s="556">
        <v>1.6032999999999999</v>
      </c>
    </row>
    <row r="93" spans="2:44">
      <c r="B93" s="557">
        <v>45303</v>
      </c>
      <c r="C93" s="553">
        <v>13.296900000000001</v>
      </c>
      <c r="D93" s="553">
        <v>21.297799999999999</v>
      </c>
      <c r="E93" s="553">
        <v>22.06</v>
      </c>
      <c r="F93" s="553">
        <v>38.502400000000002</v>
      </c>
      <c r="G93" s="553">
        <v>15.872999999999999</v>
      </c>
      <c r="H93" s="553">
        <v>15.4955</v>
      </c>
      <c r="I93" s="557">
        <v>45303</v>
      </c>
      <c r="J93" s="553">
        <v>15.141999999999999</v>
      </c>
      <c r="K93" s="553">
        <v>16.914999999999999</v>
      </c>
      <c r="L93" s="553">
        <v>30.692</v>
      </c>
      <c r="M93" s="553">
        <v>49.369799999999998</v>
      </c>
      <c r="N93" s="553">
        <v>29.545500000000001</v>
      </c>
      <c r="O93" s="553">
        <v>24.123899999999999</v>
      </c>
      <c r="P93" s="553"/>
      <c r="Q93" s="557">
        <v>45303</v>
      </c>
      <c r="R93" s="4">
        <v>456.12</v>
      </c>
      <c r="S93" s="4">
        <v>16543.939999999999</v>
      </c>
      <c r="T93" s="4">
        <v>1288.93</v>
      </c>
      <c r="U93" s="4">
        <v>1.1410416770901086</v>
      </c>
      <c r="V93" s="4">
        <v>1.4677348237851264</v>
      </c>
      <c r="W93" s="4">
        <v>1.6605642875547539</v>
      </c>
      <c r="Y93" s="553">
        <v>456.12</v>
      </c>
      <c r="Z93" s="4">
        <v>86.33</v>
      </c>
      <c r="AA93" s="4">
        <v>481.08</v>
      </c>
      <c r="AB93" s="4">
        <v>126.8</v>
      </c>
      <c r="AC93" s="4">
        <v>19.350000000000001</v>
      </c>
      <c r="AD93" s="4">
        <v>222.5</v>
      </c>
      <c r="AF93" s="4">
        <v>1.1410416770901086</v>
      </c>
      <c r="AG93" s="4">
        <v>1.027615760028568</v>
      </c>
      <c r="AH93" s="4">
        <v>0.96974339333588666</v>
      </c>
      <c r="AI93" s="4">
        <v>1.6501821967725141</v>
      </c>
      <c r="AJ93" s="4" t="e">
        <v>#DIV/0!</v>
      </c>
      <c r="AK93" s="4">
        <v>1.5069420927869963</v>
      </c>
      <c r="AM93" s="555">
        <v>45830</v>
      </c>
      <c r="AN93" s="556">
        <v>469.27</v>
      </c>
      <c r="AO93" s="556">
        <v>1700596</v>
      </c>
      <c r="AP93" s="556">
        <v>234.29595</v>
      </c>
      <c r="AQ93" s="556">
        <v>109948.0604565</v>
      </c>
      <c r="AR93" s="556">
        <v>1.5466</v>
      </c>
    </row>
    <row r="94" spans="2:44">
      <c r="B94" s="557">
        <v>45296</v>
      </c>
      <c r="C94" s="553">
        <v>13.130100000000001</v>
      </c>
      <c r="D94" s="553">
        <v>21.121200000000002</v>
      </c>
      <c r="E94" s="553">
        <v>21.624500000000001</v>
      </c>
      <c r="F94" s="553">
        <v>38.502400000000002</v>
      </c>
      <c r="G94" s="553">
        <v>15.482699999999999</v>
      </c>
      <c r="H94" s="553">
        <v>15.1919</v>
      </c>
      <c r="I94" s="557">
        <v>45296</v>
      </c>
      <c r="J94" s="553">
        <v>14.9236</v>
      </c>
      <c r="K94" s="553">
        <v>16.7288</v>
      </c>
      <c r="L94" s="553">
        <v>29.978100000000001</v>
      </c>
      <c r="M94" s="553">
        <v>46.060299999999998</v>
      </c>
      <c r="N94" s="553">
        <v>28.8278</v>
      </c>
      <c r="O94" s="553">
        <v>23.6067</v>
      </c>
      <c r="P94" s="553"/>
      <c r="Q94" s="557">
        <v>45296</v>
      </c>
      <c r="R94" s="4">
        <v>450.18</v>
      </c>
      <c r="S94" s="4">
        <v>16878.46</v>
      </c>
      <c r="T94" s="4">
        <v>1271.28</v>
      </c>
      <c r="U94" s="4">
        <v>1.1261820183119027</v>
      </c>
      <c r="V94" s="4">
        <v>1.4974125579435313</v>
      </c>
      <c r="W94" s="4">
        <v>1.6378253027570213</v>
      </c>
      <c r="Y94" s="553">
        <v>450.18</v>
      </c>
      <c r="Z94" s="4">
        <v>85.38</v>
      </c>
      <c r="AA94" s="4">
        <v>469.89</v>
      </c>
      <c r="AB94" s="4">
        <v>118.3</v>
      </c>
      <c r="AC94" s="4">
        <v>18.88</v>
      </c>
      <c r="AD94" s="4">
        <v>217.73</v>
      </c>
      <c r="AF94" s="4">
        <v>1.1261820183119027</v>
      </c>
      <c r="AG94" s="4">
        <v>1.0163075824306629</v>
      </c>
      <c r="AH94" s="4">
        <v>0.947187002358443</v>
      </c>
      <c r="AI94" s="4">
        <v>1.5395627277459656</v>
      </c>
      <c r="AJ94" s="4" t="e">
        <v>#DIV/0!</v>
      </c>
      <c r="AK94" s="4">
        <v>1.4746359634270232</v>
      </c>
      <c r="AM94" s="555">
        <v>45829</v>
      </c>
      <c r="AN94" s="556">
        <v>456.6</v>
      </c>
      <c r="AO94" s="556">
        <v>3618239</v>
      </c>
      <c r="AP94" s="556">
        <v>234.29595</v>
      </c>
      <c r="AQ94" s="556">
        <v>106979.53077000001</v>
      </c>
      <c r="AR94" s="556">
        <v>1.5048999999999999</v>
      </c>
    </row>
    <row r="95" spans="2:44">
      <c r="B95" s="557">
        <v>45289</v>
      </c>
      <c r="C95" s="553">
        <v>12.685700000000001</v>
      </c>
      <c r="D95" s="553">
        <v>20.6938</v>
      </c>
      <c r="E95" s="553">
        <v>16.311699999999998</v>
      </c>
      <c r="F95" s="553">
        <v>38.502400000000002</v>
      </c>
      <c r="G95" s="553">
        <v>19.614000000000001</v>
      </c>
      <c r="H95" s="553">
        <v>15.9917</v>
      </c>
      <c r="I95" s="557">
        <v>45289</v>
      </c>
      <c r="J95" s="553">
        <v>15.039400000000001</v>
      </c>
      <c r="K95" s="553">
        <v>16.783100000000001</v>
      </c>
      <c r="L95" s="553">
        <v>19.358000000000001</v>
      </c>
      <c r="M95" s="553">
        <v>49.073900000000002</v>
      </c>
      <c r="N95" s="553">
        <v>31.0059</v>
      </c>
      <c r="O95" s="553">
        <v>24.880400000000002</v>
      </c>
      <c r="P95" s="553"/>
      <c r="Q95" s="557">
        <v>45289</v>
      </c>
      <c r="R95" s="4">
        <v>447.79</v>
      </c>
      <c r="S95" s="4">
        <v>16811.849999999999</v>
      </c>
      <c r="T95" s="4">
        <v>1271.28</v>
      </c>
      <c r="U95" s="4">
        <v>1.1202031320358232</v>
      </c>
      <c r="V95" s="4">
        <v>1.4915030940182312</v>
      </c>
      <c r="W95" s="4">
        <v>1.6378253027570213</v>
      </c>
      <c r="Y95" s="553">
        <v>447.79</v>
      </c>
      <c r="Z95" s="4">
        <v>84.14</v>
      </c>
      <c r="AA95" s="4">
        <v>468.14</v>
      </c>
      <c r="AB95" s="4">
        <v>126.04</v>
      </c>
      <c r="AC95" s="4">
        <v>20.04</v>
      </c>
      <c r="AD95" s="4">
        <v>222.79</v>
      </c>
      <c r="AF95" s="4">
        <v>1.1202031320358232</v>
      </c>
      <c r="AG95" s="4">
        <v>1.0015474348291868</v>
      </c>
      <c r="AH95" s="4">
        <v>0.94365941663811004</v>
      </c>
      <c r="AI95" s="4">
        <v>1.6402915148360229</v>
      </c>
      <c r="AJ95" s="4" t="e">
        <v>#DIV/0!</v>
      </c>
      <c r="AK95" s="4">
        <v>1.5089061970877073</v>
      </c>
      <c r="AM95" s="555">
        <v>45828</v>
      </c>
      <c r="AN95" s="556">
        <v>476.9</v>
      </c>
      <c r="AO95" s="556">
        <v>1150649</v>
      </c>
      <c r="AP95" s="556">
        <v>234.29595</v>
      </c>
      <c r="AQ95" s="556">
        <v>111735.738555</v>
      </c>
      <c r="AR95" s="556">
        <v>1.5718000000000001</v>
      </c>
    </row>
    <row r="96" spans="2:44">
      <c r="B96" s="557">
        <v>45282</v>
      </c>
      <c r="C96" s="553">
        <v>12.560600000000001</v>
      </c>
      <c r="D96" s="553">
        <v>20.517900000000001</v>
      </c>
      <c r="E96" s="553">
        <v>16.165199999999999</v>
      </c>
      <c r="F96" s="553">
        <v>38.502400000000002</v>
      </c>
      <c r="G96" s="553">
        <v>18.924499999999998</v>
      </c>
      <c r="H96" s="553">
        <v>15.873100000000001</v>
      </c>
      <c r="I96" s="557">
        <v>45282</v>
      </c>
      <c r="J96" s="553">
        <v>14.8728</v>
      </c>
      <c r="K96" s="553">
        <v>16.601600000000001</v>
      </c>
      <c r="L96" s="553">
        <v>19.1509</v>
      </c>
      <c r="M96" s="553">
        <v>49.669600000000003</v>
      </c>
      <c r="N96" s="553">
        <v>29.814599999999999</v>
      </c>
      <c r="O96" s="553">
        <v>24.6738</v>
      </c>
      <c r="P96" s="553"/>
      <c r="Q96" s="557">
        <v>45282</v>
      </c>
      <c r="R96" s="4">
        <v>451.63</v>
      </c>
      <c r="S96" s="4">
        <v>16354.25</v>
      </c>
      <c r="T96" s="4">
        <v>1292.8</v>
      </c>
      <c r="U96" s="4">
        <v>1.1298093760944614</v>
      </c>
      <c r="V96" s="4">
        <v>1.450906026127265</v>
      </c>
      <c r="W96" s="4">
        <v>1.6655501159494974</v>
      </c>
      <c r="Y96" s="553">
        <v>451.63</v>
      </c>
      <c r="Z96" s="4">
        <v>83.23</v>
      </c>
      <c r="AA96" s="4">
        <v>463.13</v>
      </c>
      <c r="AB96" s="4">
        <v>127.57</v>
      </c>
      <c r="AC96" s="4">
        <v>19.27</v>
      </c>
      <c r="AD96" s="4">
        <v>220.94</v>
      </c>
      <c r="AF96" s="4">
        <v>1.1298093760944614</v>
      </c>
      <c r="AG96" s="4">
        <v>0.99071539102487793</v>
      </c>
      <c r="AH96" s="4">
        <v>0.93356044266161387</v>
      </c>
      <c r="AI96" s="4">
        <v>1.6602030192608015</v>
      </c>
      <c r="AJ96" s="4" t="e">
        <v>#DIV/0!</v>
      </c>
      <c r="AK96" s="4">
        <v>1.4963765662038604</v>
      </c>
      <c r="AM96" s="555">
        <v>45827</v>
      </c>
      <c r="AN96" s="556">
        <v>480.83</v>
      </c>
      <c r="AO96" s="556">
        <v>1064298</v>
      </c>
      <c r="AP96" s="556">
        <v>234.29595</v>
      </c>
      <c r="AQ96" s="556">
        <v>112656.52163849999</v>
      </c>
      <c r="AR96" s="556">
        <v>1.5847</v>
      </c>
    </row>
    <row r="97" spans="2:44">
      <c r="B97" s="557">
        <v>45275</v>
      </c>
      <c r="C97" s="553">
        <v>12.4009</v>
      </c>
      <c r="D97" s="553">
        <v>19.947800000000001</v>
      </c>
      <c r="E97" s="553">
        <v>16.104299999999999</v>
      </c>
      <c r="F97" s="553">
        <v>38.502400000000002</v>
      </c>
      <c r="G97" s="553">
        <v>18.6648</v>
      </c>
      <c r="H97" s="553">
        <v>15.792899999999999</v>
      </c>
      <c r="I97" s="557">
        <v>45275</v>
      </c>
      <c r="J97" s="553">
        <v>14.6601</v>
      </c>
      <c r="K97" s="553">
        <v>16.013100000000001</v>
      </c>
      <c r="L97" s="553">
        <v>19.064900000000002</v>
      </c>
      <c r="M97" s="553">
        <v>49.128399999999999</v>
      </c>
      <c r="N97" s="553">
        <v>29.3659</v>
      </c>
      <c r="O97" s="553">
        <v>24.534199999999998</v>
      </c>
      <c r="P97" s="553"/>
      <c r="Q97" s="557">
        <v>45275</v>
      </c>
      <c r="R97" s="4">
        <v>446.24</v>
      </c>
      <c r="S97" s="4">
        <v>15877.71</v>
      </c>
      <c r="T97" s="4">
        <v>1250.76</v>
      </c>
      <c r="U97" s="4">
        <v>1.1163256116475708</v>
      </c>
      <c r="V97" s="4">
        <v>1.4086286512742032</v>
      </c>
      <c r="W97" s="4">
        <v>1.611388817315125</v>
      </c>
      <c r="Y97" s="553">
        <v>446.24</v>
      </c>
      <c r="Z97" s="4">
        <v>80.28</v>
      </c>
      <c r="AA97" s="4">
        <v>461.05</v>
      </c>
      <c r="AB97" s="4">
        <v>126.18</v>
      </c>
      <c r="AC97" s="4">
        <v>18.98</v>
      </c>
      <c r="AD97" s="4">
        <v>219.69</v>
      </c>
      <c r="AF97" s="4">
        <v>1.1163256116475708</v>
      </c>
      <c r="AG97" s="4">
        <v>0.95560052374717286</v>
      </c>
      <c r="AH97" s="4">
        <v>0.92936765506258956</v>
      </c>
      <c r="AI97" s="4">
        <v>1.6421134825611661</v>
      </c>
      <c r="AJ97" s="4" t="e">
        <v>#DIV/0!</v>
      </c>
      <c r="AK97" s="4">
        <v>1.4879105993904502</v>
      </c>
      <c r="AM97" s="555">
        <v>45826</v>
      </c>
      <c r="AN97" s="556">
        <v>481.69</v>
      </c>
      <c r="AO97" s="556">
        <v>714571</v>
      </c>
      <c r="AP97" s="556">
        <v>234.29595</v>
      </c>
      <c r="AQ97" s="556">
        <v>112858.01615550001</v>
      </c>
      <c r="AR97" s="556">
        <v>1.5875999999999999</v>
      </c>
    </row>
    <row r="98" spans="2:44">
      <c r="B98" s="557">
        <v>45268</v>
      </c>
      <c r="C98" s="553">
        <v>12.5556</v>
      </c>
      <c r="D98" s="553">
        <v>20.148800000000001</v>
      </c>
      <c r="E98" s="553">
        <v>16.5489</v>
      </c>
      <c r="F98" s="553">
        <v>38.502400000000002</v>
      </c>
      <c r="G98" s="553">
        <v>18.2439</v>
      </c>
      <c r="H98" s="553">
        <v>15.530099999999999</v>
      </c>
      <c r="I98" s="557">
        <v>45268</v>
      </c>
      <c r="J98" s="553">
        <v>14.866099999999999</v>
      </c>
      <c r="K98" s="553">
        <v>16.220600000000001</v>
      </c>
      <c r="L98" s="553">
        <v>19.6934</v>
      </c>
      <c r="M98" s="553">
        <v>48.587200000000003</v>
      </c>
      <c r="N98" s="553">
        <v>28.6387</v>
      </c>
      <c r="O98" s="553">
        <v>24.0764</v>
      </c>
      <c r="P98" s="553"/>
      <c r="Q98" s="557">
        <v>45268</v>
      </c>
      <c r="R98" s="4">
        <v>448.27</v>
      </c>
      <c r="S98" s="4">
        <v>16010.43</v>
      </c>
      <c r="T98" s="4">
        <v>1231.3900000000001</v>
      </c>
      <c r="U98" s="4">
        <v>1.121403912543153</v>
      </c>
      <c r="V98" s="4">
        <v>1.4204032204404817</v>
      </c>
      <c r="W98" s="4">
        <v>1.5864339087863952</v>
      </c>
      <c r="Y98" s="553">
        <v>448.27</v>
      </c>
      <c r="Z98" s="4">
        <v>81.319999999999993</v>
      </c>
      <c r="AA98" s="4">
        <v>476.25</v>
      </c>
      <c r="AB98" s="4">
        <v>124.79</v>
      </c>
      <c r="AC98" s="4">
        <v>18.510000000000002</v>
      </c>
      <c r="AD98" s="4">
        <v>215.59</v>
      </c>
      <c r="AF98" s="4">
        <v>1.121403912543153</v>
      </c>
      <c r="AG98" s="4">
        <v>0.96798000238066884</v>
      </c>
      <c r="AH98" s="4">
        <v>0.96000725674776755</v>
      </c>
      <c r="AI98" s="4">
        <v>1.6240239458615304</v>
      </c>
      <c r="AJ98" s="4" t="e">
        <v>#DIV/0!</v>
      </c>
      <c r="AK98" s="4">
        <v>1.4601422282424652</v>
      </c>
      <c r="AM98" s="555">
        <v>45825</v>
      </c>
      <c r="AN98" s="556">
        <v>481.69</v>
      </c>
      <c r="AO98" s="556">
        <v>714571</v>
      </c>
      <c r="AP98" s="556">
        <v>234.29595</v>
      </c>
      <c r="AQ98" s="556">
        <v>112858.01615550001</v>
      </c>
      <c r="AR98" s="556">
        <v>1.5875999999999999</v>
      </c>
    </row>
    <row r="99" spans="2:44">
      <c r="B99" s="557">
        <v>45261</v>
      </c>
      <c r="C99" s="553">
        <v>12.590299999999999</v>
      </c>
      <c r="D99" s="553">
        <v>20.342099999999999</v>
      </c>
      <c r="E99" s="553">
        <v>16.6539</v>
      </c>
      <c r="F99" s="553">
        <v>38.502400000000002</v>
      </c>
      <c r="G99" s="553">
        <v>18.646899999999999</v>
      </c>
      <c r="H99" s="553">
        <v>15.751899999999999</v>
      </c>
      <c r="I99" s="557">
        <v>45261</v>
      </c>
      <c r="J99" s="553">
        <v>14.9123</v>
      </c>
      <c r="K99" s="553">
        <v>16.420100000000001</v>
      </c>
      <c r="L99" s="553">
        <v>19.841799999999999</v>
      </c>
      <c r="M99" s="553">
        <v>54.396299999999997</v>
      </c>
      <c r="N99" s="553">
        <v>29.335000000000001</v>
      </c>
      <c r="O99" s="553">
        <v>24.462800000000001</v>
      </c>
      <c r="P99" s="553"/>
      <c r="Q99" s="557">
        <v>45261</v>
      </c>
      <c r="R99" s="4">
        <v>448.15</v>
      </c>
      <c r="S99" s="4">
        <v>15933.62</v>
      </c>
      <c r="T99" s="4">
        <v>1227.99</v>
      </c>
      <c r="U99" s="4">
        <v>1.1211037174163205</v>
      </c>
      <c r="V99" s="4">
        <v>1.4135888393550249</v>
      </c>
      <c r="W99" s="4">
        <v>1.5820535944344241</v>
      </c>
      <c r="Y99" s="553">
        <v>448.15</v>
      </c>
      <c r="Z99" s="4">
        <v>82.32</v>
      </c>
      <c r="AA99" s="4">
        <v>479.84</v>
      </c>
      <c r="AB99" s="4">
        <v>139.71</v>
      </c>
      <c r="AC99" s="4">
        <v>18.96</v>
      </c>
      <c r="AD99" s="4">
        <v>219.05</v>
      </c>
      <c r="AF99" s="4">
        <v>1.1211037174163205</v>
      </c>
      <c r="AG99" s="4">
        <v>0.9798833472205688</v>
      </c>
      <c r="AH99" s="4">
        <v>0.9672438468826221</v>
      </c>
      <c r="AI99" s="4">
        <v>1.8181936491410724</v>
      </c>
      <c r="AJ99" s="4" t="e">
        <v>#DIV/0!</v>
      </c>
      <c r="AK99" s="4">
        <v>1.4835760243819844</v>
      </c>
      <c r="AM99" s="555">
        <v>45824</v>
      </c>
      <c r="AN99" s="556">
        <v>481.69</v>
      </c>
      <c r="AO99" s="556">
        <v>714571</v>
      </c>
      <c r="AP99" s="556">
        <v>234.29595</v>
      </c>
      <c r="AQ99" s="556">
        <v>112858.01615550001</v>
      </c>
      <c r="AR99" s="556">
        <v>1.5875999999999999</v>
      </c>
    </row>
    <row r="100" spans="2:44">
      <c r="B100" s="557">
        <v>45254</v>
      </c>
      <c r="C100" s="553">
        <v>12.655099999999999</v>
      </c>
      <c r="D100" s="553">
        <v>19.889800000000001</v>
      </c>
      <c r="E100" s="553">
        <v>16.410499999999999</v>
      </c>
      <c r="F100" s="553">
        <v>38.502400000000002</v>
      </c>
      <c r="G100" s="553">
        <v>18.512599999999999</v>
      </c>
      <c r="H100" s="553">
        <v>15.4352</v>
      </c>
      <c r="I100" s="557">
        <v>45254</v>
      </c>
      <c r="J100" s="553">
        <v>14.9985</v>
      </c>
      <c r="K100" s="553">
        <v>15.9533</v>
      </c>
      <c r="L100" s="553">
        <v>19.497800000000002</v>
      </c>
      <c r="M100" s="553">
        <v>51.927799999999998</v>
      </c>
      <c r="N100" s="553">
        <v>29.102900000000002</v>
      </c>
      <c r="O100" s="553">
        <v>23.911100000000001</v>
      </c>
      <c r="P100" s="553"/>
      <c r="Q100" s="557">
        <v>45254</v>
      </c>
      <c r="R100" s="4">
        <v>444.22</v>
      </c>
      <c r="S100" s="4">
        <v>15812.47</v>
      </c>
      <c r="T100" s="4">
        <v>1212.6400000000001</v>
      </c>
      <c r="U100" s="4">
        <v>1.1112723270125582</v>
      </c>
      <c r="V100" s="4">
        <v>1.4028407301439438</v>
      </c>
      <c r="W100" s="4">
        <v>1.5622777634630249</v>
      </c>
      <c r="Y100" s="553">
        <v>444.22</v>
      </c>
      <c r="Z100" s="4">
        <v>79.98</v>
      </c>
      <c r="AA100" s="4">
        <v>471.52</v>
      </c>
      <c r="AB100" s="4">
        <v>133.37</v>
      </c>
      <c r="AC100" s="4">
        <v>18.809999999999999</v>
      </c>
      <c r="AD100" s="4">
        <v>214.11</v>
      </c>
      <c r="AF100" s="4">
        <v>1.1112723270125582</v>
      </c>
      <c r="AG100" s="4">
        <v>0.95202952029520294</v>
      </c>
      <c r="AH100" s="4">
        <v>0.95047269648652466</v>
      </c>
      <c r="AI100" s="4">
        <v>1.7356845393024467</v>
      </c>
      <c r="AJ100" s="4" t="e">
        <v>#DIV/0!</v>
      </c>
      <c r="AK100" s="4">
        <v>1.4501185235353877</v>
      </c>
      <c r="AM100" s="555">
        <v>45823</v>
      </c>
      <c r="AN100" s="556">
        <v>478.03</v>
      </c>
      <c r="AO100" s="556">
        <v>1063462</v>
      </c>
      <c r="AP100" s="556">
        <v>234.29595</v>
      </c>
      <c r="AQ100" s="556">
        <v>112000.4929785</v>
      </c>
      <c r="AR100" s="556">
        <v>1.5754999999999999</v>
      </c>
    </row>
    <row r="101" spans="2:44">
      <c r="B101" s="557">
        <v>45247</v>
      </c>
      <c r="C101" s="553">
        <v>12.4724</v>
      </c>
      <c r="D101" s="553">
        <v>19.831900000000001</v>
      </c>
      <c r="E101" s="553">
        <v>16.195599999999999</v>
      </c>
      <c r="F101" s="553">
        <v>38.502400000000002</v>
      </c>
      <c r="G101" s="553">
        <v>18.288699999999999</v>
      </c>
      <c r="H101" s="553">
        <v>15.1922</v>
      </c>
      <c r="I101" s="557">
        <v>45247</v>
      </c>
      <c r="J101" s="553">
        <v>14.7553</v>
      </c>
      <c r="K101" s="553">
        <v>15.8935</v>
      </c>
      <c r="L101" s="553">
        <v>19.193899999999999</v>
      </c>
      <c r="M101" s="553">
        <v>48.676699999999997</v>
      </c>
      <c r="N101" s="553">
        <v>28.716100000000001</v>
      </c>
      <c r="O101" s="553">
        <v>23.4878</v>
      </c>
      <c r="P101" s="553"/>
      <c r="Q101" s="557">
        <v>45247</v>
      </c>
      <c r="R101" s="4">
        <v>450.15</v>
      </c>
      <c r="S101" s="4">
        <v>15296.02</v>
      </c>
      <c r="T101" s="4">
        <v>1182.8900000000001</v>
      </c>
      <c r="U101" s="4">
        <v>1.1261069695301946</v>
      </c>
      <c r="V101" s="4">
        <v>1.357022645108346</v>
      </c>
      <c r="W101" s="4">
        <v>1.5239500128832775</v>
      </c>
      <c r="Y101" s="553">
        <v>450.15</v>
      </c>
      <c r="Z101" s="4">
        <v>79.680000000000007</v>
      </c>
      <c r="AA101" s="4">
        <v>464.17</v>
      </c>
      <c r="AB101" s="4">
        <v>125.02</v>
      </c>
      <c r="AC101" s="4">
        <v>18.559999999999999</v>
      </c>
      <c r="AD101" s="4">
        <v>210.32</v>
      </c>
      <c r="AF101" s="4">
        <v>1.1261069695301946</v>
      </c>
      <c r="AG101" s="4">
        <v>0.94845851684323301</v>
      </c>
      <c r="AH101" s="4">
        <v>0.93565683646112607</v>
      </c>
      <c r="AI101" s="4">
        <v>1.6270171785528369</v>
      </c>
      <c r="AJ101" s="4" t="e">
        <v>#DIV/0!</v>
      </c>
      <c r="AK101" s="4">
        <v>1.4244497121571282</v>
      </c>
      <c r="AM101" s="555">
        <v>45822</v>
      </c>
      <c r="AN101" s="556">
        <v>482.21</v>
      </c>
      <c r="AO101" s="556">
        <v>1274033</v>
      </c>
      <c r="AP101" s="556">
        <v>234.29595</v>
      </c>
      <c r="AQ101" s="556">
        <v>112979.8500495</v>
      </c>
      <c r="AR101" s="556">
        <v>1.5892999999999999</v>
      </c>
    </row>
    <row r="102" spans="2:44">
      <c r="B102" s="557">
        <v>45240</v>
      </c>
      <c r="C102" s="553">
        <v>12.4771</v>
      </c>
      <c r="D102" s="553">
        <v>20.322700000000001</v>
      </c>
      <c r="E102" s="553">
        <v>16.1693</v>
      </c>
      <c r="F102" s="553">
        <v>38.502400000000002</v>
      </c>
      <c r="G102" s="553">
        <v>19.399100000000001</v>
      </c>
      <c r="H102" s="553">
        <v>15.010199999999999</v>
      </c>
      <c r="I102" s="557">
        <v>45240</v>
      </c>
      <c r="J102" s="553">
        <v>14.7616</v>
      </c>
      <c r="K102" s="553">
        <v>16.400099999999998</v>
      </c>
      <c r="L102" s="553">
        <v>19.156700000000001</v>
      </c>
      <c r="M102" s="553">
        <v>47.341299999999997</v>
      </c>
      <c r="N102" s="553">
        <v>30.634599999999999</v>
      </c>
      <c r="O102" s="553">
        <v>23.1707</v>
      </c>
      <c r="P102" s="553"/>
      <c r="Q102" s="557">
        <v>45240</v>
      </c>
      <c r="R102" s="4">
        <v>454.64</v>
      </c>
      <c r="S102" s="4">
        <v>14409.78</v>
      </c>
      <c r="T102" s="4">
        <v>1165.27</v>
      </c>
      <c r="U102" s="4">
        <v>1.1373392705258418</v>
      </c>
      <c r="V102" s="4">
        <v>1.2783977643223103</v>
      </c>
      <c r="W102" s="4">
        <v>1.5012496779180622</v>
      </c>
      <c r="Y102" s="553">
        <v>454.64</v>
      </c>
      <c r="Z102" s="4">
        <v>82.22</v>
      </c>
      <c r="AA102" s="4">
        <v>463.27</v>
      </c>
      <c r="AB102" s="4">
        <v>121.59</v>
      </c>
      <c r="AC102" s="4">
        <v>19.8</v>
      </c>
      <c r="AD102" s="4">
        <v>207.48</v>
      </c>
      <c r="AF102" s="4">
        <v>1.1373392705258418</v>
      </c>
      <c r="AG102" s="4">
        <v>0.97869301273657894</v>
      </c>
      <c r="AH102" s="4">
        <v>0.93384264951924045</v>
      </c>
      <c r="AI102" s="4">
        <v>1.5823789692868298</v>
      </c>
      <c r="AJ102" s="4" t="e">
        <v>#DIV/0!</v>
      </c>
      <c r="AK102" s="4">
        <v>1.4052150355570605</v>
      </c>
      <c r="AM102" s="555">
        <v>45821</v>
      </c>
      <c r="AN102" s="556">
        <v>480.17</v>
      </c>
      <c r="AO102" s="556">
        <v>1032298</v>
      </c>
      <c r="AP102" s="556">
        <v>234.29595</v>
      </c>
      <c r="AQ102" s="556">
        <v>112501.88631150001</v>
      </c>
      <c r="AR102" s="556">
        <v>1.5826</v>
      </c>
    </row>
    <row r="103" spans="2:44">
      <c r="B103" s="557">
        <v>45233</v>
      </c>
      <c r="C103" s="553">
        <v>12.6882</v>
      </c>
      <c r="D103" s="553">
        <v>20.4194</v>
      </c>
      <c r="E103" s="553">
        <v>16.382999999999999</v>
      </c>
      <c r="F103" s="553">
        <v>38.502400000000002</v>
      </c>
      <c r="G103" s="553">
        <v>19.614000000000001</v>
      </c>
      <c r="H103" s="553">
        <v>14.771000000000001</v>
      </c>
      <c r="I103" s="557">
        <v>45233</v>
      </c>
      <c r="J103" s="553">
        <v>15.0427</v>
      </c>
      <c r="K103" s="553">
        <v>16.4998</v>
      </c>
      <c r="L103" s="553">
        <v>19.4589</v>
      </c>
      <c r="M103" s="553">
        <v>46.652099999999997</v>
      </c>
      <c r="N103" s="553">
        <v>31.0059</v>
      </c>
      <c r="O103" s="553">
        <v>22.754100000000001</v>
      </c>
      <c r="P103" s="553"/>
      <c r="Q103" s="557">
        <v>45233</v>
      </c>
      <c r="R103" s="4">
        <v>440.9</v>
      </c>
      <c r="S103" s="4">
        <v>14745.85</v>
      </c>
      <c r="T103" s="4">
        <v>1156.05</v>
      </c>
      <c r="U103" s="4">
        <v>1.1029669285035273</v>
      </c>
      <c r="V103" s="4">
        <v>1.3082130104021115</v>
      </c>
      <c r="W103" s="4">
        <v>1.489371296057717</v>
      </c>
      <c r="Y103" s="553">
        <v>440.9</v>
      </c>
      <c r="Z103" s="4">
        <v>82.72</v>
      </c>
      <c r="AA103" s="4">
        <v>470.58</v>
      </c>
      <c r="AB103" s="4">
        <v>119.82</v>
      </c>
      <c r="AC103" s="4">
        <v>20.04</v>
      </c>
      <c r="AD103" s="4">
        <v>203.75</v>
      </c>
      <c r="AF103" s="4">
        <v>1.1029669285035273</v>
      </c>
      <c r="AG103" s="4">
        <v>0.98464468515652892</v>
      </c>
      <c r="AH103" s="4">
        <v>0.94857787901388857</v>
      </c>
      <c r="AI103" s="4">
        <v>1.5593440916189483</v>
      </c>
      <c r="AJ103" s="4" t="e">
        <v>#DIV/0!</v>
      </c>
      <c r="AK103" s="4">
        <v>1.3799525905858447</v>
      </c>
      <c r="AM103" s="555">
        <v>45820</v>
      </c>
      <c r="AN103" s="556">
        <v>478.82</v>
      </c>
      <c r="AO103" s="556">
        <v>1154508</v>
      </c>
      <c r="AP103" s="556">
        <v>234.29595</v>
      </c>
      <c r="AQ103" s="556">
        <v>112185.586779</v>
      </c>
      <c r="AR103" s="556">
        <v>1.5781000000000001</v>
      </c>
    </row>
    <row r="104" spans="2:44">
      <c r="B104" s="557">
        <v>45226</v>
      </c>
      <c r="C104" s="553">
        <v>12.440200000000001</v>
      </c>
      <c r="D104" s="553">
        <v>19.731400000000001</v>
      </c>
      <c r="E104" s="553">
        <v>16.4559</v>
      </c>
      <c r="F104" s="553">
        <v>38.502400000000002</v>
      </c>
      <c r="G104" s="553">
        <v>18.649799999999999</v>
      </c>
      <c r="H104" s="553">
        <v>14.274100000000001</v>
      </c>
      <c r="I104" s="557">
        <v>45226</v>
      </c>
      <c r="J104" s="553">
        <v>14.7125</v>
      </c>
      <c r="K104" s="553">
        <v>15.7897</v>
      </c>
      <c r="L104" s="553">
        <v>19.561900000000001</v>
      </c>
      <c r="M104" s="553">
        <v>73.820999999999998</v>
      </c>
      <c r="N104" s="553">
        <v>29.381399999999999</v>
      </c>
      <c r="O104" s="553">
        <v>21.851800000000001</v>
      </c>
      <c r="P104" s="553"/>
      <c r="Q104" s="557">
        <v>45226</v>
      </c>
      <c r="R104" s="4">
        <v>441.13</v>
      </c>
      <c r="S104" s="4">
        <v>15122.01</v>
      </c>
      <c r="T104" s="4">
        <v>1174.3499999999999</v>
      </c>
      <c r="U104" s="4">
        <v>1.1035423024966227</v>
      </c>
      <c r="V104" s="4">
        <v>1.3415849357908045</v>
      </c>
      <c r="W104" s="4">
        <v>1.5129476938933262</v>
      </c>
      <c r="Y104" s="553">
        <v>441.13</v>
      </c>
      <c r="Z104" s="4">
        <v>79.16</v>
      </c>
      <c r="AA104" s="4">
        <v>473.07</v>
      </c>
      <c r="AB104" s="4">
        <v>113.93</v>
      </c>
      <c r="AC104" s="4">
        <v>18.989999999999998</v>
      </c>
      <c r="AD104" s="4">
        <v>195.67</v>
      </c>
      <c r="AF104" s="4">
        <v>1.1035423024966227</v>
      </c>
      <c r="AG104" s="4">
        <v>0.94226877752648486</v>
      </c>
      <c r="AH104" s="4">
        <v>0.95359712955310527</v>
      </c>
      <c r="AI104" s="4">
        <v>1.48269130661114</v>
      </c>
      <c r="AJ104" s="4" t="e">
        <v>#DIV/0!</v>
      </c>
      <c r="AK104" s="4">
        <v>1.3252285811039619</v>
      </c>
      <c r="AM104" s="555">
        <v>45819</v>
      </c>
      <c r="AN104" s="556">
        <v>482.38</v>
      </c>
      <c r="AO104" s="556">
        <v>2196347</v>
      </c>
      <c r="AP104" s="556">
        <v>234.29595</v>
      </c>
      <c r="AQ104" s="556">
        <v>113019.68036100001</v>
      </c>
      <c r="AR104" s="556">
        <v>1.5898000000000001</v>
      </c>
    </row>
    <row r="105" spans="2:44">
      <c r="B105" s="557">
        <v>45219</v>
      </c>
      <c r="C105" s="553">
        <v>12.4597</v>
      </c>
      <c r="D105" s="553">
        <v>18.625599999999999</v>
      </c>
      <c r="E105" s="553">
        <v>16.873000000000001</v>
      </c>
      <c r="F105" s="553">
        <v>38.502400000000002</v>
      </c>
      <c r="G105" s="553">
        <v>18.5335</v>
      </c>
      <c r="H105" s="553">
        <v>14.6485</v>
      </c>
      <c r="I105" s="557">
        <v>45219</v>
      </c>
      <c r="J105" s="553">
        <v>14.7384</v>
      </c>
      <c r="K105" s="553">
        <v>14.471299999999999</v>
      </c>
      <c r="L105" s="553">
        <v>20.084199999999999</v>
      </c>
      <c r="M105" s="553">
        <v>75.725999999999999</v>
      </c>
      <c r="N105" s="553">
        <v>29.180199999999999</v>
      </c>
      <c r="O105" s="553">
        <v>22.502800000000001</v>
      </c>
      <c r="P105" s="553"/>
      <c r="Q105" s="557">
        <v>45219</v>
      </c>
      <c r="R105" s="4">
        <v>435.1</v>
      </c>
      <c r="S105" s="4">
        <v>15131.52</v>
      </c>
      <c r="T105" s="4">
        <v>1153.25</v>
      </c>
      <c r="U105" s="4">
        <v>1.0884574973732928</v>
      </c>
      <c r="V105" s="4">
        <v>1.3424286379665979</v>
      </c>
      <c r="W105" s="4">
        <v>1.4857639783560936</v>
      </c>
      <c r="Y105" s="553">
        <v>435.1</v>
      </c>
      <c r="Z105" s="4">
        <v>72.55</v>
      </c>
      <c r="AA105" s="4">
        <v>485.7</v>
      </c>
      <c r="AB105" s="4">
        <v>116.87</v>
      </c>
      <c r="AC105" s="4">
        <v>18.86</v>
      </c>
      <c r="AD105" s="4">
        <v>201.5</v>
      </c>
      <c r="AF105" s="4">
        <v>1.0884574973732928</v>
      </c>
      <c r="AG105" s="4">
        <v>0.86358766813474575</v>
      </c>
      <c r="AH105" s="4">
        <v>0.97905621963756584</v>
      </c>
      <c r="AI105" s="4">
        <v>1.5209526288391462</v>
      </c>
      <c r="AJ105" s="4" t="e">
        <v>#DIV/0!</v>
      </c>
      <c r="AK105" s="4">
        <v>1.3647138503217067</v>
      </c>
      <c r="AM105" s="555">
        <v>45818</v>
      </c>
      <c r="AN105" s="556">
        <v>482.38</v>
      </c>
      <c r="AO105" s="556">
        <v>2196347</v>
      </c>
      <c r="AP105" s="556">
        <v>234.29595</v>
      </c>
      <c r="AQ105" s="556">
        <v>113019.68036100001</v>
      </c>
      <c r="AR105" s="556">
        <v>1.5898000000000001</v>
      </c>
    </row>
    <row r="106" spans="2:44">
      <c r="B106" s="557">
        <v>45212</v>
      </c>
      <c r="C106" s="553">
        <v>12.547499999999999</v>
      </c>
      <c r="D106" s="553">
        <v>18.762599999999999</v>
      </c>
      <c r="E106" s="553">
        <v>17.003599999999999</v>
      </c>
      <c r="F106" s="553">
        <v>38.502400000000002</v>
      </c>
      <c r="G106" s="553">
        <v>18.560300000000002</v>
      </c>
      <c r="H106" s="553">
        <v>14.913</v>
      </c>
      <c r="I106" s="557">
        <v>45212</v>
      </c>
      <c r="J106" s="553">
        <v>14.635199999999999</v>
      </c>
      <c r="K106" s="553">
        <v>14.610900000000001</v>
      </c>
      <c r="L106" s="553">
        <v>20.2682</v>
      </c>
      <c r="M106" s="553">
        <v>72.259399999999999</v>
      </c>
      <c r="N106" s="553">
        <v>29.226600000000001</v>
      </c>
      <c r="O106" s="553">
        <v>22.963000000000001</v>
      </c>
      <c r="P106" s="553"/>
      <c r="Q106" s="557">
        <v>45212</v>
      </c>
      <c r="R106" s="4">
        <v>403.83</v>
      </c>
      <c r="S106" s="4">
        <v>14565.62</v>
      </c>
      <c r="T106" s="4">
        <v>1124.49</v>
      </c>
      <c r="U106" s="4">
        <v>1.0102316505728723</v>
      </c>
      <c r="V106" s="4">
        <v>1.2922234790516114</v>
      </c>
      <c r="W106" s="4">
        <v>1.4487116722494202</v>
      </c>
      <c r="Y106" s="553">
        <v>403.83</v>
      </c>
      <c r="Z106" s="4">
        <v>73.25</v>
      </c>
      <c r="AA106" s="4">
        <v>490.15</v>
      </c>
      <c r="AB106" s="4">
        <v>111.52</v>
      </c>
      <c r="AC106" s="4">
        <v>18.89</v>
      </c>
      <c r="AD106" s="4">
        <v>205.62</v>
      </c>
      <c r="AF106" s="4">
        <v>1.0102316505728723</v>
      </c>
      <c r="AG106" s="4">
        <v>0.87192000952267579</v>
      </c>
      <c r="AH106" s="4">
        <v>0.98802636618355544</v>
      </c>
      <c r="AI106" s="4">
        <v>1.4513274336283184</v>
      </c>
      <c r="AJ106" s="4" t="e">
        <v>#DIV/0!</v>
      </c>
      <c r="AK106" s="4">
        <v>1.3926176769387064</v>
      </c>
      <c r="AM106" s="555">
        <v>45817</v>
      </c>
      <c r="AN106" s="556">
        <v>482.38</v>
      </c>
      <c r="AO106" s="556">
        <v>2196347</v>
      </c>
      <c r="AP106" s="556">
        <v>234.29595</v>
      </c>
      <c r="AQ106" s="556">
        <v>113019.68036100001</v>
      </c>
      <c r="AR106" s="556">
        <v>1.5898000000000001</v>
      </c>
    </row>
    <row r="107" spans="2:44">
      <c r="B107" s="557">
        <v>45205</v>
      </c>
      <c r="C107" s="553">
        <v>11.5273</v>
      </c>
      <c r="D107" s="553">
        <v>18.081800000000001</v>
      </c>
      <c r="E107" s="553">
        <v>15.0402</v>
      </c>
      <c r="F107" s="553">
        <v>38.502400000000002</v>
      </c>
      <c r="G107" s="553">
        <v>16.745100000000001</v>
      </c>
      <c r="H107" s="553">
        <v>14.1617</v>
      </c>
      <c r="I107" s="557">
        <v>45205</v>
      </c>
      <c r="J107" s="553">
        <v>13.297000000000001</v>
      </c>
      <c r="K107" s="553">
        <v>13.9168</v>
      </c>
      <c r="L107" s="553">
        <v>17.5014</v>
      </c>
      <c r="M107" s="553">
        <v>68.047799999999995</v>
      </c>
      <c r="N107" s="553">
        <v>26.085799999999999</v>
      </c>
      <c r="O107" s="553">
        <v>21.656300000000002</v>
      </c>
      <c r="P107" s="553"/>
      <c r="Q107" s="557">
        <v>45205</v>
      </c>
      <c r="R107" s="4">
        <v>408.75</v>
      </c>
      <c r="S107" s="4">
        <v>14545.83</v>
      </c>
      <c r="T107" s="4">
        <v>1133.82</v>
      </c>
      <c r="U107" s="4">
        <v>1.0225396507730025</v>
      </c>
      <c r="V107" s="4">
        <v>1.2904677623261693</v>
      </c>
      <c r="W107" s="4">
        <v>1.460731770162329</v>
      </c>
      <c r="Y107" s="553">
        <v>408.75</v>
      </c>
      <c r="Z107" s="4">
        <v>69.77</v>
      </c>
      <c r="AA107" s="4">
        <v>423.24</v>
      </c>
      <c r="AB107" s="4">
        <v>105.02</v>
      </c>
      <c r="AC107" s="4">
        <v>16.86</v>
      </c>
      <c r="AD107" s="4">
        <v>193.92</v>
      </c>
      <c r="AF107" s="4">
        <v>1.0225396507730025</v>
      </c>
      <c r="AG107" s="4">
        <v>0.83049636947982375</v>
      </c>
      <c r="AH107" s="4">
        <v>0.85315164587070902</v>
      </c>
      <c r="AI107" s="4">
        <v>1.3667360749609576</v>
      </c>
      <c r="AJ107" s="4" t="e">
        <v>#DIV/0!</v>
      </c>
      <c r="AK107" s="4">
        <v>1.3133762275651879</v>
      </c>
      <c r="AM107" s="555">
        <v>45816</v>
      </c>
      <c r="AN107" s="556">
        <v>473.69</v>
      </c>
      <c r="AO107" s="556">
        <v>851603</v>
      </c>
      <c r="AP107" s="556">
        <v>234.29595</v>
      </c>
      <c r="AQ107" s="556">
        <v>110983.6485555</v>
      </c>
      <c r="AR107" s="556">
        <v>1.5611999999999999</v>
      </c>
    </row>
    <row r="108" spans="2:44">
      <c r="B108" s="557">
        <v>45198</v>
      </c>
      <c r="C108" s="553">
        <v>11.7355</v>
      </c>
      <c r="D108" s="553">
        <v>13.35</v>
      </c>
      <c r="E108" s="553">
        <v>15.9955</v>
      </c>
      <c r="F108" s="553">
        <v>38.502400000000002</v>
      </c>
      <c r="G108" s="553">
        <v>8.0601000000000003</v>
      </c>
      <c r="H108" s="553">
        <v>15.0792</v>
      </c>
      <c r="I108" s="557">
        <v>45198</v>
      </c>
      <c r="J108" s="553">
        <v>13.5701</v>
      </c>
      <c r="K108" s="553">
        <v>14.6632</v>
      </c>
      <c r="L108" s="553">
        <v>18.423200000000001</v>
      </c>
      <c r="M108" s="553">
        <v>72.265900000000002</v>
      </c>
      <c r="N108" s="553">
        <v>35.587600000000002</v>
      </c>
      <c r="O108" s="553">
        <v>23.357500000000002</v>
      </c>
      <c r="P108" s="553"/>
      <c r="Q108" s="557">
        <v>45198</v>
      </c>
      <c r="R108" s="4">
        <v>425.31</v>
      </c>
      <c r="S108" s="4">
        <v>15191.23</v>
      </c>
      <c r="T108" s="4">
        <v>1180.6099999999999</v>
      </c>
      <c r="U108" s="4">
        <v>1.0639665782758794</v>
      </c>
      <c r="V108" s="4">
        <v>1.3477259520482623</v>
      </c>
      <c r="W108" s="4">
        <v>1.5210126256119554</v>
      </c>
      <c r="Y108" s="553">
        <v>425.31</v>
      </c>
      <c r="Z108" s="4">
        <v>71.97</v>
      </c>
      <c r="AA108" s="4">
        <v>440.19</v>
      </c>
      <c r="AB108" s="4">
        <v>111.53</v>
      </c>
      <c r="AC108" s="4">
        <v>16.7</v>
      </c>
      <c r="AD108" s="4">
        <v>195.63</v>
      </c>
      <c r="AF108" s="4">
        <v>1.0639665782758794</v>
      </c>
      <c r="AG108" s="4">
        <v>0.85668372812760374</v>
      </c>
      <c r="AH108" s="4">
        <v>0.88731883327622008</v>
      </c>
      <c r="AI108" s="4">
        <v>1.4514575741801146</v>
      </c>
      <c r="AJ108" s="4" t="e">
        <v>#DIV/0!</v>
      </c>
      <c r="AK108" s="4">
        <v>1.3249576701659329</v>
      </c>
      <c r="AM108" s="555">
        <v>45815</v>
      </c>
      <c r="AN108" s="556">
        <v>469.98</v>
      </c>
      <c r="AO108" s="556">
        <v>956931</v>
      </c>
      <c r="AP108" s="556">
        <v>234.29595</v>
      </c>
      <c r="AQ108" s="556">
        <v>110114.410581</v>
      </c>
      <c r="AR108" s="556">
        <v>1.5489999999999999</v>
      </c>
    </row>
    <row r="109" spans="2:44">
      <c r="B109" s="557">
        <v>45191</v>
      </c>
      <c r="C109" s="553">
        <v>11.7865</v>
      </c>
      <c r="D109" s="553">
        <v>13.2951</v>
      </c>
      <c r="E109" s="553">
        <v>15.532299999999999</v>
      </c>
      <c r="F109" s="553">
        <v>38.502400000000002</v>
      </c>
      <c r="G109" s="553">
        <v>7.9131</v>
      </c>
      <c r="H109" s="553">
        <v>15.223699999999999</v>
      </c>
      <c r="I109" s="557">
        <v>45191</v>
      </c>
      <c r="J109" s="553">
        <v>13.7524</v>
      </c>
      <c r="K109" s="553">
        <v>14.5838</v>
      </c>
      <c r="L109" s="553">
        <v>17.783300000000001</v>
      </c>
      <c r="M109" s="553">
        <v>72.784300000000002</v>
      </c>
      <c r="N109" s="553">
        <v>34.863</v>
      </c>
      <c r="O109" s="553">
        <v>23.615400000000001</v>
      </c>
      <c r="P109" s="553"/>
      <c r="Q109" s="557">
        <v>45191</v>
      </c>
      <c r="R109" s="4">
        <v>417.83</v>
      </c>
      <c r="S109" s="4">
        <v>15289.74</v>
      </c>
      <c r="T109" s="4">
        <v>1176.3900000000001</v>
      </c>
      <c r="U109" s="4">
        <v>1.0452544153699905</v>
      </c>
      <c r="V109" s="4">
        <v>1.356465500033269</v>
      </c>
      <c r="W109" s="4">
        <v>1.5155758825045091</v>
      </c>
      <c r="Y109" s="553">
        <v>417.83</v>
      </c>
      <c r="Z109" s="4">
        <v>71.58</v>
      </c>
      <c r="AA109" s="4">
        <v>424.9</v>
      </c>
      <c r="AB109" s="4">
        <v>112.33</v>
      </c>
      <c r="AC109" s="4">
        <v>16.36</v>
      </c>
      <c r="AD109" s="4">
        <v>197.79</v>
      </c>
      <c r="AF109" s="4">
        <v>1.0452544153699905</v>
      </c>
      <c r="AG109" s="4">
        <v>0.85204142364004276</v>
      </c>
      <c r="AH109" s="4">
        <v>0.85649781289685334</v>
      </c>
      <c r="AI109" s="4">
        <v>1.4618688183237896</v>
      </c>
      <c r="AJ109" s="4" t="e">
        <v>#DIV/0!</v>
      </c>
      <c r="AK109" s="4">
        <v>1.3395868608195054</v>
      </c>
      <c r="AM109" s="555">
        <v>45814</v>
      </c>
      <c r="AN109" s="556">
        <v>476.85</v>
      </c>
      <c r="AO109" s="556">
        <v>1548007</v>
      </c>
      <c r="AP109" s="556">
        <v>234.29595</v>
      </c>
      <c r="AQ109" s="556">
        <v>111724.02375750001</v>
      </c>
      <c r="AR109" s="556">
        <v>1.5716000000000001</v>
      </c>
    </row>
    <row r="110" spans="2:44">
      <c r="B110" s="557">
        <v>45184</v>
      </c>
      <c r="C110" s="553">
        <v>12.048</v>
      </c>
      <c r="D110" s="553">
        <v>13.889699999999999</v>
      </c>
      <c r="E110" s="553">
        <v>15.7925</v>
      </c>
      <c r="F110" s="553">
        <v>38.502400000000002</v>
      </c>
      <c r="G110" s="553">
        <v>8.0556999999999999</v>
      </c>
      <c r="H110" s="553">
        <v>15.410299999999999</v>
      </c>
      <c r="I110" s="557">
        <v>45184</v>
      </c>
      <c r="J110" s="553">
        <v>14.098100000000001</v>
      </c>
      <c r="K110" s="553">
        <v>15.4435</v>
      </c>
      <c r="L110" s="553">
        <v>18.142800000000001</v>
      </c>
      <c r="M110" s="553">
        <v>72.168700000000001</v>
      </c>
      <c r="N110" s="553">
        <v>35.566299999999998</v>
      </c>
      <c r="O110" s="553">
        <v>23.948499999999999</v>
      </c>
      <c r="P110" s="553"/>
      <c r="Q110" s="557">
        <v>45184</v>
      </c>
      <c r="R110" s="4">
        <v>445.19</v>
      </c>
      <c r="S110" s="4">
        <v>15508.24</v>
      </c>
      <c r="T110" s="4">
        <v>1184.2</v>
      </c>
      <c r="U110" s="4">
        <v>1.113698904287787</v>
      </c>
      <c r="V110" s="4">
        <v>1.3758502450817309</v>
      </c>
      <c r="W110" s="4">
        <v>1.5256377222365369</v>
      </c>
      <c r="Y110" s="553">
        <v>445.19</v>
      </c>
      <c r="Z110" s="4">
        <v>75.8</v>
      </c>
      <c r="AA110" s="4">
        <v>433.49</v>
      </c>
      <c r="AB110" s="4">
        <v>111.38</v>
      </c>
      <c r="AC110" s="4">
        <v>16.690000000000001</v>
      </c>
      <c r="AD110" s="4">
        <v>200.58</v>
      </c>
      <c r="AF110" s="4">
        <v>1.113698904287787</v>
      </c>
      <c r="AG110" s="4">
        <v>0.90227353886442085</v>
      </c>
      <c r="AH110" s="4">
        <v>0.87381321937551659</v>
      </c>
      <c r="AI110" s="4">
        <v>1.4495054659031754</v>
      </c>
      <c r="AJ110" s="4" t="e">
        <v>#DIV/0!</v>
      </c>
      <c r="AK110" s="4">
        <v>1.358482898747037</v>
      </c>
      <c r="AM110" s="555">
        <v>45813</v>
      </c>
      <c r="AN110" s="556">
        <v>468.88</v>
      </c>
      <c r="AO110" s="556">
        <v>866694</v>
      </c>
      <c r="AP110" s="556">
        <v>234.29595</v>
      </c>
      <c r="AQ110" s="556">
        <v>109856.685036</v>
      </c>
      <c r="AR110" s="556">
        <v>1.5452999999999999</v>
      </c>
    </row>
    <row r="111" spans="2:44">
      <c r="B111" s="557">
        <v>45177</v>
      </c>
      <c r="C111" s="553">
        <v>12.023899999999999</v>
      </c>
      <c r="D111" s="553">
        <v>14.972</v>
      </c>
      <c r="E111" s="553">
        <v>15.466200000000001</v>
      </c>
      <c r="F111" s="553">
        <v>38.502400000000002</v>
      </c>
      <c r="G111" s="553">
        <v>8.1379000000000001</v>
      </c>
      <c r="H111" s="553">
        <v>15.3408</v>
      </c>
      <c r="I111" s="557">
        <v>45177</v>
      </c>
      <c r="J111" s="553">
        <v>14.0662</v>
      </c>
      <c r="K111" s="553">
        <v>17.008299999999998</v>
      </c>
      <c r="L111" s="553">
        <v>17.692</v>
      </c>
      <c r="M111" s="553">
        <v>73.529399999999995</v>
      </c>
      <c r="N111" s="553">
        <v>35.9711</v>
      </c>
      <c r="O111" s="553">
        <v>23.824300000000001</v>
      </c>
      <c r="P111" s="553"/>
      <c r="Q111" s="557">
        <v>45177</v>
      </c>
      <c r="R111" s="4">
        <v>448.4</v>
      </c>
      <c r="S111" s="4">
        <v>15376.55</v>
      </c>
      <c r="T111" s="4">
        <v>1174.5899999999999</v>
      </c>
      <c r="U111" s="4">
        <v>1.1217291239305547</v>
      </c>
      <c r="V111" s="4">
        <v>1.3641670548051543</v>
      </c>
      <c r="W111" s="4">
        <v>1.5132568925534655</v>
      </c>
      <c r="Y111" s="553">
        <v>448.4</v>
      </c>
      <c r="Z111" s="4">
        <v>83.48</v>
      </c>
      <c r="AA111" s="4">
        <v>422.72</v>
      </c>
      <c r="AB111" s="4">
        <v>113.48</v>
      </c>
      <c r="AC111" s="4">
        <v>16.88</v>
      </c>
      <c r="AD111" s="4">
        <v>199.54</v>
      </c>
      <c r="AF111" s="4">
        <v>1.1217291239305547</v>
      </c>
      <c r="AG111" s="4">
        <v>0.99369122723485293</v>
      </c>
      <c r="AH111" s="4">
        <v>0.85210344897095291</v>
      </c>
      <c r="AI111" s="4">
        <v>1.4768349817803228</v>
      </c>
      <c r="AJ111" s="4" t="e">
        <v>#DIV/0!</v>
      </c>
      <c r="AK111" s="4">
        <v>1.3514392143582796</v>
      </c>
      <c r="AM111" s="555">
        <v>45812</v>
      </c>
      <c r="AN111" s="556">
        <v>468.88</v>
      </c>
      <c r="AO111" s="556">
        <v>866694</v>
      </c>
      <c r="AP111" s="556">
        <v>234.29595</v>
      </c>
      <c r="AQ111" s="556">
        <v>109856.685036</v>
      </c>
      <c r="AR111" s="556">
        <v>1.5452999999999999</v>
      </c>
    </row>
    <row r="112" spans="2:44">
      <c r="B112" s="557">
        <v>45170</v>
      </c>
      <c r="C112" s="553">
        <v>12.6548</v>
      </c>
      <c r="D112" s="553">
        <v>15.3665</v>
      </c>
      <c r="E112" s="553">
        <v>15.857100000000001</v>
      </c>
      <c r="F112" s="553">
        <v>38.502400000000002</v>
      </c>
      <c r="G112" s="553">
        <v>8.3713999999999995</v>
      </c>
      <c r="H112" s="553">
        <v>15.962300000000001</v>
      </c>
      <c r="I112" s="557">
        <v>45170</v>
      </c>
      <c r="J112" s="553">
        <v>14.900399999999999</v>
      </c>
      <c r="K112" s="553">
        <v>17.578700000000001</v>
      </c>
      <c r="L112" s="553">
        <v>18.2319</v>
      </c>
      <c r="M112" s="553">
        <v>63.531500000000001</v>
      </c>
      <c r="N112" s="553">
        <v>37.121899999999997</v>
      </c>
      <c r="O112" s="553">
        <v>24.933499999999999</v>
      </c>
      <c r="P112" s="553"/>
      <c r="Q112" s="557">
        <v>45170</v>
      </c>
      <c r="R112" s="4">
        <v>452.94</v>
      </c>
      <c r="S112" s="4">
        <v>14908.96</v>
      </c>
      <c r="T112" s="4">
        <v>1144.31</v>
      </c>
      <c r="U112" s="4">
        <v>1.1330865062290489</v>
      </c>
      <c r="V112" s="4">
        <v>1.322683700401446</v>
      </c>
      <c r="W112" s="4">
        <v>1.4742463282659106</v>
      </c>
      <c r="Y112" s="553">
        <v>452.94</v>
      </c>
      <c r="Z112" s="4">
        <v>86.28</v>
      </c>
      <c r="AA112" s="4">
        <v>435.62</v>
      </c>
      <c r="AB112" s="4">
        <v>98.05</v>
      </c>
      <c r="AC112" s="4">
        <v>17.420000000000002</v>
      </c>
      <c r="AD112" s="4">
        <v>208.83</v>
      </c>
      <c r="AF112" s="4">
        <v>1.1330865062290489</v>
      </c>
      <c r="AG112" s="4">
        <v>1.027020592786573</v>
      </c>
      <c r="AH112" s="4">
        <v>0.87810679513797907</v>
      </c>
      <c r="AI112" s="4">
        <v>1.2760281103591877</v>
      </c>
      <c r="AJ112" s="4" t="e">
        <v>#DIV/0!</v>
      </c>
      <c r="AK112" s="4">
        <v>1.4143582797155436</v>
      </c>
      <c r="AM112" s="555">
        <v>45811</v>
      </c>
      <c r="AN112" s="556">
        <v>468.88</v>
      </c>
      <c r="AO112" s="556">
        <v>866694</v>
      </c>
      <c r="AP112" s="556">
        <v>234.29595</v>
      </c>
      <c r="AQ112" s="556">
        <v>109856.685036</v>
      </c>
      <c r="AR112" s="556">
        <v>1.5452999999999999</v>
      </c>
    </row>
    <row r="113" spans="2:44">
      <c r="B113" s="557">
        <v>45163</v>
      </c>
      <c r="C113" s="553">
        <v>12.728</v>
      </c>
      <c r="D113" s="553">
        <v>15.1425</v>
      </c>
      <c r="E113" s="553">
        <v>15.673500000000001</v>
      </c>
      <c r="F113" s="553">
        <v>38.502400000000002</v>
      </c>
      <c r="G113" s="553">
        <v>7.9303999999999997</v>
      </c>
      <c r="H113" s="553">
        <v>15.7448</v>
      </c>
      <c r="I113" s="557">
        <v>45163</v>
      </c>
      <c r="J113" s="553">
        <v>14.9971</v>
      </c>
      <c r="K113" s="553">
        <v>17.254799999999999</v>
      </c>
      <c r="L113" s="553">
        <v>17.978300000000001</v>
      </c>
      <c r="M113" s="553">
        <v>61.173000000000002</v>
      </c>
      <c r="N113" s="553">
        <v>34.948300000000003</v>
      </c>
      <c r="O113" s="553">
        <v>24.545500000000001</v>
      </c>
      <c r="P113" s="553"/>
      <c r="Q113" s="557">
        <v>45163</v>
      </c>
      <c r="R113" s="4">
        <v>443.58</v>
      </c>
      <c r="S113" s="4">
        <v>15037.65</v>
      </c>
      <c r="T113" s="4">
        <v>1159.58</v>
      </c>
      <c r="U113" s="4">
        <v>1.1096712863361184</v>
      </c>
      <c r="V113" s="4">
        <v>1.334100738572094</v>
      </c>
      <c r="W113" s="4">
        <v>1.4939190930172634</v>
      </c>
      <c r="Y113" s="553">
        <v>443.58</v>
      </c>
      <c r="Z113" s="4">
        <v>84.69</v>
      </c>
      <c r="AA113" s="4">
        <v>429.56</v>
      </c>
      <c r="AB113" s="4">
        <v>94.41</v>
      </c>
      <c r="AC113" s="4">
        <v>16.399999999999999</v>
      </c>
      <c r="AD113" s="4">
        <v>205.58</v>
      </c>
      <c r="AF113" s="4">
        <v>1.1096712863361184</v>
      </c>
      <c r="AG113" s="4">
        <v>1.0080942744911319</v>
      </c>
      <c r="AH113" s="4">
        <v>0.86589126972928299</v>
      </c>
      <c r="AI113" s="4">
        <v>1.2286569495054658</v>
      </c>
      <c r="AJ113" s="4" t="e">
        <v>#DIV/0!</v>
      </c>
      <c r="AK113" s="4">
        <v>1.3923467660006774</v>
      </c>
      <c r="AM113" s="555">
        <v>45810</v>
      </c>
      <c r="AN113" s="556">
        <v>468.88</v>
      </c>
      <c r="AO113" s="556">
        <v>866694</v>
      </c>
      <c r="AP113" s="556">
        <v>234.29595</v>
      </c>
      <c r="AQ113" s="556">
        <v>109856.685036</v>
      </c>
      <c r="AR113" s="556">
        <v>1.5452999999999999</v>
      </c>
    </row>
    <row r="114" spans="2:44">
      <c r="B114" s="557">
        <v>45156</v>
      </c>
      <c r="C114" s="553">
        <v>12.7021</v>
      </c>
      <c r="D114" s="553">
        <v>15.2989</v>
      </c>
      <c r="E114" s="553">
        <v>15.6919</v>
      </c>
      <c r="F114" s="553">
        <v>38.502400000000002</v>
      </c>
      <c r="G114" s="553">
        <v>7.8871000000000002</v>
      </c>
      <c r="H114" s="553">
        <v>15.479200000000001</v>
      </c>
      <c r="I114" s="557">
        <v>45156</v>
      </c>
      <c r="J114" s="553">
        <v>14.962899999999999</v>
      </c>
      <c r="K114" s="553">
        <v>17.481000000000002</v>
      </c>
      <c r="L114" s="553">
        <v>18.003799999999998</v>
      </c>
      <c r="M114" s="553">
        <v>60.570399999999999</v>
      </c>
      <c r="N114" s="553">
        <v>34.735199999999999</v>
      </c>
      <c r="O114" s="553">
        <v>24.0715</v>
      </c>
      <c r="P114" s="553"/>
      <c r="Q114" s="557">
        <v>45156</v>
      </c>
      <c r="R114" s="4">
        <v>449.47</v>
      </c>
      <c r="S114" s="4">
        <v>15273.05</v>
      </c>
      <c r="T114" s="4">
        <v>1176.6300000000001</v>
      </c>
      <c r="U114" s="4">
        <v>1.1244058638114776</v>
      </c>
      <c r="V114" s="4">
        <v>1.3549848071506199</v>
      </c>
      <c r="W114" s="4">
        <v>1.5158850811646483</v>
      </c>
      <c r="Y114" s="553">
        <v>449.47</v>
      </c>
      <c r="Z114" s="4">
        <v>85.8</v>
      </c>
      <c r="AA114" s="4">
        <v>430.17</v>
      </c>
      <c r="AB114" s="4">
        <v>93.48</v>
      </c>
      <c r="AC114" s="4">
        <v>16.3</v>
      </c>
      <c r="AD114" s="4">
        <v>201.61</v>
      </c>
      <c r="AF114" s="4">
        <v>1.1244058638114776</v>
      </c>
      <c r="AG114" s="4">
        <v>1.0213069872634208</v>
      </c>
      <c r="AH114" s="4">
        <v>0.86712088532322773</v>
      </c>
      <c r="AI114" s="4">
        <v>1.2165538781884435</v>
      </c>
      <c r="AJ114" s="4" t="e">
        <v>#DIV/0!</v>
      </c>
      <c r="AK114" s="4">
        <v>1.365458855401287</v>
      </c>
      <c r="AM114" s="555">
        <v>45809</v>
      </c>
      <c r="AN114" s="556">
        <v>470.45</v>
      </c>
      <c r="AO114" s="556">
        <v>885138</v>
      </c>
      <c r="AP114" s="556">
        <v>234.29595</v>
      </c>
      <c r="AQ114" s="556">
        <v>110224.5296775</v>
      </c>
      <c r="AR114" s="556">
        <v>1.5505</v>
      </c>
    </row>
    <row r="115" spans="2:44">
      <c r="B115" s="557">
        <v>45149</v>
      </c>
      <c r="C115" s="553">
        <v>12.8024</v>
      </c>
      <c r="D115" s="553">
        <v>15.445399999999999</v>
      </c>
      <c r="E115" s="553">
        <v>15.7186</v>
      </c>
      <c r="F115" s="553">
        <v>38.502400000000002</v>
      </c>
      <c r="G115" s="553">
        <v>8.2286999999999999</v>
      </c>
      <c r="H115" s="553">
        <v>15.8492</v>
      </c>
      <c r="I115" s="557">
        <v>45149</v>
      </c>
      <c r="J115" s="553">
        <v>15.095499999999999</v>
      </c>
      <c r="K115" s="553">
        <v>17.692799999999998</v>
      </c>
      <c r="L115" s="553">
        <v>18.040700000000001</v>
      </c>
      <c r="M115" s="553">
        <v>61.982900000000001</v>
      </c>
      <c r="N115" s="553">
        <v>36.418700000000001</v>
      </c>
      <c r="O115" s="553">
        <v>24.7317</v>
      </c>
      <c r="P115" s="553"/>
      <c r="Q115" s="557">
        <v>45149</v>
      </c>
      <c r="R115" s="4">
        <v>451.28</v>
      </c>
      <c r="S115" s="4">
        <v>15718.01</v>
      </c>
      <c r="T115" s="4">
        <v>1151.72</v>
      </c>
      <c r="U115" s="4">
        <v>1.1289338069745334</v>
      </c>
      <c r="V115" s="4">
        <v>1.3944604875019406</v>
      </c>
      <c r="W115" s="4">
        <v>1.4837928368977067</v>
      </c>
      <c r="Y115" s="553">
        <v>451.28</v>
      </c>
      <c r="Z115" s="4">
        <v>86.84</v>
      </c>
      <c r="AA115" s="4">
        <v>431.05</v>
      </c>
      <c r="AB115" s="4">
        <v>95.66</v>
      </c>
      <c r="AC115" s="4">
        <v>17.09</v>
      </c>
      <c r="AD115" s="4">
        <v>207.14</v>
      </c>
      <c r="AF115" s="4">
        <v>1.1289338069745334</v>
      </c>
      <c r="AG115" s="4">
        <v>1.0336864658969169</v>
      </c>
      <c r="AH115" s="4">
        <v>0.86889475699973806</v>
      </c>
      <c r="AI115" s="4">
        <v>1.2449245184799582</v>
      </c>
      <c r="AJ115" s="4" t="e">
        <v>#DIV/0!</v>
      </c>
      <c r="AK115" s="4">
        <v>1.4029122925838129</v>
      </c>
      <c r="AM115" s="555">
        <v>45808</v>
      </c>
      <c r="AN115" s="556">
        <v>470.28</v>
      </c>
      <c r="AO115" s="556">
        <v>1435110</v>
      </c>
      <c r="AP115" s="556">
        <v>234.29595</v>
      </c>
      <c r="AQ115" s="556">
        <v>110184.699366</v>
      </c>
      <c r="AR115" s="556">
        <v>1.55</v>
      </c>
    </row>
    <row r="116" spans="2:44">
      <c r="B116" s="557">
        <v>45142</v>
      </c>
      <c r="C116" s="553">
        <v>12.5929</v>
      </c>
      <c r="D116" s="553">
        <v>15.1227</v>
      </c>
      <c r="E116" s="553">
        <v>15.945499999999999</v>
      </c>
      <c r="F116" s="553">
        <v>38.502400000000002</v>
      </c>
      <c r="G116" s="553">
        <v>8.2243999999999993</v>
      </c>
      <c r="H116" s="553">
        <v>15.5288</v>
      </c>
      <c r="I116" s="557">
        <v>45142</v>
      </c>
      <c r="J116" s="553">
        <v>14.8186</v>
      </c>
      <c r="K116" s="553">
        <v>17.226299999999998</v>
      </c>
      <c r="L116" s="553">
        <v>18.354099999999999</v>
      </c>
      <c r="M116" s="553">
        <v>62.604999999999997</v>
      </c>
      <c r="N116" s="553">
        <v>36.397300000000001</v>
      </c>
      <c r="O116" s="553">
        <v>24.159800000000001</v>
      </c>
      <c r="P116" s="553"/>
      <c r="Q116" s="557">
        <v>45142</v>
      </c>
      <c r="R116" s="4">
        <v>454.15</v>
      </c>
      <c r="S116" s="4">
        <v>15561.42</v>
      </c>
      <c r="T116" s="4">
        <v>1127.99</v>
      </c>
      <c r="U116" s="4">
        <v>1.1361134737579426</v>
      </c>
      <c r="V116" s="4">
        <v>1.3805682347461574</v>
      </c>
      <c r="W116" s="4">
        <v>1.4532208193764493</v>
      </c>
      <c r="Y116" s="553">
        <v>454.15</v>
      </c>
      <c r="Z116" s="4">
        <v>84.55</v>
      </c>
      <c r="AA116" s="4">
        <v>438.54</v>
      </c>
      <c r="AB116" s="4">
        <v>96.62</v>
      </c>
      <c r="AC116" s="4">
        <v>17.079999999999998</v>
      </c>
      <c r="AD116" s="4">
        <v>202.35</v>
      </c>
      <c r="AF116" s="4">
        <v>1.1361134737579426</v>
      </c>
      <c r="AG116" s="4">
        <v>1.0064278062135459</v>
      </c>
      <c r="AH116" s="4">
        <v>0.88399282388276335</v>
      </c>
      <c r="AI116" s="4">
        <v>1.2574180114523685</v>
      </c>
      <c r="AJ116" s="4" t="e">
        <v>#DIV/0!</v>
      </c>
      <c r="AK116" s="4">
        <v>1.3704707077548255</v>
      </c>
      <c r="AM116" s="555">
        <v>45807</v>
      </c>
      <c r="AN116" s="556">
        <v>475.82</v>
      </c>
      <c r="AO116" s="556">
        <v>1058518</v>
      </c>
      <c r="AP116" s="556">
        <v>234.29595</v>
      </c>
      <c r="AQ116" s="556">
        <v>111482.69892900001</v>
      </c>
      <c r="AR116" s="556">
        <v>1.5682</v>
      </c>
    </row>
    <row r="117" spans="2:44">
      <c r="B117" s="557">
        <v>45135</v>
      </c>
      <c r="C117" s="553">
        <v>12.6754</v>
      </c>
      <c r="D117" s="553">
        <v>15.5159</v>
      </c>
      <c r="E117" s="553">
        <v>16.283000000000001</v>
      </c>
      <c r="F117" s="553">
        <v>38.502400000000002</v>
      </c>
      <c r="G117" s="553">
        <v>8.0884999999999998</v>
      </c>
      <c r="H117" s="553">
        <v>14.7471</v>
      </c>
      <c r="I117" s="557">
        <v>45135</v>
      </c>
      <c r="J117" s="553">
        <v>14.9276</v>
      </c>
      <c r="K117" s="553">
        <v>17.794699999999999</v>
      </c>
      <c r="L117" s="553">
        <v>18.820399999999999</v>
      </c>
      <c r="M117" s="553">
        <v>275.24900000000002</v>
      </c>
      <c r="N117" s="553">
        <v>35.864600000000003</v>
      </c>
      <c r="O117" s="553">
        <v>22.742599999999999</v>
      </c>
      <c r="P117" s="553"/>
      <c r="Q117" s="557">
        <v>45135</v>
      </c>
      <c r="R117" s="4">
        <v>455.7</v>
      </c>
      <c r="S117" s="4">
        <v>15841.35</v>
      </c>
      <c r="T117" s="4">
        <v>1125.58</v>
      </c>
      <c r="U117" s="4">
        <v>1.139990994146195</v>
      </c>
      <c r="V117" s="4">
        <v>1.4054028877503493</v>
      </c>
      <c r="W117" s="4">
        <v>1.450115949497552</v>
      </c>
      <c r="Y117" s="553">
        <v>455.7</v>
      </c>
      <c r="Z117" s="4">
        <v>87.34</v>
      </c>
      <c r="AA117" s="4">
        <v>449.68</v>
      </c>
      <c r="AB117" s="4">
        <v>95.03</v>
      </c>
      <c r="AC117" s="4">
        <v>16.829999999999998</v>
      </c>
      <c r="AD117" s="4">
        <v>190.48</v>
      </c>
      <c r="AF117" s="4">
        <v>1.139990994146195</v>
      </c>
      <c r="AG117" s="4">
        <v>1.0396381383168669</v>
      </c>
      <c r="AH117" s="4">
        <v>0.90644842669676884</v>
      </c>
      <c r="AI117" s="4">
        <v>1.236725663716814</v>
      </c>
      <c r="AJ117" s="4" t="e">
        <v>#DIV/0!</v>
      </c>
      <c r="AK117" s="4">
        <v>1.2900778868946832</v>
      </c>
      <c r="AM117" s="555">
        <v>45806</v>
      </c>
      <c r="AN117" s="556">
        <v>473.06</v>
      </c>
      <c r="AO117" s="556">
        <v>1200022</v>
      </c>
      <c r="AP117" s="556">
        <v>234.29595</v>
      </c>
      <c r="AQ117" s="556">
        <v>110836.042107</v>
      </c>
      <c r="AR117" s="556">
        <v>1.5590999999999999</v>
      </c>
    </row>
    <row r="118" spans="2:44">
      <c r="B118" s="557">
        <v>45128</v>
      </c>
      <c r="C118" s="553">
        <v>12.8203</v>
      </c>
      <c r="D118" s="553">
        <v>16.843699999999998</v>
      </c>
      <c r="E118" s="553">
        <v>16.447199999999999</v>
      </c>
      <c r="F118" s="553">
        <v>38.502400000000002</v>
      </c>
      <c r="G118" s="553">
        <v>8.2263000000000002</v>
      </c>
      <c r="H118" s="553">
        <v>14.817399999999999</v>
      </c>
      <c r="I118" s="557">
        <v>45128</v>
      </c>
      <c r="J118" s="553">
        <v>15.1191</v>
      </c>
      <c r="K118" s="553">
        <v>19.6386</v>
      </c>
      <c r="L118" s="553">
        <v>18.976900000000001</v>
      </c>
      <c r="M118" s="553">
        <v>279.41989999999998</v>
      </c>
      <c r="N118" s="553">
        <v>36.546500000000002</v>
      </c>
      <c r="O118" s="553">
        <v>22.867999999999999</v>
      </c>
      <c r="P118" s="553"/>
      <c r="Q118" s="557">
        <v>45128</v>
      </c>
      <c r="R118" s="4">
        <v>466.29</v>
      </c>
      <c r="S118" s="4">
        <v>15119.06</v>
      </c>
      <c r="T118" s="4">
        <v>1107.5899999999999</v>
      </c>
      <c r="U118" s="4">
        <v>1.1664832140891579</v>
      </c>
      <c r="V118" s="4">
        <v>1.341323219553308</v>
      </c>
      <c r="W118" s="4">
        <v>1.4269389332646223</v>
      </c>
      <c r="Y118" s="553">
        <v>466.29</v>
      </c>
      <c r="Z118" s="4">
        <v>96.39</v>
      </c>
      <c r="AA118" s="4">
        <v>453.42</v>
      </c>
      <c r="AB118" s="4">
        <v>96.47</v>
      </c>
      <c r="AC118" s="4">
        <v>17.149999999999999</v>
      </c>
      <c r="AD118" s="4">
        <v>191.53</v>
      </c>
      <c r="AF118" s="4">
        <v>1.1664832140891579</v>
      </c>
      <c r="AG118" s="4">
        <v>1.1473634091179621</v>
      </c>
      <c r="AH118" s="4">
        <v>0.91398738132193758</v>
      </c>
      <c r="AI118" s="4">
        <v>1.2554659031754294</v>
      </c>
      <c r="AJ118" s="4" t="e">
        <v>#DIV/0!</v>
      </c>
      <c r="AK118" s="4">
        <v>1.2971892990179479</v>
      </c>
      <c r="AM118" s="555">
        <v>45805</v>
      </c>
      <c r="AN118" s="556">
        <v>468.32</v>
      </c>
      <c r="AO118" s="556">
        <v>1319203</v>
      </c>
      <c r="AP118" s="556">
        <v>234.29595</v>
      </c>
      <c r="AQ118" s="556">
        <v>109725.47930400001</v>
      </c>
      <c r="AR118" s="556">
        <v>1.5435000000000001</v>
      </c>
    </row>
    <row r="119" spans="2:44">
      <c r="B119" s="557">
        <v>45121</v>
      </c>
      <c r="C119" s="553">
        <v>13.126300000000001</v>
      </c>
      <c r="D119" s="553">
        <v>16.8126</v>
      </c>
      <c r="E119" s="553">
        <v>16.3626</v>
      </c>
      <c r="F119" s="553">
        <v>38.502400000000002</v>
      </c>
      <c r="G119" s="553">
        <v>8.1702999999999992</v>
      </c>
      <c r="H119" s="553">
        <v>14.5985</v>
      </c>
      <c r="I119" s="557">
        <v>45121</v>
      </c>
      <c r="J119" s="553">
        <v>15.4367</v>
      </c>
      <c r="K119" s="553">
        <v>19.593699999999998</v>
      </c>
      <c r="L119" s="553">
        <v>18.860600000000002</v>
      </c>
      <c r="M119" s="553">
        <v>279.36200000000002</v>
      </c>
      <c r="N119" s="553">
        <v>36.269500000000001</v>
      </c>
      <c r="O119" s="553">
        <v>22.477499999999999</v>
      </c>
      <c r="P119" s="553"/>
      <c r="Q119" s="557">
        <v>45121</v>
      </c>
      <c r="R119" s="4">
        <v>453.15</v>
      </c>
      <c r="S119" s="4">
        <v>14945.91</v>
      </c>
      <c r="T119" s="4">
        <v>1114.98</v>
      </c>
      <c r="U119" s="4">
        <v>1.1336118477010055</v>
      </c>
      <c r="V119" s="4">
        <v>1.3259618071727992</v>
      </c>
      <c r="W119" s="4">
        <v>1.4364596753414067</v>
      </c>
      <c r="Y119" s="553">
        <v>453.15</v>
      </c>
      <c r="Z119" s="4">
        <v>96.17</v>
      </c>
      <c r="AA119" s="4">
        <v>450.64</v>
      </c>
      <c r="AB119" s="4">
        <v>96.45</v>
      </c>
      <c r="AC119" s="4">
        <v>17.02</v>
      </c>
      <c r="AD119" s="4">
        <v>188.26</v>
      </c>
      <c r="AF119" s="4">
        <v>1.1336118477010055</v>
      </c>
      <c r="AG119" s="4">
        <v>1.1447446732531841</v>
      </c>
      <c r="AH119" s="4">
        <v>0.90838355943478</v>
      </c>
      <c r="AI119" s="4">
        <v>1.2552056220718375</v>
      </c>
      <c r="AJ119" s="4" t="e">
        <v>#DIV/0!</v>
      </c>
      <c r="AK119" s="4">
        <v>1.275042329834067</v>
      </c>
      <c r="AM119" s="555">
        <v>45804</v>
      </c>
      <c r="AN119" s="556">
        <v>468.32</v>
      </c>
      <c r="AO119" s="556">
        <v>1319203</v>
      </c>
      <c r="AP119" s="556">
        <v>234.29595</v>
      </c>
      <c r="AQ119" s="556">
        <v>109725.47930400001</v>
      </c>
      <c r="AR119" s="556">
        <v>1.5435000000000001</v>
      </c>
    </row>
    <row r="120" spans="2:44">
      <c r="B120" s="557">
        <v>45114</v>
      </c>
      <c r="C120" s="553">
        <v>12.9847</v>
      </c>
      <c r="D120" s="553">
        <v>16.9894</v>
      </c>
      <c r="E120" s="553">
        <v>16.4177</v>
      </c>
      <c r="F120" s="553">
        <v>38.502400000000002</v>
      </c>
      <c r="G120" s="553">
        <v>8.0067000000000004</v>
      </c>
      <c r="H120" s="553">
        <v>14.370799999999999</v>
      </c>
      <c r="I120" s="557">
        <v>45114</v>
      </c>
      <c r="J120" s="553">
        <v>15.250500000000001</v>
      </c>
      <c r="K120" s="553">
        <v>19.848400000000002</v>
      </c>
      <c r="L120" s="553">
        <v>18.936299999999999</v>
      </c>
      <c r="M120" s="553">
        <v>278.6379</v>
      </c>
      <c r="N120" s="553">
        <v>35.459699999999998</v>
      </c>
      <c r="O120" s="553">
        <v>22.0716</v>
      </c>
      <c r="P120" s="553"/>
      <c r="Q120" s="557">
        <v>45114</v>
      </c>
      <c r="R120" s="4">
        <v>453.15</v>
      </c>
      <c r="S120" s="4">
        <v>14945.91</v>
      </c>
      <c r="T120" s="4">
        <v>1107.08</v>
      </c>
      <c r="U120" s="4">
        <v>1.1336118477010055</v>
      </c>
      <c r="V120" s="4">
        <v>1.3259618071727992</v>
      </c>
      <c r="W120" s="4">
        <v>1.4262818861118267</v>
      </c>
      <c r="Y120" s="553">
        <v>453.15</v>
      </c>
      <c r="Z120" s="4">
        <v>97.42</v>
      </c>
      <c r="AA120" s="4">
        <v>452.45</v>
      </c>
      <c r="AB120" s="4">
        <v>96.2</v>
      </c>
      <c r="AC120" s="4">
        <v>16.64</v>
      </c>
      <c r="AD120" s="4">
        <v>184.86</v>
      </c>
      <c r="AF120" s="4">
        <v>1.1336118477010055</v>
      </c>
      <c r="AG120" s="4">
        <v>1.159623854303059</v>
      </c>
      <c r="AH120" s="4">
        <v>0.91203209095123872</v>
      </c>
      <c r="AI120" s="4">
        <v>1.2519521082769391</v>
      </c>
      <c r="AJ120" s="4" t="e">
        <v>#DIV/0!</v>
      </c>
      <c r="AK120" s="4">
        <v>1.2520149001015917</v>
      </c>
      <c r="AM120" s="555">
        <v>45803</v>
      </c>
      <c r="AN120" s="556">
        <v>468.32</v>
      </c>
      <c r="AO120" s="556">
        <v>1319203</v>
      </c>
      <c r="AP120" s="556">
        <v>234.29595</v>
      </c>
      <c r="AQ120" s="556">
        <v>109725.47930400001</v>
      </c>
      <c r="AR120" s="556">
        <v>1.5435000000000001</v>
      </c>
    </row>
    <row r="121" spans="2:44">
      <c r="B121" s="557">
        <v>45107</v>
      </c>
      <c r="C121" s="553">
        <v>13.026899999999999</v>
      </c>
      <c r="D121" s="553">
        <v>17.065799999999999</v>
      </c>
      <c r="E121" s="553">
        <v>16.519500000000001</v>
      </c>
      <c r="F121" s="553">
        <v>38.502400000000002</v>
      </c>
      <c r="G121" s="553">
        <v>8.3081999999999994</v>
      </c>
      <c r="H121" s="553">
        <v>14.2904</v>
      </c>
      <c r="I121" s="557">
        <v>45107</v>
      </c>
      <c r="J121" s="553">
        <v>15.305999999999999</v>
      </c>
      <c r="K121" s="553">
        <v>19.958400000000001</v>
      </c>
      <c r="L121" s="553">
        <v>19.076499999999999</v>
      </c>
      <c r="M121" s="553">
        <v>296.2482</v>
      </c>
      <c r="N121" s="553">
        <v>36.9514</v>
      </c>
      <c r="O121" s="553">
        <v>21.9283</v>
      </c>
      <c r="P121" s="553"/>
      <c r="Q121" s="557">
        <v>45107</v>
      </c>
      <c r="R121" s="4">
        <v>458.38</v>
      </c>
      <c r="S121" s="4">
        <v>15070.15</v>
      </c>
      <c r="T121" s="4">
        <v>1139.32</v>
      </c>
      <c r="U121" s="4">
        <v>1.1466953519787861</v>
      </c>
      <c r="V121" s="4">
        <v>1.3369840530529864</v>
      </c>
      <c r="W121" s="4">
        <v>1.4678175727905178</v>
      </c>
      <c r="Y121" s="553">
        <v>458.38</v>
      </c>
      <c r="Z121" s="4">
        <v>97.96</v>
      </c>
      <c r="AA121" s="4">
        <v>455.8</v>
      </c>
      <c r="AB121" s="4">
        <v>102.28</v>
      </c>
      <c r="AC121" s="4">
        <v>17.34</v>
      </c>
      <c r="AD121" s="4">
        <v>183.66</v>
      </c>
      <c r="AF121" s="4">
        <v>1.1466953519787861</v>
      </c>
      <c r="AG121" s="4">
        <v>1.1660516605166049</v>
      </c>
      <c r="AH121" s="4">
        <v>0.91878489790159046</v>
      </c>
      <c r="AI121" s="4">
        <v>1.3310775637688703</v>
      </c>
      <c r="AJ121" s="4" t="e">
        <v>#DIV/0!</v>
      </c>
      <c r="AK121" s="4">
        <v>1.2438875719607179</v>
      </c>
      <c r="AM121" s="555">
        <v>45802</v>
      </c>
      <c r="AN121" s="556">
        <v>465.14</v>
      </c>
      <c r="AO121" s="556">
        <v>1758661</v>
      </c>
      <c r="AP121" s="556">
        <v>234.29595</v>
      </c>
      <c r="AQ121" s="556">
        <v>108980.418183</v>
      </c>
      <c r="AR121" s="556">
        <v>1.5329999999999999</v>
      </c>
    </row>
    <row r="122" spans="2:44">
      <c r="B122" s="557">
        <v>45100</v>
      </c>
      <c r="C122" s="553">
        <v>12.719200000000001</v>
      </c>
      <c r="D122" s="553">
        <v>17.0945</v>
      </c>
      <c r="E122" s="553">
        <v>16.659500000000001</v>
      </c>
      <c r="F122" s="553">
        <v>38.502400000000002</v>
      </c>
      <c r="G122" s="553">
        <v>7.8648999999999996</v>
      </c>
      <c r="H122" s="553">
        <v>14.151999999999999</v>
      </c>
      <c r="I122" s="557">
        <v>45100</v>
      </c>
      <c r="J122" s="553">
        <v>20.4605</v>
      </c>
      <c r="K122" s="553">
        <v>20.568200000000001</v>
      </c>
      <c r="L122" s="553">
        <v>18.447399999999998</v>
      </c>
      <c r="M122" s="553">
        <v>263.2577</v>
      </c>
      <c r="N122" s="553">
        <v>33.355400000000003</v>
      </c>
      <c r="O122" s="553">
        <v>21.340900000000001</v>
      </c>
      <c r="P122" s="553"/>
      <c r="Q122" s="557">
        <v>45100</v>
      </c>
      <c r="R122" s="4">
        <v>452.37</v>
      </c>
      <c r="S122" s="4">
        <v>14900.85</v>
      </c>
      <c r="T122" s="4">
        <v>1117.9000000000001</v>
      </c>
      <c r="U122" s="4">
        <v>1.1316605793765948</v>
      </c>
      <c r="V122" s="4">
        <v>1.3219642025417526</v>
      </c>
      <c r="W122" s="4">
        <v>1.4402215923730997</v>
      </c>
      <c r="Y122" s="553">
        <v>452.37</v>
      </c>
      <c r="Z122" s="4">
        <v>96.91</v>
      </c>
      <c r="AA122" s="4">
        <v>454.05</v>
      </c>
      <c r="AB122" s="4">
        <v>90.89</v>
      </c>
      <c r="AC122" s="4">
        <v>16.47</v>
      </c>
      <c r="AD122" s="4">
        <v>173</v>
      </c>
      <c r="AF122" s="4">
        <v>1.1316605793765948</v>
      </c>
      <c r="AG122" s="4">
        <v>1.1535531484347101</v>
      </c>
      <c r="AH122" s="4">
        <v>0.9152573121812575</v>
      </c>
      <c r="AI122" s="4">
        <v>1.1828474752732951</v>
      </c>
      <c r="AJ122" s="4" t="e">
        <v>#DIV/0!</v>
      </c>
      <c r="AK122" s="4">
        <v>1.1716898069759567</v>
      </c>
      <c r="AM122" s="555">
        <v>45801</v>
      </c>
      <c r="AN122" s="556">
        <v>449.18</v>
      </c>
      <c r="AO122" s="556">
        <v>2129688</v>
      </c>
      <c r="AP122" s="556">
        <v>234.29595</v>
      </c>
      <c r="AQ122" s="556">
        <v>105241.054821</v>
      </c>
      <c r="AR122" s="556">
        <v>1.4803999999999999</v>
      </c>
    </row>
    <row r="123" spans="2:44">
      <c r="B123" s="557">
        <v>45093</v>
      </c>
      <c r="C123" s="553">
        <v>12.714499999999999</v>
      </c>
      <c r="D123" s="553">
        <v>17.213999999999999</v>
      </c>
      <c r="E123" s="553">
        <v>16.790500000000002</v>
      </c>
      <c r="F123" s="553">
        <v>38.502400000000002</v>
      </c>
      <c r="G123" s="553">
        <v>8.0686999999999998</v>
      </c>
      <c r="H123" s="553">
        <v>14.395099999999999</v>
      </c>
      <c r="I123" s="557">
        <v>45093</v>
      </c>
      <c r="J123" s="553">
        <v>20.452100000000002</v>
      </c>
      <c r="K123" s="553">
        <v>20.744399999999999</v>
      </c>
      <c r="L123" s="553">
        <v>18.6221</v>
      </c>
      <c r="M123" s="553">
        <v>271.91809999999998</v>
      </c>
      <c r="N123" s="553">
        <v>34.307299999999998</v>
      </c>
      <c r="O123" s="553">
        <v>21.775099999999998</v>
      </c>
      <c r="P123" s="553"/>
      <c r="Q123" s="557">
        <v>45093</v>
      </c>
      <c r="R123" s="4">
        <v>458.63</v>
      </c>
      <c r="S123" s="4">
        <v>14558.09</v>
      </c>
      <c r="T123" s="4">
        <v>1093.44</v>
      </c>
      <c r="U123" s="4">
        <v>1.1473207584930205</v>
      </c>
      <c r="V123" s="4">
        <v>1.2915554372657307</v>
      </c>
      <c r="W123" s="4">
        <v>1.408709095593919</v>
      </c>
      <c r="Y123" s="553">
        <v>458.63</v>
      </c>
      <c r="Z123" s="4">
        <v>97.74</v>
      </c>
      <c r="AA123" s="4">
        <v>458.35</v>
      </c>
      <c r="AB123" s="4">
        <v>93.88</v>
      </c>
      <c r="AC123" s="4">
        <v>16.940000000000001</v>
      </c>
      <c r="AD123" s="4">
        <v>176.52</v>
      </c>
      <c r="AF123" s="4">
        <v>1.1473207584930205</v>
      </c>
      <c r="AG123" s="4">
        <v>1.1634329246518271</v>
      </c>
      <c r="AH123" s="4">
        <v>0.92392509423693292</v>
      </c>
      <c r="AI123" s="4">
        <v>1.221759500260281</v>
      </c>
      <c r="AJ123" s="4" t="e">
        <v>#DIV/0!</v>
      </c>
      <c r="AK123" s="4">
        <v>1.1955299695225194</v>
      </c>
      <c r="AM123" s="555">
        <v>45800</v>
      </c>
      <c r="AN123" s="556">
        <v>459.83</v>
      </c>
      <c r="AO123" s="556">
        <v>1859414</v>
      </c>
      <c r="AP123" s="556">
        <v>234.29595</v>
      </c>
      <c r="AQ123" s="556">
        <v>107736.3066885</v>
      </c>
      <c r="AR123" s="556">
        <v>1.5155000000000001</v>
      </c>
    </row>
    <row r="124" spans="2:44">
      <c r="B124" s="557">
        <v>45086</v>
      </c>
      <c r="C124" s="553">
        <v>12.802</v>
      </c>
      <c r="D124" s="553">
        <v>17.444500000000001</v>
      </c>
      <c r="E124" s="553">
        <v>16.665900000000001</v>
      </c>
      <c r="F124" s="553">
        <v>38.502400000000002</v>
      </c>
      <c r="G124" s="553">
        <v>7.7652000000000001</v>
      </c>
      <c r="H124" s="553">
        <v>14.211399999999999</v>
      </c>
      <c r="I124" s="557">
        <v>45086</v>
      </c>
      <c r="J124" s="553">
        <v>20.608799999999999</v>
      </c>
      <c r="K124" s="553">
        <v>21.084</v>
      </c>
      <c r="L124" s="553">
        <v>18.4559</v>
      </c>
      <c r="M124" s="553">
        <v>283.70659999999998</v>
      </c>
      <c r="N124" s="553">
        <v>32.889600000000002</v>
      </c>
      <c r="O124" s="553">
        <v>21.446999999999999</v>
      </c>
      <c r="P124" s="553"/>
      <c r="Q124" s="557">
        <v>45086</v>
      </c>
      <c r="R124" s="4">
        <v>447.97</v>
      </c>
      <c r="S124" s="4">
        <v>14354.99</v>
      </c>
      <c r="T124" s="4">
        <v>1086.8800000000001</v>
      </c>
      <c r="U124" s="4">
        <v>1.120653424726072</v>
      </c>
      <c r="V124" s="4">
        <v>1.2735369396943685</v>
      </c>
      <c r="W124" s="4">
        <v>1.400257665550116</v>
      </c>
      <c r="Y124" s="553">
        <v>447.97</v>
      </c>
      <c r="Z124" s="4">
        <v>99.34</v>
      </c>
      <c r="AA124" s="4">
        <v>454.26</v>
      </c>
      <c r="AB124" s="4">
        <v>97.95</v>
      </c>
      <c r="AC124" s="4">
        <v>16.239999999999998</v>
      </c>
      <c r="AD124" s="4">
        <v>173.86</v>
      </c>
      <c r="AF124" s="4">
        <v>1.120653424726072</v>
      </c>
      <c r="AG124" s="4">
        <v>1.1824782763956672</v>
      </c>
      <c r="AH124" s="4">
        <v>0.91568062246769744</v>
      </c>
      <c r="AI124" s="4">
        <v>1.2747267048412285</v>
      </c>
      <c r="AJ124" s="4" t="e">
        <v>#DIV/0!</v>
      </c>
      <c r="AK124" s="4">
        <v>1.1775143921435829</v>
      </c>
      <c r="AM124" s="555">
        <v>45799</v>
      </c>
      <c r="AN124" s="556">
        <v>473.16</v>
      </c>
      <c r="AO124" s="556">
        <v>1364863</v>
      </c>
      <c r="AP124" s="556">
        <v>234.29595</v>
      </c>
      <c r="AQ124" s="556">
        <v>110859.47170200001</v>
      </c>
      <c r="AR124" s="556">
        <v>1.5595000000000001</v>
      </c>
    </row>
    <row r="125" spans="2:44">
      <c r="B125" s="557">
        <v>45079</v>
      </c>
      <c r="C125" s="553">
        <v>12.598100000000001</v>
      </c>
      <c r="D125" s="553">
        <v>16.974900000000002</v>
      </c>
      <c r="E125" s="553">
        <v>16.348400000000002</v>
      </c>
      <c r="F125" s="553">
        <v>38.502400000000002</v>
      </c>
      <c r="G125" s="553">
        <v>7.4443999999999999</v>
      </c>
      <c r="H125" s="553">
        <v>13.752800000000001</v>
      </c>
      <c r="I125" s="557">
        <v>45079</v>
      </c>
      <c r="J125" s="553">
        <v>20.243600000000001</v>
      </c>
      <c r="K125" s="553">
        <v>20.392099999999999</v>
      </c>
      <c r="L125" s="553">
        <v>18.0322</v>
      </c>
      <c r="M125" s="553">
        <v>286.28449999999998</v>
      </c>
      <c r="N125" s="553">
        <v>31.390899999999998</v>
      </c>
      <c r="O125" s="553">
        <v>20.6279</v>
      </c>
      <c r="P125" s="553"/>
      <c r="Q125" s="557">
        <v>45079</v>
      </c>
      <c r="R125" s="4">
        <v>452.63</v>
      </c>
      <c r="S125" s="4">
        <v>13672.54</v>
      </c>
      <c r="T125" s="4">
        <v>1109.3699999999999</v>
      </c>
      <c r="U125" s="4">
        <v>1.1323110021513985</v>
      </c>
      <c r="V125" s="4">
        <v>1.2129917714640583</v>
      </c>
      <c r="W125" s="4">
        <v>1.4292321566606543</v>
      </c>
      <c r="Y125" s="553">
        <v>452.63</v>
      </c>
      <c r="Z125" s="4">
        <v>96.08</v>
      </c>
      <c r="AA125" s="4">
        <v>443.83</v>
      </c>
      <c r="AB125" s="4">
        <v>98.84</v>
      </c>
      <c r="AC125" s="4">
        <v>15.5</v>
      </c>
      <c r="AD125" s="4">
        <v>167.22</v>
      </c>
      <c r="AF125" s="4">
        <v>1.1323110021513985</v>
      </c>
      <c r="AG125" s="4">
        <v>1.1436733722175931</v>
      </c>
      <c r="AH125" s="4">
        <v>0.89465621157451269</v>
      </c>
      <c r="AI125" s="4">
        <v>1.2863092139510672</v>
      </c>
      <c r="AJ125" s="4" t="e">
        <v>#DIV/0!</v>
      </c>
      <c r="AK125" s="4">
        <v>1.1325431764307483</v>
      </c>
      <c r="AM125" s="555">
        <v>45798</v>
      </c>
      <c r="AN125" s="556">
        <v>473.52</v>
      </c>
      <c r="AO125" s="556">
        <v>979219</v>
      </c>
      <c r="AP125" s="556">
        <v>234.29595</v>
      </c>
      <c r="AQ125" s="556">
        <v>110943.81824399999</v>
      </c>
      <c r="AR125" s="556">
        <v>1.5606</v>
      </c>
    </row>
    <row r="126" spans="2:44">
      <c r="B126" s="557">
        <v>45072</v>
      </c>
      <c r="C126" s="553">
        <v>12.447800000000001</v>
      </c>
      <c r="D126" s="553">
        <v>16.5687</v>
      </c>
      <c r="E126" s="553">
        <v>16.180599999999998</v>
      </c>
      <c r="F126" s="553">
        <v>38.502400000000002</v>
      </c>
      <c r="G126" s="553">
        <v>7.0801999999999996</v>
      </c>
      <c r="H126" s="553">
        <v>13.209199999999999</v>
      </c>
      <c r="I126" s="557">
        <v>45072</v>
      </c>
      <c r="J126" s="553">
        <v>19.974599999999999</v>
      </c>
      <c r="K126" s="553">
        <v>19.793600000000001</v>
      </c>
      <c r="L126" s="553">
        <v>17.808299999999999</v>
      </c>
      <c r="M126" s="553">
        <v>267.3997</v>
      </c>
      <c r="N126" s="553">
        <v>29.689800000000002</v>
      </c>
      <c r="O126" s="553">
        <v>19.6571</v>
      </c>
      <c r="P126" s="553"/>
      <c r="Q126" s="557">
        <v>45072</v>
      </c>
      <c r="R126" s="4">
        <v>447.73</v>
      </c>
      <c r="S126" s="4">
        <v>13426.01</v>
      </c>
      <c r="T126" s="4">
        <v>1124.21</v>
      </c>
      <c r="U126" s="4">
        <v>1.1200530344724071</v>
      </c>
      <c r="V126" s="4">
        <v>1.1911202785725377</v>
      </c>
      <c r="W126" s="4">
        <v>1.4483509404792578</v>
      </c>
      <c r="Y126" s="553">
        <v>447.73</v>
      </c>
      <c r="Z126" s="4">
        <v>93.26</v>
      </c>
      <c r="AA126" s="4">
        <v>438.32</v>
      </c>
      <c r="AB126" s="4">
        <v>92.32</v>
      </c>
      <c r="AC126" s="4">
        <v>14.66</v>
      </c>
      <c r="AD126" s="4">
        <v>159.35</v>
      </c>
      <c r="AF126" s="4">
        <v>1.1200530344724071</v>
      </c>
      <c r="AG126" s="4">
        <v>1.1101059397690751</v>
      </c>
      <c r="AH126" s="4">
        <v>0.88354935596363571</v>
      </c>
      <c r="AI126" s="4">
        <v>1.2014575741801143</v>
      </c>
      <c r="AJ126" s="4" t="e">
        <v>#DIV/0!</v>
      </c>
      <c r="AK126" s="4">
        <v>1.0792414493735183</v>
      </c>
      <c r="AM126" s="555">
        <v>45797</v>
      </c>
      <c r="AN126" s="556">
        <v>473.52</v>
      </c>
      <c r="AO126" s="556">
        <v>979219</v>
      </c>
      <c r="AP126" s="556">
        <v>234.29595</v>
      </c>
      <c r="AQ126" s="556">
        <v>110943.81824399999</v>
      </c>
      <c r="AR126" s="556">
        <v>1.5606</v>
      </c>
    </row>
    <row r="127" spans="2:44">
      <c r="B127" s="557">
        <v>45065</v>
      </c>
      <c r="C127" s="553">
        <v>12.598100000000001</v>
      </c>
      <c r="D127" s="553">
        <v>16.982099999999999</v>
      </c>
      <c r="E127" s="553">
        <v>16.332599999999999</v>
      </c>
      <c r="F127" s="553">
        <v>38.502400000000002</v>
      </c>
      <c r="G127" s="553">
        <v>7.4573999999999998</v>
      </c>
      <c r="H127" s="553">
        <v>13.496499999999999</v>
      </c>
      <c r="I127" s="557">
        <v>45065</v>
      </c>
      <c r="J127" s="553">
        <v>20.243600000000001</v>
      </c>
      <c r="K127" s="553">
        <v>20.402699999999999</v>
      </c>
      <c r="L127" s="553">
        <v>18.010999999999999</v>
      </c>
      <c r="M127" s="553">
        <v>308.5292</v>
      </c>
      <c r="N127" s="553">
        <v>31.451699999999999</v>
      </c>
      <c r="O127" s="553">
        <v>20.170300000000001</v>
      </c>
      <c r="P127" s="553"/>
      <c r="Q127" s="557">
        <v>45065</v>
      </c>
      <c r="R127" s="4">
        <v>452.04</v>
      </c>
      <c r="S127" s="4">
        <v>13201.11</v>
      </c>
      <c r="T127" s="4">
        <v>1101.06</v>
      </c>
      <c r="U127" s="4">
        <v>1.1308350427778056</v>
      </c>
      <c r="V127" s="4">
        <v>1.1711677423647615</v>
      </c>
      <c r="W127" s="4">
        <v>1.4185261530533366</v>
      </c>
      <c r="Y127" s="553">
        <v>452.04</v>
      </c>
      <c r="Z127" s="4">
        <v>96.13</v>
      </c>
      <c r="AA127" s="4">
        <v>443.31</v>
      </c>
      <c r="AB127" s="4">
        <v>106.52</v>
      </c>
      <c r="AC127" s="4">
        <v>15.53</v>
      </c>
      <c r="AD127" s="4">
        <v>163.51</v>
      </c>
      <c r="AF127" s="4">
        <v>1.1308350427778056</v>
      </c>
      <c r="AG127" s="4">
        <v>1.144268539459588</v>
      </c>
      <c r="AH127" s="4">
        <v>0.8936080146747567</v>
      </c>
      <c r="AI127" s="4">
        <v>1.3862571577303486</v>
      </c>
      <c r="AJ127" s="4" t="e">
        <v>#DIV/0!</v>
      </c>
      <c r="AK127" s="4">
        <v>1.107416186928547</v>
      </c>
      <c r="AM127" s="555">
        <v>45796</v>
      </c>
      <c r="AN127" s="556">
        <v>473.52</v>
      </c>
      <c r="AO127" s="556">
        <v>979219</v>
      </c>
      <c r="AP127" s="556">
        <v>234.29595</v>
      </c>
      <c r="AQ127" s="556">
        <v>110943.81824399999</v>
      </c>
      <c r="AR127" s="556">
        <v>1.5606</v>
      </c>
    </row>
    <row r="128" spans="2:44">
      <c r="B128" s="557">
        <v>45058</v>
      </c>
      <c r="C128" s="553">
        <v>12.506</v>
      </c>
      <c r="D128" s="553">
        <v>16.962</v>
      </c>
      <c r="E128" s="553">
        <v>16.193999999999999</v>
      </c>
      <c r="F128" s="553">
        <v>38.502400000000002</v>
      </c>
      <c r="G128" s="553">
        <v>7.2752999999999997</v>
      </c>
      <c r="H128" s="553">
        <v>13.4848</v>
      </c>
      <c r="I128" s="557">
        <v>45058</v>
      </c>
      <c r="J128" s="553">
        <v>20.078800000000001</v>
      </c>
      <c r="K128" s="553">
        <v>20.373000000000001</v>
      </c>
      <c r="L128" s="553">
        <v>17.8262</v>
      </c>
      <c r="M128" s="553">
        <v>308.81880000000001</v>
      </c>
      <c r="N128" s="553">
        <v>30.601099999999999</v>
      </c>
      <c r="O128" s="553">
        <v>20.1493</v>
      </c>
      <c r="P128" s="553"/>
      <c r="Q128" s="557">
        <v>45058</v>
      </c>
      <c r="R128" s="4">
        <v>458.89</v>
      </c>
      <c r="S128" s="4">
        <v>13113.66</v>
      </c>
      <c r="T128" s="4">
        <v>1117.05</v>
      </c>
      <c r="U128" s="4">
        <v>1.1479711812678239</v>
      </c>
      <c r="V128" s="4">
        <v>1.1634094084769446</v>
      </c>
      <c r="W128" s="4">
        <v>1.4391265137851068</v>
      </c>
      <c r="Y128" s="553">
        <v>458.89</v>
      </c>
      <c r="Z128" s="4">
        <v>95.99</v>
      </c>
      <c r="AA128" s="4">
        <v>438.76</v>
      </c>
      <c r="AB128" s="4">
        <v>106.62</v>
      </c>
      <c r="AC128" s="4">
        <v>15.11</v>
      </c>
      <c r="AD128" s="4">
        <v>163.34</v>
      </c>
      <c r="AF128" s="4">
        <v>1.1479711812678239</v>
      </c>
      <c r="AG128" s="4">
        <v>1.142602071182002</v>
      </c>
      <c r="AH128" s="4">
        <v>0.88443629180189076</v>
      </c>
      <c r="AI128" s="4">
        <v>1.3875585632483081</v>
      </c>
      <c r="AJ128" s="4" t="e">
        <v>#DIV/0!</v>
      </c>
      <c r="AK128" s="4">
        <v>1.1062648154419235</v>
      </c>
      <c r="AM128" s="555">
        <v>45795</v>
      </c>
      <c r="AN128" s="556">
        <v>474.53</v>
      </c>
      <c r="AO128" s="556">
        <v>1093134</v>
      </c>
      <c r="AP128" s="556">
        <v>234.29595</v>
      </c>
      <c r="AQ128" s="556">
        <v>111180.4571535</v>
      </c>
      <c r="AR128" s="556">
        <v>1.5640000000000001</v>
      </c>
    </row>
    <row r="129" spans="2:44">
      <c r="B129" s="557">
        <v>45051</v>
      </c>
      <c r="C129" s="553">
        <v>12.6242</v>
      </c>
      <c r="D129" s="553">
        <v>17.046900000000001</v>
      </c>
      <c r="E129" s="553">
        <v>16.4391</v>
      </c>
      <c r="F129" s="553">
        <v>38.502400000000002</v>
      </c>
      <c r="G129" s="553">
        <v>7.5441000000000003</v>
      </c>
      <c r="H129" s="553">
        <v>13.4924</v>
      </c>
      <c r="I129" s="557">
        <v>45051</v>
      </c>
      <c r="J129" s="553">
        <v>20.290400000000002</v>
      </c>
      <c r="K129" s="553">
        <v>20.498200000000001</v>
      </c>
      <c r="L129" s="553">
        <v>18.153199999999998</v>
      </c>
      <c r="M129" s="553">
        <v>297.81229999999999</v>
      </c>
      <c r="N129" s="553">
        <v>31.8567</v>
      </c>
      <c r="O129" s="553">
        <v>20.162800000000001</v>
      </c>
      <c r="P129" s="553"/>
      <c r="Q129" s="557">
        <v>45051</v>
      </c>
      <c r="R129" s="4">
        <v>475.58</v>
      </c>
      <c r="S129" s="4">
        <v>12725.11</v>
      </c>
      <c r="T129" s="4">
        <v>1132.53</v>
      </c>
      <c r="U129" s="4">
        <v>1.1897233201581028</v>
      </c>
      <c r="V129" s="4">
        <v>1.1289382748907668</v>
      </c>
      <c r="W129" s="4">
        <v>1.4590698273640812</v>
      </c>
      <c r="Y129" s="553">
        <v>475.58</v>
      </c>
      <c r="Z129" s="4">
        <v>96.58</v>
      </c>
      <c r="AA129" s="4">
        <v>446.81</v>
      </c>
      <c r="AB129" s="4">
        <v>102.82</v>
      </c>
      <c r="AC129" s="4">
        <v>15.73</v>
      </c>
      <c r="AD129" s="4">
        <v>163.44999999999999</v>
      </c>
      <c r="AF129" s="4">
        <v>1.1897233201581028</v>
      </c>
      <c r="AG129" s="4">
        <v>1.1496250446375431</v>
      </c>
      <c r="AH129" s="4">
        <v>0.90066318611542262</v>
      </c>
      <c r="AI129" s="4">
        <v>1.338105153565851</v>
      </c>
      <c r="AJ129" s="4" t="e">
        <v>#DIV/0!</v>
      </c>
      <c r="AK129" s="4">
        <v>1.1070098205215035</v>
      </c>
      <c r="AM129" s="555">
        <v>45794</v>
      </c>
      <c r="AN129" s="556">
        <v>471.32</v>
      </c>
      <c r="AO129" s="556">
        <v>1204634</v>
      </c>
      <c r="AP129" s="556">
        <v>234.29595</v>
      </c>
      <c r="AQ129" s="556">
        <v>110428.36715400001</v>
      </c>
      <c r="AR129" s="556">
        <v>1.5533999999999999</v>
      </c>
    </row>
    <row r="130" spans="2:44">
      <c r="B130" s="557">
        <v>45044</v>
      </c>
      <c r="C130" s="553">
        <v>12.845800000000001</v>
      </c>
      <c r="D130" s="553">
        <v>17.525099999999998</v>
      </c>
      <c r="E130" s="553">
        <v>16.8794</v>
      </c>
      <c r="F130" s="553">
        <v>38.502400000000002</v>
      </c>
      <c r="G130" s="553">
        <v>7.2381000000000002</v>
      </c>
      <c r="H130" s="553">
        <v>13.921900000000001</v>
      </c>
      <c r="I130" s="557">
        <v>45044</v>
      </c>
      <c r="J130" s="553">
        <v>20.687200000000001</v>
      </c>
      <c r="K130" s="553">
        <v>21.2028</v>
      </c>
      <c r="L130" s="553">
        <v>18.7407</v>
      </c>
      <c r="M130" s="553">
        <v>0</v>
      </c>
      <c r="N130" s="553">
        <v>30.479600000000001</v>
      </c>
      <c r="O130" s="553">
        <v>20.9499</v>
      </c>
      <c r="P130" s="553"/>
      <c r="Q130" s="557">
        <v>45044</v>
      </c>
      <c r="R130" s="4">
        <v>501.41</v>
      </c>
      <c r="S130" s="4">
        <v>13091.79</v>
      </c>
      <c r="T130" s="4">
        <v>1142.29</v>
      </c>
      <c r="U130" s="4">
        <v>1.2543403212087858</v>
      </c>
      <c r="V130" s="4">
        <v>1.1614691596247255</v>
      </c>
      <c r="W130" s="4">
        <v>1.4716439062097397</v>
      </c>
      <c r="Y130" s="553">
        <v>501.41</v>
      </c>
      <c r="Z130" s="4">
        <v>99.9</v>
      </c>
      <c r="AA130" s="4">
        <v>461.27</v>
      </c>
      <c r="AB130" s="4">
        <v>100.69</v>
      </c>
      <c r="AC130" s="4">
        <v>15.05</v>
      </c>
      <c r="AD130" s="4">
        <v>169.83</v>
      </c>
      <c r="AF130" s="4">
        <v>1.2543403212087858</v>
      </c>
      <c r="AG130" s="4">
        <v>1.1891441495060111</v>
      </c>
      <c r="AH130" s="4">
        <v>0.92981112298171709</v>
      </c>
      <c r="AI130" s="4">
        <v>1.3103852160333158</v>
      </c>
      <c r="AJ130" s="4" t="e">
        <v>#DIV/0!</v>
      </c>
      <c r="AK130" s="4">
        <v>1.1502201151371487</v>
      </c>
      <c r="AM130" s="555">
        <v>45793</v>
      </c>
      <c r="AN130" s="556">
        <v>468.21</v>
      </c>
      <c r="AO130" s="556">
        <v>1135393</v>
      </c>
      <c r="AP130" s="556">
        <v>234.29595</v>
      </c>
      <c r="AQ130" s="556">
        <v>109699.70674949999</v>
      </c>
      <c r="AR130" s="556">
        <v>1.5430999999999999</v>
      </c>
    </row>
    <row r="131" spans="2:44">
      <c r="B131" s="557">
        <v>45037</v>
      </c>
      <c r="C131" s="553">
        <v>13.295999999999999</v>
      </c>
      <c r="D131" s="553">
        <v>17.884499999999999</v>
      </c>
      <c r="E131" s="553">
        <v>17.223500000000001</v>
      </c>
      <c r="F131" s="553">
        <v>39.247900000000001</v>
      </c>
      <c r="G131" s="553">
        <v>7.2294</v>
      </c>
      <c r="H131" s="553">
        <v>14.26</v>
      </c>
      <c r="I131" s="557">
        <v>45037</v>
      </c>
      <c r="J131" s="553">
        <v>21.493400000000001</v>
      </c>
      <c r="K131" s="553">
        <v>21.701599999999999</v>
      </c>
      <c r="L131" s="553">
        <v>19.176300000000001</v>
      </c>
      <c r="M131" s="553">
        <v>0</v>
      </c>
      <c r="N131" s="553">
        <v>30.4391</v>
      </c>
      <c r="O131" s="553">
        <v>21.554300000000001</v>
      </c>
      <c r="P131" s="553"/>
      <c r="Q131" s="557">
        <v>45037</v>
      </c>
      <c r="R131" s="4">
        <v>487.84</v>
      </c>
      <c r="S131" s="4">
        <v>12964.16</v>
      </c>
      <c r="T131" s="4">
        <v>1116.1400000000001</v>
      </c>
      <c r="U131" s="4">
        <v>1.2203932556161503</v>
      </c>
      <c r="V131" s="4">
        <v>1.150146161864839</v>
      </c>
      <c r="W131" s="4">
        <v>1.4379541355320795</v>
      </c>
      <c r="Y131" s="553">
        <v>487.84</v>
      </c>
      <c r="Z131" s="4">
        <v>102.25</v>
      </c>
      <c r="AA131" s="4">
        <v>471.99</v>
      </c>
      <c r="AB131" s="4">
        <v>102.73</v>
      </c>
      <c r="AC131" s="4">
        <v>15.03</v>
      </c>
      <c r="AD131" s="4">
        <v>174.73</v>
      </c>
      <c r="AF131" s="4">
        <v>1.2203932556161503</v>
      </c>
      <c r="AG131" s="4">
        <v>1.2171170098797761</v>
      </c>
      <c r="AH131" s="4">
        <v>0.9514201052228427</v>
      </c>
      <c r="AI131" s="4">
        <v>1.3369338885996878</v>
      </c>
      <c r="AJ131" s="4" t="e">
        <v>#DIV/0!</v>
      </c>
      <c r="AK131" s="4">
        <v>1.1834067050457162</v>
      </c>
      <c r="AM131" s="555">
        <v>45792</v>
      </c>
      <c r="AN131" s="556">
        <v>471.56</v>
      </c>
      <c r="AO131" s="556">
        <v>1150283</v>
      </c>
      <c r="AP131" s="556">
        <v>234.29595</v>
      </c>
      <c r="AQ131" s="556">
        <v>110484.598182</v>
      </c>
      <c r="AR131" s="556">
        <v>1.5542</v>
      </c>
    </row>
    <row r="132" spans="2:44">
      <c r="B132" s="557">
        <v>45030</v>
      </c>
      <c r="C132" s="553">
        <v>13.492100000000001</v>
      </c>
      <c r="D132" s="553">
        <v>17.802199999999999</v>
      </c>
      <c r="E132" s="553">
        <v>17.241199999999999</v>
      </c>
      <c r="F132" s="553">
        <v>40.559800000000003</v>
      </c>
      <c r="G132" s="553">
        <v>7.0865999999999998</v>
      </c>
      <c r="H132" s="553">
        <v>14.2883</v>
      </c>
      <c r="I132" s="557">
        <v>45030</v>
      </c>
      <c r="J132" s="553">
        <v>21.735700000000001</v>
      </c>
      <c r="K132" s="553">
        <v>21.5806</v>
      </c>
      <c r="L132" s="553">
        <v>19.1998</v>
      </c>
      <c r="M132" s="553">
        <v>0</v>
      </c>
      <c r="N132" s="553">
        <v>29.770800000000001</v>
      </c>
      <c r="O132" s="553">
        <v>21.604900000000001</v>
      </c>
      <c r="P132" s="553"/>
      <c r="Q132" s="557">
        <v>45030</v>
      </c>
      <c r="R132" s="4">
        <v>488.54</v>
      </c>
      <c r="S132" s="4">
        <v>13100.07</v>
      </c>
      <c r="T132" s="4">
        <v>1108.3699999999999</v>
      </c>
      <c r="U132" s="4">
        <v>1.2221443938560064</v>
      </c>
      <c r="V132" s="4">
        <v>1.1622037394370883</v>
      </c>
      <c r="W132" s="4">
        <v>1.4279438289100745</v>
      </c>
      <c r="Y132" s="553">
        <v>488.54</v>
      </c>
      <c r="Z132" s="4">
        <v>101.68</v>
      </c>
      <c r="AA132" s="4">
        <v>472.57</v>
      </c>
      <c r="AB132" s="4">
        <v>106.32</v>
      </c>
      <c r="AC132" s="4">
        <v>14.7</v>
      </c>
      <c r="AD132" s="4">
        <v>175.14</v>
      </c>
      <c r="AF132" s="4">
        <v>1.2221443938560064</v>
      </c>
      <c r="AG132" s="4">
        <v>1.2103321033210332</v>
      </c>
      <c r="AH132" s="4">
        <v>0.95258924791872446</v>
      </c>
      <c r="AI132" s="4">
        <v>1.3836543466944298</v>
      </c>
      <c r="AJ132" s="4" t="e">
        <v>#DIV/0!</v>
      </c>
      <c r="AK132" s="4">
        <v>1.1861835421605147</v>
      </c>
      <c r="AM132" s="555">
        <v>45791</v>
      </c>
      <c r="AN132" s="556">
        <v>472.8</v>
      </c>
      <c r="AO132" s="556">
        <v>2090480</v>
      </c>
      <c r="AP132" s="556">
        <v>234.29595</v>
      </c>
      <c r="AQ132" s="556">
        <v>110775.12516000001</v>
      </c>
      <c r="AR132" s="556">
        <v>1.5583</v>
      </c>
    </row>
    <row r="133" spans="2:44">
      <c r="B133" s="557">
        <v>45023</v>
      </c>
      <c r="C133" s="553">
        <v>13.1106</v>
      </c>
      <c r="D133" s="553">
        <v>17.261299999999999</v>
      </c>
      <c r="E133" s="553">
        <v>16.914100000000001</v>
      </c>
      <c r="F133" s="553">
        <v>35.202399999999997</v>
      </c>
      <c r="G133" s="553">
        <v>6.3376999999999999</v>
      </c>
      <c r="H133" s="553">
        <v>14.365600000000001</v>
      </c>
      <c r="I133" s="557">
        <v>45023</v>
      </c>
      <c r="J133" s="553">
        <v>21.056000000000001</v>
      </c>
      <c r="K133" s="553">
        <v>20.784700000000001</v>
      </c>
      <c r="L133" s="553">
        <v>18.759</v>
      </c>
      <c r="M133" s="553">
        <v>0</v>
      </c>
      <c r="N133" s="553">
        <v>26.267099999999999</v>
      </c>
      <c r="O133" s="553">
        <v>21.743099999999998</v>
      </c>
      <c r="P133" s="553"/>
      <c r="Q133" s="557">
        <v>45023</v>
      </c>
      <c r="R133" s="4">
        <v>471.44</v>
      </c>
      <c r="S133" s="4">
        <v>12610.57</v>
      </c>
      <c r="T133" s="4">
        <v>1084.45</v>
      </c>
      <c r="U133" s="4">
        <v>1.1793665882823836</v>
      </c>
      <c r="V133" s="4">
        <v>1.1187765874864151</v>
      </c>
      <c r="W133" s="4">
        <v>1.3971270291162072</v>
      </c>
      <c r="Y133" s="553">
        <v>471.44</v>
      </c>
      <c r="Z133" s="4">
        <v>97.93</v>
      </c>
      <c r="AA133" s="4">
        <v>461.72</v>
      </c>
      <c r="AB133" s="4">
        <v>91.66</v>
      </c>
      <c r="AC133" s="4">
        <v>12.97</v>
      </c>
      <c r="AD133" s="4">
        <v>176.26</v>
      </c>
      <c r="AF133" s="4">
        <v>1.1793665882823836</v>
      </c>
      <c r="AG133" s="4">
        <v>1.1656945601714082</v>
      </c>
      <c r="AH133" s="4">
        <v>0.93071821645265995</v>
      </c>
      <c r="AI133" s="4">
        <v>1.1928682977615823</v>
      </c>
      <c r="AJ133" s="4" t="e">
        <v>#DIV/0!</v>
      </c>
      <c r="AK133" s="4">
        <v>1.19376904842533</v>
      </c>
      <c r="AM133" s="555">
        <v>45790</v>
      </c>
      <c r="AN133" s="556">
        <v>472.8</v>
      </c>
      <c r="AO133" s="556">
        <v>2090480</v>
      </c>
      <c r="AP133" s="556">
        <v>234.29595</v>
      </c>
      <c r="AQ133" s="556">
        <v>110775.12516000001</v>
      </c>
      <c r="AR133" s="556">
        <v>1.5583</v>
      </c>
    </row>
    <row r="134" spans="2:44">
      <c r="B134" s="557">
        <v>45016</v>
      </c>
      <c r="C134" s="553">
        <v>13.1106</v>
      </c>
      <c r="D134" s="553">
        <v>17.261299999999999</v>
      </c>
      <c r="E134" s="553">
        <v>16.914100000000001</v>
      </c>
      <c r="F134" s="553">
        <v>35.202399999999997</v>
      </c>
      <c r="G134" s="553">
        <v>6.3376999999999999</v>
      </c>
      <c r="H134" s="553">
        <v>14.365600000000001</v>
      </c>
      <c r="I134" s="557">
        <v>45016</v>
      </c>
      <c r="J134" s="553">
        <v>21.056000000000001</v>
      </c>
      <c r="K134" s="553">
        <v>20.784700000000001</v>
      </c>
      <c r="L134" s="553">
        <v>18.759</v>
      </c>
      <c r="M134" s="553">
        <v>0</v>
      </c>
      <c r="N134" s="553">
        <v>26.267099999999999</v>
      </c>
      <c r="O134" s="553">
        <v>21.743099999999998</v>
      </c>
      <c r="P134" s="553"/>
      <c r="Q134" s="557">
        <v>45016</v>
      </c>
      <c r="R134" s="4">
        <v>474.76</v>
      </c>
      <c r="S134" s="4">
        <v>12741.44</v>
      </c>
      <c r="T134" s="4">
        <v>1079.1300000000001</v>
      </c>
      <c r="U134" s="4">
        <v>1.1876719867914143</v>
      </c>
      <c r="V134" s="4">
        <v>1.1303870295207044</v>
      </c>
      <c r="W134" s="4">
        <v>1.3902731254831229</v>
      </c>
      <c r="Y134" s="553">
        <v>474.76</v>
      </c>
      <c r="Z134" s="4">
        <v>97.93</v>
      </c>
      <c r="AA134" s="4">
        <v>461.72</v>
      </c>
      <c r="AB134" s="4">
        <v>91.66</v>
      </c>
      <c r="AC134" s="4">
        <v>12.97</v>
      </c>
      <c r="AD134" s="4">
        <v>176.26</v>
      </c>
      <c r="AF134" s="4">
        <v>1.1876719867914143</v>
      </c>
      <c r="AG134" s="4">
        <v>1.1656945601714082</v>
      </c>
      <c r="AH134" s="4">
        <v>0.93071821645265995</v>
      </c>
      <c r="AI134" s="4">
        <v>1.1928682977615823</v>
      </c>
      <c r="AJ134" s="4" t="e">
        <v>#DIV/0!</v>
      </c>
      <c r="AK134" s="4">
        <v>1.19376904842533</v>
      </c>
      <c r="AM134" s="555">
        <v>45789</v>
      </c>
      <c r="AN134" s="556">
        <v>472.8</v>
      </c>
      <c r="AO134" s="556">
        <v>2090480</v>
      </c>
      <c r="AP134" s="556">
        <v>234.29595</v>
      </c>
      <c r="AQ134" s="556">
        <v>110775.12516000001</v>
      </c>
      <c r="AR134" s="556">
        <v>1.5583</v>
      </c>
    </row>
    <row r="135" spans="2:44">
      <c r="B135" s="557">
        <v>45009</v>
      </c>
      <c r="C135" s="553">
        <v>13.3895</v>
      </c>
      <c r="D135" s="553">
        <v>17.831800000000001</v>
      </c>
      <c r="E135" s="553">
        <v>16.520399999999999</v>
      </c>
      <c r="F135" s="553">
        <v>34.617699999999999</v>
      </c>
      <c r="G135" s="553">
        <v>5.4814999999999996</v>
      </c>
      <c r="H135" s="553">
        <v>14.339</v>
      </c>
      <c r="I135" s="557">
        <v>45009</v>
      </c>
      <c r="J135" s="553">
        <v>24.0289</v>
      </c>
      <c r="K135" s="553">
        <v>21.151499999999999</v>
      </c>
      <c r="L135" s="553">
        <v>18.056000000000001</v>
      </c>
      <c r="M135" s="553">
        <v>0</v>
      </c>
      <c r="N135" s="553">
        <v>18.171299999999999</v>
      </c>
      <c r="O135" s="553">
        <v>21.8658</v>
      </c>
      <c r="P135" s="553"/>
      <c r="Q135" s="557">
        <v>45009</v>
      </c>
      <c r="R135" s="4">
        <v>478.87</v>
      </c>
      <c r="S135" s="4">
        <v>12199.79</v>
      </c>
      <c r="T135" s="4">
        <v>1082.5</v>
      </c>
      <c r="U135" s="4">
        <v>1.1979536698854256</v>
      </c>
      <c r="V135" s="4">
        <v>1.0823332667953069</v>
      </c>
      <c r="W135" s="4">
        <v>1.3946147900025765</v>
      </c>
      <c r="Y135" s="553">
        <v>478.87</v>
      </c>
      <c r="Z135" s="4">
        <v>96.44</v>
      </c>
      <c r="AA135" s="4">
        <v>455.25</v>
      </c>
      <c r="AB135" s="4">
        <v>90.06</v>
      </c>
      <c r="AC135" s="4">
        <v>12.85</v>
      </c>
      <c r="AD135" s="4">
        <v>169.93</v>
      </c>
      <c r="AF135" s="4">
        <v>1.1979536698854256</v>
      </c>
      <c r="AG135" s="4">
        <v>1.1479585763599571</v>
      </c>
      <c r="AH135" s="4">
        <v>0.91767622810377159</v>
      </c>
      <c r="AI135" s="4">
        <v>1.1720458094742321</v>
      </c>
      <c r="AJ135" s="4" t="e">
        <v>#DIV/0!</v>
      </c>
      <c r="AK135" s="4">
        <v>1.1508973924822214</v>
      </c>
      <c r="AM135" s="555">
        <v>45788</v>
      </c>
      <c r="AN135" s="556">
        <v>477.72</v>
      </c>
      <c r="AO135" s="556">
        <v>986353</v>
      </c>
      <c r="AP135" s="556">
        <v>234.29595</v>
      </c>
      <c r="AQ135" s="556">
        <v>111927.86123400001</v>
      </c>
      <c r="AR135" s="556">
        <v>1.5745</v>
      </c>
    </row>
    <row r="136" spans="2:44">
      <c r="B136" s="557">
        <v>45002</v>
      </c>
      <c r="C136" s="553">
        <v>13.1706</v>
      </c>
      <c r="D136" s="553">
        <v>17.726099999999999</v>
      </c>
      <c r="E136" s="553">
        <v>16.248699999999999</v>
      </c>
      <c r="F136" s="553">
        <v>34.738300000000002</v>
      </c>
      <c r="G136" s="553">
        <v>5.3360000000000003</v>
      </c>
      <c r="H136" s="553">
        <v>13.925700000000001</v>
      </c>
      <c r="I136" s="557">
        <v>45002</v>
      </c>
      <c r="J136" s="553">
        <v>23.5899</v>
      </c>
      <c r="K136" s="553">
        <v>21.0001</v>
      </c>
      <c r="L136" s="553">
        <v>17.593900000000001</v>
      </c>
      <c r="M136" s="553">
        <v>0</v>
      </c>
      <c r="N136" s="553">
        <v>17.676400000000001</v>
      </c>
      <c r="O136" s="553">
        <v>21.14</v>
      </c>
      <c r="P136" s="553"/>
      <c r="Q136" s="557">
        <v>45002</v>
      </c>
      <c r="R136" s="4">
        <v>478.66</v>
      </c>
      <c r="S136" s="4">
        <v>12152.17</v>
      </c>
      <c r="T136" s="4">
        <v>1083.45</v>
      </c>
      <c r="U136" s="4">
        <v>1.1974283284134688</v>
      </c>
      <c r="V136" s="4">
        <v>1.0781085457005346</v>
      </c>
      <c r="W136" s="4">
        <v>1.3958387013656275</v>
      </c>
      <c r="Y136" s="553">
        <v>478.66</v>
      </c>
      <c r="Z136" s="4">
        <v>95.75</v>
      </c>
      <c r="AA136" s="4">
        <v>443.6</v>
      </c>
      <c r="AB136" s="4">
        <v>90.39</v>
      </c>
      <c r="AC136" s="4">
        <v>12.5</v>
      </c>
      <c r="AD136" s="4">
        <v>164.29</v>
      </c>
      <c r="AF136" s="4">
        <v>1.1974283284134688</v>
      </c>
      <c r="AG136" s="4">
        <v>1.1397452684204261</v>
      </c>
      <c r="AH136" s="4">
        <v>0.89419258602269758</v>
      </c>
      <c r="AI136" s="4">
        <v>1.1763404476834982</v>
      </c>
      <c r="AJ136" s="4" t="e">
        <v>#DIV/0!</v>
      </c>
      <c r="AK136" s="4">
        <v>1.112698950220115</v>
      </c>
      <c r="AM136" s="555">
        <v>45787</v>
      </c>
      <c r="AN136" s="556">
        <v>477.75</v>
      </c>
      <c r="AO136" s="556">
        <v>1095139</v>
      </c>
      <c r="AP136" s="556">
        <v>234.29595</v>
      </c>
      <c r="AQ136" s="556">
        <v>111934.8901125</v>
      </c>
      <c r="AR136" s="556">
        <v>1.5746</v>
      </c>
    </row>
    <row r="137" spans="2:44">
      <c r="B137" s="557">
        <v>44995</v>
      </c>
      <c r="C137" s="553">
        <v>13.4504</v>
      </c>
      <c r="D137" s="553">
        <v>17.782</v>
      </c>
      <c r="E137" s="553">
        <v>16.749700000000001</v>
      </c>
      <c r="F137" s="553">
        <v>34.793100000000003</v>
      </c>
      <c r="G137" s="553">
        <v>5.3525999999999998</v>
      </c>
      <c r="H137" s="553">
        <v>14.364599999999999</v>
      </c>
      <c r="I137" s="557">
        <v>44995</v>
      </c>
      <c r="J137" s="553">
        <v>24.077500000000001</v>
      </c>
      <c r="K137" s="553">
        <v>21.055</v>
      </c>
      <c r="L137" s="553">
        <v>18.235700000000001</v>
      </c>
      <c r="M137" s="553">
        <v>0</v>
      </c>
      <c r="N137" s="553">
        <v>17.733000000000001</v>
      </c>
      <c r="O137" s="553">
        <v>21.930099999999999</v>
      </c>
      <c r="P137" s="553"/>
      <c r="Q137" s="557">
        <v>44995</v>
      </c>
      <c r="R137" s="4">
        <v>474.26</v>
      </c>
      <c r="S137" s="4">
        <v>12042.12</v>
      </c>
      <c r="T137" s="4">
        <v>1072.6300000000001</v>
      </c>
      <c r="U137" s="4">
        <v>1.1864211737629458</v>
      </c>
      <c r="V137" s="4">
        <v>1.0683451992813895</v>
      </c>
      <c r="W137" s="4">
        <v>1.3818989951043545</v>
      </c>
      <c r="Y137" s="553">
        <v>474.26</v>
      </c>
      <c r="Z137" s="4">
        <v>96</v>
      </c>
      <c r="AA137" s="4">
        <v>459.78</v>
      </c>
      <c r="AB137" s="4">
        <v>90.54</v>
      </c>
      <c r="AC137" s="4">
        <v>12.54</v>
      </c>
      <c r="AD137" s="4">
        <v>170.43</v>
      </c>
      <c r="AF137" s="4">
        <v>1.1864211737629458</v>
      </c>
      <c r="AG137" s="4">
        <v>1.1427211046304011</v>
      </c>
      <c r="AH137" s="4">
        <v>0.92680763571126201</v>
      </c>
      <c r="AI137" s="4">
        <v>1.1782925559604374</v>
      </c>
      <c r="AJ137" s="4" t="e">
        <v>#DIV/0!</v>
      </c>
      <c r="AK137" s="4">
        <v>1.1542837792075855</v>
      </c>
      <c r="AM137" s="555">
        <v>45786</v>
      </c>
      <c r="AN137" s="556">
        <v>475.88</v>
      </c>
      <c r="AO137" s="556">
        <v>897221</v>
      </c>
      <c r="AP137" s="556">
        <v>234.29595</v>
      </c>
      <c r="AQ137" s="556">
        <v>111496.75668600001</v>
      </c>
      <c r="AR137" s="556">
        <v>1.5684</v>
      </c>
    </row>
    <row r="138" spans="2:44">
      <c r="B138" s="557">
        <v>44988</v>
      </c>
      <c r="C138" s="553">
        <v>13.510999999999999</v>
      </c>
      <c r="D138" s="553">
        <v>18.245200000000001</v>
      </c>
      <c r="E138" s="553">
        <v>16.984999999999999</v>
      </c>
      <c r="F138" s="553">
        <v>34.191200000000002</v>
      </c>
      <c r="G138" s="553">
        <v>5.5563000000000002</v>
      </c>
      <c r="H138" s="553">
        <v>14.882099999999999</v>
      </c>
      <c r="I138" s="557">
        <v>44988</v>
      </c>
      <c r="J138" s="553">
        <v>24.198499999999999</v>
      </c>
      <c r="K138" s="553">
        <v>21.717300000000002</v>
      </c>
      <c r="L138" s="553">
        <v>18.537099999999999</v>
      </c>
      <c r="M138" s="553">
        <v>0</v>
      </c>
      <c r="N138" s="553">
        <v>18.425899999999999</v>
      </c>
      <c r="O138" s="553">
        <v>22.861699999999999</v>
      </c>
      <c r="P138" s="553"/>
      <c r="Q138" s="557">
        <v>44988</v>
      </c>
      <c r="R138" s="4">
        <v>479.19</v>
      </c>
      <c r="S138" s="4">
        <v>12060.3</v>
      </c>
      <c r="T138" s="4">
        <v>1055.92</v>
      </c>
      <c r="U138" s="4">
        <v>1.1987541902236454</v>
      </c>
      <c r="V138" s="4">
        <v>1.0699580810433162</v>
      </c>
      <c r="W138" s="4">
        <v>1.360371038392167</v>
      </c>
      <c r="Y138" s="553">
        <v>479.19</v>
      </c>
      <c r="Z138" s="4">
        <v>99.02</v>
      </c>
      <c r="AA138" s="4">
        <v>467.38</v>
      </c>
      <c r="AB138" s="4">
        <v>89.27</v>
      </c>
      <c r="AC138" s="4">
        <v>13.03</v>
      </c>
      <c r="AD138" s="4">
        <v>177.67</v>
      </c>
      <c r="AF138" s="4">
        <v>1.1987541902236454</v>
      </c>
      <c r="AG138" s="4">
        <v>1.1786692060468991</v>
      </c>
      <c r="AH138" s="4">
        <v>0.94212743655385112</v>
      </c>
      <c r="AI138" s="4">
        <v>1.1617647058823528</v>
      </c>
      <c r="AJ138" s="4" t="e">
        <v>#DIV/0!</v>
      </c>
      <c r="AK138" s="4">
        <v>1.2033186589908567</v>
      </c>
      <c r="AM138" s="555">
        <v>45785</v>
      </c>
      <c r="AN138" s="556">
        <v>476.29</v>
      </c>
      <c r="AO138" s="556">
        <v>1159942</v>
      </c>
      <c r="AP138" s="556">
        <v>234.29595</v>
      </c>
      <c r="AQ138" s="556">
        <v>111592.8180255</v>
      </c>
      <c r="AR138" s="556">
        <v>1.5698000000000001</v>
      </c>
    </row>
    <row r="139" spans="2:44">
      <c r="B139" s="557">
        <v>44981</v>
      </c>
      <c r="C139" s="553">
        <v>13.5745</v>
      </c>
      <c r="D139" s="553">
        <v>18.337199999999999</v>
      </c>
      <c r="E139" s="553">
        <v>17.0943</v>
      </c>
      <c r="F139" s="553">
        <v>32.684600000000003</v>
      </c>
      <c r="G139" s="553">
        <v>5.5895000000000001</v>
      </c>
      <c r="H139" s="553">
        <v>14.8714</v>
      </c>
      <c r="I139" s="557">
        <v>44981</v>
      </c>
      <c r="J139" s="553">
        <v>24.325600000000001</v>
      </c>
      <c r="K139" s="553">
        <v>21.8489</v>
      </c>
      <c r="L139" s="553">
        <v>18.677099999999999</v>
      </c>
      <c r="M139" s="553">
        <v>0</v>
      </c>
      <c r="N139" s="553">
        <v>18.539000000000001</v>
      </c>
      <c r="O139" s="553">
        <v>22.842400000000001</v>
      </c>
      <c r="P139" s="553"/>
      <c r="Q139" s="557">
        <v>44981</v>
      </c>
      <c r="R139" s="4">
        <v>481.58</v>
      </c>
      <c r="S139" s="4">
        <v>12590.89</v>
      </c>
      <c r="T139" s="4">
        <v>1006.78</v>
      </c>
      <c r="U139" s="4">
        <v>1.2047330764997248</v>
      </c>
      <c r="V139" s="4">
        <v>1.117030629671524</v>
      </c>
      <c r="W139" s="4">
        <v>1.297062612728678</v>
      </c>
      <c r="Y139" s="553">
        <v>481.58</v>
      </c>
      <c r="Z139" s="4">
        <v>99.62</v>
      </c>
      <c r="AA139" s="4">
        <v>470.91</v>
      </c>
      <c r="AB139" s="4">
        <v>85.13</v>
      </c>
      <c r="AC139" s="4">
        <v>13.11</v>
      </c>
      <c r="AD139" s="4">
        <v>177.52</v>
      </c>
      <c r="AF139" s="4">
        <v>1.2047330764997248</v>
      </c>
      <c r="AG139" s="4">
        <v>1.1858112129508391</v>
      </c>
      <c r="AH139" s="4">
        <v>0.94924308089258003</v>
      </c>
      <c r="AI139" s="4">
        <v>1.1078865174388339</v>
      </c>
      <c r="AJ139" s="4" t="e">
        <v>#DIV/0!</v>
      </c>
      <c r="AK139" s="4">
        <v>1.2023027429732476</v>
      </c>
      <c r="AM139" s="555">
        <v>45784</v>
      </c>
      <c r="AN139" s="556">
        <v>477.64</v>
      </c>
      <c r="AO139" s="556">
        <v>1521687</v>
      </c>
      <c r="AP139" s="556">
        <v>234.29595</v>
      </c>
      <c r="AQ139" s="556">
        <v>111909.117558</v>
      </c>
      <c r="AR139" s="556">
        <v>1.5742</v>
      </c>
    </row>
    <row r="140" spans="2:44">
      <c r="B140" s="557">
        <v>44974</v>
      </c>
      <c r="C140" s="553">
        <v>13.4537</v>
      </c>
      <c r="D140" s="553">
        <v>18.626999999999999</v>
      </c>
      <c r="E140" s="553">
        <v>17.085699999999999</v>
      </c>
      <c r="F140" s="553">
        <v>33.630800000000001</v>
      </c>
      <c r="G140" s="553">
        <v>5.6102999999999996</v>
      </c>
      <c r="H140" s="553">
        <v>14.6555</v>
      </c>
      <c r="I140" s="557">
        <v>44974</v>
      </c>
      <c r="J140" s="553">
        <v>24.084099999999999</v>
      </c>
      <c r="K140" s="553">
        <v>22.263400000000001</v>
      </c>
      <c r="L140" s="553">
        <v>18.666</v>
      </c>
      <c r="M140" s="553">
        <v>0</v>
      </c>
      <c r="N140" s="553">
        <v>18.6097</v>
      </c>
      <c r="O140" s="553">
        <v>22.4345</v>
      </c>
      <c r="P140" s="553"/>
      <c r="Q140" s="557">
        <v>44974</v>
      </c>
      <c r="R140" s="4">
        <v>468.33</v>
      </c>
      <c r="S140" s="4">
        <v>12728.27</v>
      </c>
      <c r="T140" s="4">
        <v>977.12</v>
      </c>
      <c r="U140" s="4">
        <v>1.1715865312453093</v>
      </c>
      <c r="V140" s="4">
        <v>1.1292186217756781</v>
      </c>
      <c r="W140" s="4">
        <v>1.2588508116464827</v>
      </c>
      <c r="Y140" s="553">
        <v>468.33</v>
      </c>
      <c r="Z140" s="4">
        <v>101.51</v>
      </c>
      <c r="AA140" s="4">
        <v>470.63</v>
      </c>
      <c r="AB140" s="4">
        <v>87.73</v>
      </c>
      <c r="AC140" s="4">
        <v>13.16</v>
      </c>
      <c r="AD140" s="4">
        <v>174.35</v>
      </c>
      <c r="AF140" s="4">
        <v>1.1715865312453093</v>
      </c>
      <c r="AG140" s="4">
        <v>1.2083085346982503</v>
      </c>
      <c r="AH140" s="4">
        <v>0.94867866717732674</v>
      </c>
      <c r="AI140" s="4">
        <v>1.1417230609057782</v>
      </c>
      <c r="AJ140" s="4" t="e">
        <v>#DIV/0!</v>
      </c>
      <c r="AK140" s="4">
        <v>1.1808330511344394</v>
      </c>
      <c r="AM140" s="555">
        <v>45783</v>
      </c>
      <c r="AN140" s="556">
        <v>477.64</v>
      </c>
      <c r="AO140" s="556">
        <v>1521687</v>
      </c>
      <c r="AP140" s="556">
        <v>234.29595</v>
      </c>
      <c r="AQ140" s="556">
        <v>111909.117558</v>
      </c>
      <c r="AR140" s="556">
        <v>1.5742</v>
      </c>
    </row>
    <row r="141" spans="2:44">
      <c r="B141" s="557">
        <v>44967</v>
      </c>
      <c r="C141" s="553">
        <v>13.5854</v>
      </c>
      <c r="D141" s="553">
        <v>18.489000000000001</v>
      </c>
      <c r="E141" s="553">
        <v>16.876100000000001</v>
      </c>
      <c r="F141" s="553">
        <v>33.816400000000002</v>
      </c>
      <c r="G141" s="553">
        <v>5.7557999999999998</v>
      </c>
      <c r="H141" s="553">
        <v>14.4137</v>
      </c>
      <c r="I141" s="557">
        <v>44967</v>
      </c>
      <c r="J141" s="553">
        <v>24.3474</v>
      </c>
      <c r="K141" s="553">
        <v>22.065999999999999</v>
      </c>
      <c r="L141" s="553">
        <v>18.397500000000001</v>
      </c>
      <c r="M141" s="553">
        <v>0</v>
      </c>
      <c r="N141" s="553">
        <v>19.104600000000001</v>
      </c>
      <c r="O141" s="553">
        <v>21.999600000000001</v>
      </c>
      <c r="P141" s="553"/>
      <c r="Q141" s="557">
        <v>44967</v>
      </c>
      <c r="R141" s="4">
        <v>463.26</v>
      </c>
      <c r="S141" s="4">
        <v>12101.93</v>
      </c>
      <c r="T141" s="4">
        <v>994.86</v>
      </c>
      <c r="U141" s="4">
        <v>1.1589032871366387</v>
      </c>
      <c r="V141" s="4">
        <v>1.0736513850999179</v>
      </c>
      <c r="W141" s="4">
        <v>1.2817057459417676</v>
      </c>
      <c r="Y141" s="553">
        <v>463.26</v>
      </c>
      <c r="Z141" s="4">
        <v>100.61</v>
      </c>
      <c r="AA141" s="4">
        <v>463.86</v>
      </c>
      <c r="AB141" s="4">
        <v>88.24</v>
      </c>
      <c r="AC141" s="4">
        <v>13.51</v>
      </c>
      <c r="AD141" s="4">
        <v>170.97</v>
      </c>
      <c r="AF141" s="4">
        <v>1.1589032871366387</v>
      </c>
      <c r="AG141" s="4">
        <v>1.1975955243423402</v>
      </c>
      <c r="AH141" s="4">
        <v>0.93503194984780991</v>
      </c>
      <c r="AI141" s="4">
        <v>1.1483602290473711</v>
      </c>
      <c r="AJ141" s="4" t="e">
        <v>#DIV/0!</v>
      </c>
      <c r="AK141" s="4">
        <v>1.1579410768709786</v>
      </c>
      <c r="AM141" s="555">
        <v>45782</v>
      </c>
      <c r="AN141" s="556">
        <v>477.64</v>
      </c>
      <c r="AO141" s="556">
        <v>1521687</v>
      </c>
      <c r="AP141" s="556">
        <v>234.29595</v>
      </c>
      <c r="AQ141" s="556">
        <v>111909.117558</v>
      </c>
      <c r="AR141" s="556">
        <v>1.5742</v>
      </c>
    </row>
    <row r="142" spans="2:44">
      <c r="B142" s="557">
        <v>44960</v>
      </c>
      <c r="C142" s="553">
        <v>13.034599999999999</v>
      </c>
      <c r="D142" s="553">
        <v>17.9072</v>
      </c>
      <c r="E142" s="553">
        <v>16.1571</v>
      </c>
      <c r="F142" s="553">
        <v>35.170099999999998</v>
      </c>
      <c r="G142" s="553">
        <v>5.6726999999999999</v>
      </c>
      <c r="H142" s="553">
        <v>14.3178</v>
      </c>
      <c r="I142" s="557">
        <v>44960</v>
      </c>
      <c r="J142" s="553">
        <v>23.246099999999998</v>
      </c>
      <c r="K142" s="553">
        <v>21.1602</v>
      </c>
      <c r="L142" s="553">
        <v>17.476500000000001</v>
      </c>
      <c r="M142" s="553">
        <v>0</v>
      </c>
      <c r="N142" s="553">
        <v>18.8218</v>
      </c>
      <c r="O142" s="553">
        <v>21.827100000000002</v>
      </c>
      <c r="P142" s="553"/>
      <c r="Q142" s="557">
        <v>44960</v>
      </c>
      <c r="R142" s="4">
        <v>449.23</v>
      </c>
      <c r="S142" s="4">
        <v>11846.64</v>
      </c>
      <c r="T142" s="4">
        <v>1014.75</v>
      </c>
      <c r="U142" s="4">
        <v>1.1238054735578127</v>
      </c>
      <c r="V142" s="4">
        <v>1.0510027280590857</v>
      </c>
      <c r="W142" s="4">
        <v>1.3073305849007988</v>
      </c>
      <c r="Y142" s="553">
        <v>449.23</v>
      </c>
      <c r="Z142" s="4">
        <v>96.48</v>
      </c>
      <c r="AA142" s="4">
        <v>440.64</v>
      </c>
      <c r="AB142" s="4">
        <v>91.96</v>
      </c>
      <c r="AC142" s="4">
        <v>13.31</v>
      </c>
      <c r="AD142" s="4">
        <v>169.63</v>
      </c>
      <c r="AF142" s="4">
        <v>1.1238054735578127</v>
      </c>
      <c r="AG142" s="4">
        <v>1.148434710153553</v>
      </c>
      <c r="AH142" s="4">
        <v>0.88822592674716283</v>
      </c>
      <c r="AI142" s="4">
        <v>1.1967725143154606</v>
      </c>
      <c r="AJ142" s="4" t="e">
        <v>#DIV/0!</v>
      </c>
      <c r="AK142" s="4">
        <v>1.1488655604470031</v>
      </c>
      <c r="AM142" s="555">
        <v>45781</v>
      </c>
      <c r="AN142" s="556">
        <v>466.81</v>
      </c>
      <c r="AO142" s="556">
        <v>1105038</v>
      </c>
      <c r="AP142" s="556">
        <v>234.29595</v>
      </c>
      <c r="AQ142" s="556">
        <v>109371.6924195</v>
      </c>
      <c r="AR142" s="556">
        <v>1.5385</v>
      </c>
    </row>
    <row r="143" spans="2:44">
      <c r="B143" s="557">
        <v>44953</v>
      </c>
      <c r="C143" s="553">
        <v>13.047800000000001</v>
      </c>
      <c r="D143" s="553">
        <v>18.3874</v>
      </c>
      <c r="E143" s="553">
        <v>16.064499999999999</v>
      </c>
      <c r="F143" s="553">
        <v>45.042999999999999</v>
      </c>
      <c r="G143" s="553">
        <v>5.7432999999999996</v>
      </c>
      <c r="H143" s="553">
        <v>13.6518</v>
      </c>
      <c r="I143" s="557">
        <v>44953</v>
      </c>
      <c r="J143" s="553">
        <v>23.272400000000001</v>
      </c>
      <c r="K143" s="553">
        <v>21.8445</v>
      </c>
      <c r="L143" s="553">
        <v>17.357900000000001</v>
      </c>
      <c r="M143" s="553">
        <v>0</v>
      </c>
      <c r="N143" s="553">
        <v>19.062200000000001</v>
      </c>
      <c r="O143" s="553">
        <v>20.629200000000001</v>
      </c>
      <c r="P143" s="553"/>
      <c r="Q143" s="557">
        <v>44953</v>
      </c>
      <c r="R143" s="4">
        <v>447.16</v>
      </c>
      <c r="S143" s="4">
        <v>11557.19</v>
      </c>
      <c r="T143" s="4">
        <v>986.89</v>
      </c>
      <c r="U143" s="4">
        <v>1.118627107619953</v>
      </c>
      <c r="V143" s="4">
        <v>1.0253234857054141</v>
      </c>
      <c r="W143" s="4">
        <v>1.271437773769647</v>
      </c>
      <c r="Y143" s="553">
        <v>447.16</v>
      </c>
      <c r="Z143" s="4">
        <v>99.6</v>
      </c>
      <c r="AA143" s="4">
        <v>437.65</v>
      </c>
      <c r="AB143" s="4">
        <v>88.6</v>
      </c>
      <c r="AC143" s="4">
        <v>13.48</v>
      </c>
      <c r="AD143" s="4">
        <v>160.32</v>
      </c>
      <c r="AF143" s="4">
        <v>1.118627107619953</v>
      </c>
      <c r="AG143" s="4">
        <v>1.1855731460540411</v>
      </c>
      <c r="AH143" s="4">
        <v>0.88219879457356531</v>
      </c>
      <c r="AI143" s="4">
        <v>1.1530452889120248</v>
      </c>
      <c r="AJ143" s="4" t="e">
        <v>#DIV/0!</v>
      </c>
      <c r="AK143" s="4">
        <v>1.0858110396207246</v>
      </c>
      <c r="AM143" s="555">
        <v>45780</v>
      </c>
      <c r="AN143" s="556">
        <v>463.55</v>
      </c>
      <c r="AO143" s="556">
        <v>1352902</v>
      </c>
      <c r="AP143" s="556">
        <v>234.29595</v>
      </c>
      <c r="AQ143" s="556">
        <v>108607.8876225</v>
      </c>
      <c r="AR143" s="556">
        <v>1.5278</v>
      </c>
    </row>
    <row r="144" spans="2:44">
      <c r="B144" s="557">
        <v>44946</v>
      </c>
      <c r="C144" s="553">
        <v>12.932499999999999</v>
      </c>
      <c r="D144" s="553">
        <v>17.5809</v>
      </c>
      <c r="E144" s="553">
        <v>16.5487</v>
      </c>
      <c r="F144" s="553">
        <v>42.264699999999998</v>
      </c>
      <c r="G144" s="553">
        <v>5.4981</v>
      </c>
      <c r="H144" s="553">
        <v>13.5709</v>
      </c>
      <c r="I144" s="557">
        <v>44946</v>
      </c>
      <c r="J144" s="553">
        <v>22.446000000000002</v>
      </c>
      <c r="K144" s="553">
        <v>20.6953</v>
      </c>
      <c r="L144" s="553">
        <v>17.8779</v>
      </c>
      <c r="M144" s="553">
        <v>0</v>
      </c>
      <c r="N144" s="553">
        <v>18.227900000000002</v>
      </c>
      <c r="O144" s="553">
        <v>20.483799999999999</v>
      </c>
      <c r="P144" s="553"/>
      <c r="Q144" s="557">
        <v>44946</v>
      </c>
      <c r="R144" s="4">
        <v>462.29</v>
      </c>
      <c r="S144" s="4">
        <v>11205.78</v>
      </c>
      <c r="T144" s="4">
        <v>960.53</v>
      </c>
      <c r="U144" s="4">
        <v>1.1564767098614099</v>
      </c>
      <c r="V144" s="4">
        <v>0.99414731519063149</v>
      </c>
      <c r="W144" s="4">
        <v>1.2374774542643647</v>
      </c>
      <c r="Y144" s="553">
        <v>462.29</v>
      </c>
      <c r="Z144" s="4">
        <v>94.36</v>
      </c>
      <c r="AA144" s="4">
        <v>450.76</v>
      </c>
      <c r="AB144" s="4">
        <v>82.91</v>
      </c>
      <c r="AC144" s="4">
        <v>12.89</v>
      </c>
      <c r="AD144" s="4">
        <v>159.19</v>
      </c>
      <c r="AF144" s="4">
        <v>1.1564767098614099</v>
      </c>
      <c r="AG144" s="4">
        <v>1.123199619092965</v>
      </c>
      <c r="AH144" s="4">
        <v>0.90862545102703141</v>
      </c>
      <c r="AI144" s="4">
        <v>1.0789953149401352</v>
      </c>
      <c r="AJ144" s="4" t="e">
        <v>#DIV/0!</v>
      </c>
      <c r="AK144" s="4">
        <v>1.0781578056214018</v>
      </c>
      <c r="AM144" s="555">
        <v>45779</v>
      </c>
      <c r="AN144" s="556">
        <v>462.08</v>
      </c>
      <c r="AO144" s="556">
        <v>2877958</v>
      </c>
      <c r="AP144" s="556">
        <v>234.29595</v>
      </c>
      <c r="AQ144" s="556">
        <v>108263.472576</v>
      </c>
      <c r="AR144" s="556">
        <v>1.5228999999999999</v>
      </c>
    </row>
    <row r="145" spans="2:44">
      <c r="B145" s="557">
        <v>44939</v>
      </c>
      <c r="C145" s="553">
        <v>13.1027</v>
      </c>
      <c r="D145" s="553">
        <v>18.245799999999999</v>
      </c>
      <c r="E145" s="553">
        <v>16.881</v>
      </c>
      <c r="F145" s="553">
        <v>44.901400000000002</v>
      </c>
      <c r="G145" s="553">
        <v>5.6227999999999998</v>
      </c>
      <c r="H145" s="553">
        <v>14.0495</v>
      </c>
      <c r="I145" s="557">
        <v>44939</v>
      </c>
      <c r="J145" s="553">
        <v>22.777699999999999</v>
      </c>
      <c r="K145" s="553">
        <v>21.642800000000001</v>
      </c>
      <c r="L145" s="553">
        <v>18.301100000000002</v>
      </c>
      <c r="M145" s="553">
        <v>0</v>
      </c>
      <c r="N145" s="553">
        <v>18.652100000000001</v>
      </c>
      <c r="O145" s="553">
        <v>21.3446</v>
      </c>
      <c r="P145" s="553"/>
      <c r="Q145" s="557">
        <v>44939</v>
      </c>
      <c r="R145" s="4">
        <v>477.53</v>
      </c>
      <c r="S145" s="4">
        <v>10862.64</v>
      </c>
      <c r="T145" s="4">
        <v>953.21</v>
      </c>
      <c r="U145" s="4">
        <v>1.1946014909691298</v>
      </c>
      <c r="V145" s="4">
        <v>0.96370483731452516</v>
      </c>
      <c r="W145" s="4">
        <v>1.2280468951301211</v>
      </c>
      <c r="Y145" s="553">
        <v>477.53</v>
      </c>
      <c r="Z145" s="4">
        <v>98.68</v>
      </c>
      <c r="AA145" s="4">
        <v>461.43</v>
      </c>
      <c r="AB145" s="4">
        <v>88.31</v>
      </c>
      <c r="AC145" s="4">
        <v>13.19</v>
      </c>
      <c r="AD145" s="4">
        <v>165.88</v>
      </c>
      <c r="AF145" s="4">
        <v>1.1946014909691298</v>
      </c>
      <c r="AG145" s="4">
        <v>1.1746220688013331</v>
      </c>
      <c r="AH145" s="4">
        <v>0.93013364510471896</v>
      </c>
      <c r="AI145" s="4">
        <v>1.1492712129099427</v>
      </c>
      <c r="AJ145" s="4" t="e">
        <v>#DIV/0!</v>
      </c>
      <c r="AK145" s="4">
        <v>1.1234676600067728</v>
      </c>
      <c r="AM145" s="555">
        <v>45778</v>
      </c>
      <c r="AN145" s="556">
        <v>458.33</v>
      </c>
      <c r="AO145" s="556">
        <v>1532920</v>
      </c>
      <c r="AP145" s="556">
        <v>234.57304999999999</v>
      </c>
      <c r="AQ145" s="556">
        <v>107511.8660065</v>
      </c>
      <c r="AR145" s="556">
        <v>1.5105999999999999</v>
      </c>
    </row>
    <row r="146" spans="2:44">
      <c r="B146" s="557">
        <v>44932</v>
      </c>
      <c r="C146" s="553">
        <v>13.7113</v>
      </c>
      <c r="D146" s="553">
        <v>18.827500000000001</v>
      </c>
      <c r="E146" s="553">
        <v>18.748899999999999</v>
      </c>
      <c r="F146" s="553">
        <v>43.827199999999998</v>
      </c>
      <c r="G146" s="553">
        <v>5.4024999999999999</v>
      </c>
      <c r="H146" s="553">
        <v>14.3414</v>
      </c>
      <c r="I146" s="557">
        <v>44932</v>
      </c>
      <c r="J146" s="553">
        <v>23.963100000000001</v>
      </c>
      <c r="K146" s="553">
        <v>22.471800000000002</v>
      </c>
      <c r="L146" s="553">
        <v>20.680399999999999</v>
      </c>
      <c r="M146" s="553">
        <v>0</v>
      </c>
      <c r="N146" s="553">
        <v>17.9026</v>
      </c>
      <c r="O146" s="553">
        <v>21.869599999999998</v>
      </c>
      <c r="P146" s="553"/>
      <c r="Q146" s="557">
        <v>44932</v>
      </c>
      <c r="R146" s="4">
        <v>485.5</v>
      </c>
      <c r="S146" s="4">
        <v>10822.51</v>
      </c>
      <c r="T146" s="4">
        <v>943.49</v>
      </c>
      <c r="U146" s="4">
        <v>1.2145394506429179</v>
      </c>
      <c r="V146" s="4">
        <v>0.96014460931088785</v>
      </c>
      <c r="W146" s="4">
        <v>1.2155243493944858</v>
      </c>
      <c r="Y146" s="553">
        <v>485.5</v>
      </c>
      <c r="Z146" s="4">
        <v>102.46</v>
      </c>
      <c r="AA146" s="4">
        <v>521.41999999999996</v>
      </c>
      <c r="AB146" s="4">
        <v>86.11</v>
      </c>
      <c r="AC146" s="4">
        <v>12.66</v>
      </c>
      <c r="AD146" s="4">
        <v>169.96</v>
      </c>
      <c r="AF146" s="4">
        <v>1.2145394506429179</v>
      </c>
      <c r="AG146" s="4">
        <v>1.219616712296155</v>
      </c>
      <c r="AH146" s="4">
        <v>1.0510592835977342</v>
      </c>
      <c r="AI146" s="4">
        <v>1.1206402915148359</v>
      </c>
      <c r="AJ146" s="4" t="e">
        <v>#DIV/0!</v>
      </c>
      <c r="AK146" s="4">
        <v>1.1511005756857433</v>
      </c>
      <c r="AM146" s="555">
        <v>45777</v>
      </c>
      <c r="AN146" s="556">
        <v>464.08</v>
      </c>
      <c r="AO146" s="556">
        <v>3052804</v>
      </c>
      <c r="AP146" s="556">
        <v>234.57304999999999</v>
      </c>
      <c r="AQ146" s="556">
        <v>108860.66104399999</v>
      </c>
      <c r="AR146" s="556">
        <v>1.5295000000000001</v>
      </c>
    </row>
    <row r="147" spans="2:44">
      <c r="B147" s="557">
        <v>44925</v>
      </c>
      <c r="C147" s="553">
        <v>13.4277</v>
      </c>
      <c r="D147" s="553">
        <v>18.9453</v>
      </c>
      <c r="E147" s="553">
        <v>20.490300000000001</v>
      </c>
      <c r="F147" s="553">
        <v>43.607500000000002</v>
      </c>
      <c r="G147" s="553">
        <v>6.1024000000000003</v>
      </c>
      <c r="H147" s="553">
        <v>16.043500000000002</v>
      </c>
      <c r="I147" s="557">
        <v>44925</v>
      </c>
      <c r="J147" s="553">
        <v>21.807300000000001</v>
      </c>
      <c r="K147" s="553">
        <v>22.4133</v>
      </c>
      <c r="L147" s="553">
        <v>26.885300000000001</v>
      </c>
      <c r="M147" s="553">
        <v>0</v>
      </c>
      <c r="N147" s="553">
        <v>14.8545</v>
      </c>
      <c r="O147" s="553">
        <v>23.470199999999998</v>
      </c>
      <c r="P147" s="553"/>
      <c r="Q147" s="557">
        <v>44925</v>
      </c>
      <c r="R147" s="4">
        <v>486.15</v>
      </c>
      <c r="S147" s="4">
        <v>11072.42</v>
      </c>
      <c r="T147" s="4">
        <v>931.16</v>
      </c>
      <c r="U147" s="4">
        <v>1.2161655075799269</v>
      </c>
      <c r="V147" s="4">
        <v>0.98231596690842149</v>
      </c>
      <c r="W147" s="4">
        <v>1.1996392682298376</v>
      </c>
      <c r="Y147" s="553">
        <v>486.15</v>
      </c>
      <c r="Z147" s="4">
        <v>100.92</v>
      </c>
      <c r="AA147" s="4">
        <v>545.61</v>
      </c>
      <c r="AB147" s="4">
        <v>85.66</v>
      </c>
      <c r="AC147" s="4">
        <v>12.78</v>
      </c>
      <c r="AD147" s="4">
        <v>166.99</v>
      </c>
      <c r="AF147" s="4">
        <v>1.2161655075799269</v>
      </c>
      <c r="AG147" s="4">
        <v>1.2012855612427091</v>
      </c>
      <c r="AH147" s="4">
        <v>1.0998205970690802</v>
      </c>
      <c r="AI147" s="4">
        <v>1.1147839666840187</v>
      </c>
      <c r="AJ147" s="4" t="e">
        <v>#DIV/0!</v>
      </c>
      <c r="AK147" s="4">
        <v>1.130985438537081</v>
      </c>
      <c r="AM147" s="555">
        <v>45776</v>
      </c>
      <c r="AN147" s="556">
        <v>464.08</v>
      </c>
      <c r="AO147" s="556">
        <v>3052804</v>
      </c>
      <c r="AP147" s="556">
        <v>234.57304999999999</v>
      </c>
      <c r="AQ147" s="556">
        <v>108860.66104399999</v>
      </c>
      <c r="AR147" s="556">
        <v>1.5295000000000001</v>
      </c>
    </row>
    <row r="148" spans="2:44">
      <c r="B148" s="557">
        <v>44918</v>
      </c>
      <c r="C148" s="553">
        <v>13.3452</v>
      </c>
      <c r="D148" s="553">
        <v>18.693999999999999</v>
      </c>
      <c r="E148" s="553">
        <v>20.1374</v>
      </c>
      <c r="F148" s="553">
        <v>43.148499999999999</v>
      </c>
      <c r="G148" s="553">
        <v>6.2584</v>
      </c>
      <c r="H148" s="553">
        <v>15.8857</v>
      </c>
      <c r="I148" s="557">
        <v>44918</v>
      </c>
      <c r="J148" s="553">
        <v>21.663900000000002</v>
      </c>
      <c r="K148" s="553">
        <v>22.0535</v>
      </c>
      <c r="L148" s="553">
        <v>26.351099999999999</v>
      </c>
      <c r="M148" s="553">
        <v>0</v>
      </c>
      <c r="N148" s="553">
        <v>15.284599999999999</v>
      </c>
      <c r="O148" s="553">
        <v>23.1906</v>
      </c>
      <c r="P148" s="553"/>
      <c r="Q148" s="557">
        <v>44918</v>
      </c>
      <c r="R148" s="4">
        <v>480.22</v>
      </c>
      <c r="S148" s="4">
        <v>11834.21</v>
      </c>
      <c r="T148" s="4">
        <v>941.5</v>
      </c>
      <c r="U148" s="4">
        <v>1.2013308650622905</v>
      </c>
      <c r="V148" s="4">
        <v>1.0498999711668551</v>
      </c>
      <c r="W148" s="4">
        <v>1.2129605771708323</v>
      </c>
      <c r="Y148" s="553">
        <v>480.22</v>
      </c>
      <c r="Z148" s="4">
        <v>99.3</v>
      </c>
      <c r="AA148" s="4">
        <v>534.77</v>
      </c>
      <c r="AB148" s="4">
        <v>84.72</v>
      </c>
      <c r="AC148" s="4">
        <v>13.15</v>
      </c>
      <c r="AD148" s="4">
        <v>165</v>
      </c>
      <c r="AF148" s="4">
        <v>1.2013308650622905</v>
      </c>
      <c r="AG148" s="4">
        <v>1.182002142602071</v>
      </c>
      <c r="AH148" s="4">
        <v>1.0779697232357033</v>
      </c>
      <c r="AI148" s="4">
        <v>1.1025507548152003</v>
      </c>
      <c r="AJ148" s="4" t="e">
        <v>#DIV/0!</v>
      </c>
      <c r="AK148" s="4">
        <v>1.1175076193701321</v>
      </c>
      <c r="AM148" s="555">
        <v>45775</v>
      </c>
      <c r="AN148" s="556">
        <v>464.08</v>
      </c>
      <c r="AO148" s="556">
        <v>3052804</v>
      </c>
      <c r="AP148" s="556">
        <v>234.57304999999999</v>
      </c>
      <c r="AQ148" s="556">
        <v>108860.66104399999</v>
      </c>
      <c r="AR148" s="556">
        <v>1.5295000000000001</v>
      </c>
    </row>
    <row r="149" spans="2:44">
      <c r="B149" s="557">
        <v>44911</v>
      </c>
      <c r="C149" s="553">
        <v>13.3066</v>
      </c>
      <c r="D149" s="553">
        <v>18.545100000000001</v>
      </c>
      <c r="E149" s="553">
        <v>19.977900000000002</v>
      </c>
      <c r="F149" s="553">
        <v>41.752000000000002</v>
      </c>
      <c r="G149" s="553">
        <v>5.8029999999999999</v>
      </c>
      <c r="H149" s="553">
        <v>15.913500000000001</v>
      </c>
      <c r="I149" s="557">
        <v>44911</v>
      </c>
      <c r="J149" s="553">
        <v>21.596699999999998</v>
      </c>
      <c r="K149" s="553">
        <v>21.840299999999999</v>
      </c>
      <c r="L149" s="553">
        <v>26.1097</v>
      </c>
      <c r="M149" s="553">
        <v>0</v>
      </c>
      <c r="N149" s="553">
        <v>14.029299999999999</v>
      </c>
      <c r="O149" s="553">
        <v>23.239699999999999</v>
      </c>
      <c r="P149" s="553"/>
      <c r="Q149" s="557">
        <v>44911</v>
      </c>
      <c r="R149" s="4">
        <v>484</v>
      </c>
      <c r="S149" s="4">
        <v>11549.69</v>
      </c>
      <c r="T149" s="4">
        <v>934.3</v>
      </c>
      <c r="U149" s="4">
        <v>1.2107870115575123</v>
      </c>
      <c r="V149" s="4">
        <v>1.0246581054405928</v>
      </c>
      <c r="W149" s="4">
        <v>1.203684617366658</v>
      </c>
      <c r="Y149" s="553">
        <v>484</v>
      </c>
      <c r="Z149" s="4">
        <v>98.34</v>
      </c>
      <c r="AA149" s="4">
        <v>529.87</v>
      </c>
      <c r="AB149" s="4">
        <v>81.86</v>
      </c>
      <c r="AC149" s="4">
        <v>12.07</v>
      </c>
      <c r="AD149" s="4">
        <v>165.35</v>
      </c>
      <c r="AF149" s="4">
        <v>1.2107870115575123</v>
      </c>
      <c r="AG149" s="4">
        <v>1.1705749315557672</v>
      </c>
      <c r="AH149" s="4">
        <v>1.0680924832187708</v>
      </c>
      <c r="AI149" s="4">
        <v>1.0653305570015617</v>
      </c>
      <c r="AJ149" s="4" t="e">
        <v>#DIV/0!</v>
      </c>
      <c r="AK149" s="4">
        <v>1.1198780900778869</v>
      </c>
      <c r="AM149" s="555">
        <v>45774</v>
      </c>
      <c r="AN149" s="556">
        <v>464.08</v>
      </c>
      <c r="AO149" s="556">
        <v>3052804</v>
      </c>
      <c r="AP149" s="556">
        <v>234.57304999999999</v>
      </c>
      <c r="AQ149" s="556">
        <v>108860.66104399999</v>
      </c>
      <c r="AR149" s="556">
        <v>1.5295000000000001</v>
      </c>
    </row>
    <row r="150" spans="2:44">
      <c r="B150" s="557">
        <v>44904</v>
      </c>
      <c r="C150" s="553">
        <v>13.3527</v>
      </c>
      <c r="D150" s="553">
        <v>18.534199999999998</v>
      </c>
      <c r="E150" s="553">
        <v>19.947600000000001</v>
      </c>
      <c r="F150" s="553">
        <v>41.883899999999997</v>
      </c>
      <c r="G150" s="553">
        <v>5.4488000000000003</v>
      </c>
      <c r="H150" s="553">
        <v>16.2623</v>
      </c>
      <c r="I150" s="557">
        <v>44904</v>
      </c>
      <c r="J150" s="553">
        <v>21.6769</v>
      </c>
      <c r="K150" s="553">
        <v>21.8248</v>
      </c>
      <c r="L150" s="553">
        <v>26.0639</v>
      </c>
      <c r="M150" s="553">
        <v>0</v>
      </c>
      <c r="N150" s="553">
        <v>13.052899999999999</v>
      </c>
      <c r="O150" s="553">
        <v>23.8582</v>
      </c>
      <c r="P150" s="553"/>
      <c r="Q150" s="557">
        <v>44904</v>
      </c>
      <c r="R150" s="4">
        <v>484.1</v>
      </c>
      <c r="S150" s="4">
        <v>11503.45</v>
      </c>
      <c r="T150" s="4">
        <v>921.91</v>
      </c>
      <c r="U150" s="4">
        <v>1.2110371741632062</v>
      </c>
      <c r="V150" s="4">
        <v>1.0205558143145474</v>
      </c>
      <c r="W150" s="4">
        <v>1.1877222365369748</v>
      </c>
      <c r="Y150" s="553">
        <v>484.1</v>
      </c>
      <c r="Z150" s="4">
        <v>98.27</v>
      </c>
      <c r="AA150" s="4">
        <v>528.94000000000005</v>
      </c>
      <c r="AB150" s="4">
        <v>82.13</v>
      </c>
      <c r="AC150" s="4">
        <v>11.23</v>
      </c>
      <c r="AD150" s="4">
        <v>169.75</v>
      </c>
      <c r="AF150" s="4">
        <v>1.2110371741632062</v>
      </c>
      <c r="AG150" s="4">
        <v>1.1697416974169741</v>
      </c>
      <c r="AH150" s="4">
        <v>1.0662178233788226</v>
      </c>
      <c r="AI150" s="4">
        <v>1.0688443519000519</v>
      </c>
      <c r="AJ150" s="4" t="e">
        <v>#DIV/0!</v>
      </c>
      <c r="AK150" s="4">
        <v>1.1496782932610903</v>
      </c>
      <c r="AM150" s="555">
        <v>45773</v>
      </c>
      <c r="AN150" s="556">
        <v>477.08</v>
      </c>
      <c r="AO150" s="556">
        <v>1530125</v>
      </c>
      <c r="AP150" s="556">
        <v>234.57304999999999</v>
      </c>
      <c r="AQ150" s="556">
        <v>111910.11069399999</v>
      </c>
      <c r="AR150" s="556">
        <v>1.5724</v>
      </c>
    </row>
    <row r="151" spans="2:44">
      <c r="B151" s="557">
        <v>44897</v>
      </c>
      <c r="C151" s="553">
        <v>13.678699999999999</v>
      </c>
      <c r="D151" s="553">
        <v>18.959299999999999</v>
      </c>
      <c r="E151" s="553">
        <v>20.489899999999999</v>
      </c>
      <c r="F151" s="553">
        <v>46.732599999999998</v>
      </c>
      <c r="G151" s="553">
        <v>4.8078000000000003</v>
      </c>
      <c r="H151" s="553">
        <v>17.102599999999999</v>
      </c>
      <c r="I151" s="557">
        <v>44897</v>
      </c>
      <c r="J151" s="553">
        <v>22.244</v>
      </c>
      <c r="K151" s="553">
        <v>22.433299999999999</v>
      </c>
      <c r="L151" s="553">
        <v>26.884799999999998</v>
      </c>
      <c r="M151" s="553">
        <v>0</v>
      </c>
      <c r="N151" s="553">
        <v>11.286199999999999</v>
      </c>
      <c r="O151" s="553">
        <v>25.347999999999999</v>
      </c>
      <c r="P151" s="553"/>
      <c r="Q151" s="557">
        <v>44897</v>
      </c>
      <c r="R151" s="4">
        <v>479.5</v>
      </c>
      <c r="S151" s="4">
        <v>11724.84</v>
      </c>
      <c r="T151" s="4">
        <v>929.97</v>
      </c>
      <c r="U151" s="4">
        <v>1.1995296943012959</v>
      </c>
      <c r="V151" s="4">
        <v>1.0401969525583872</v>
      </c>
      <c r="W151" s="4">
        <v>1.1981061582066477</v>
      </c>
      <c r="Y151" s="553">
        <v>479.5</v>
      </c>
      <c r="Z151" s="4">
        <v>101.01</v>
      </c>
      <c r="AA151" s="4">
        <v>545.6</v>
      </c>
      <c r="AB151" s="4">
        <v>92.68</v>
      </c>
      <c r="AC151" s="4">
        <v>9.7100000000000009</v>
      </c>
      <c r="AD151" s="4">
        <v>180.35</v>
      </c>
      <c r="AF151" s="4">
        <v>1.1995296943012959</v>
      </c>
      <c r="AG151" s="4">
        <v>1.2023568622783003</v>
      </c>
      <c r="AH151" s="4">
        <v>1.0998004394363927</v>
      </c>
      <c r="AI151" s="4">
        <v>1.2061426340447683</v>
      </c>
      <c r="AJ151" s="4" t="e">
        <v>#DIV/0!</v>
      </c>
      <c r="AK151" s="4">
        <v>1.2214696918388079</v>
      </c>
      <c r="AM151" s="555">
        <v>45772</v>
      </c>
      <c r="AN151" s="556">
        <v>469.58</v>
      </c>
      <c r="AO151" s="556">
        <v>1224466</v>
      </c>
      <c r="AP151" s="556">
        <v>234.57304999999999</v>
      </c>
      <c r="AQ151" s="556">
        <v>110150.812819</v>
      </c>
      <c r="AR151" s="556">
        <v>1.5477000000000001</v>
      </c>
    </row>
    <row r="152" spans="2:44">
      <c r="B152" s="557">
        <v>44890</v>
      </c>
      <c r="C152" s="553">
        <v>13.349600000000001</v>
      </c>
      <c r="D152" s="553">
        <v>18.4101</v>
      </c>
      <c r="E152" s="553">
        <v>19.9115</v>
      </c>
      <c r="F152" s="553">
        <v>46.441600000000001</v>
      </c>
      <c r="G152" s="553">
        <v>0</v>
      </c>
      <c r="H152" s="553">
        <v>17.021699999999999</v>
      </c>
      <c r="I152" s="557">
        <v>44890</v>
      </c>
      <c r="J152" s="553">
        <v>21.671500000000002</v>
      </c>
      <c r="K152" s="553">
        <v>21.647099999999998</v>
      </c>
      <c r="L152" s="553">
        <v>26.0092</v>
      </c>
      <c r="M152" s="553">
        <v>0</v>
      </c>
      <c r="N152" s="553">
        <v>0</v>
      </c>
      <c r="O152" s="553">
        <v>25.204599999999999</v>
      </c>
      <c r="P152" s="553"/>
      <c r="Q152" s="557">
        <v>44890</v>
      </c>
      <c r="R152" s="4">
        <v>467.25</v>
      </c>
      <c r="S152" s="4">
        <v>11871.15</v>
      </c>
      <c r="T152" s="4">
        <v>902.17</v>
      </c>
      <c r="U152" s="4">
        <v>1.1688847751038174</v>
      </c>
      <c r="V152" s="4">
        <v>1.053177190764522</v>
      </c>
      <c r="W152" s="4">
        <v>1.1622906467405307</v>
      </c>
      <c r="Y152" s="553">
        <v>467.25</v>
      </c>
      <c r="Z152" s="4">
        <v>97.47</v>
      </c>
      <c r="AA152" s="4">
        <v>527.83000000000004</v>
      </c>
      <c r="AB152" s="4">
        <v>92.08</v>
      </c>
      <c r="AC152" s="4">
        <v>0</v>
      </c>
      <c r="AD152" s="4">
        <v>179.33</v>
      </c>
      <c r="AF152" s="4">
        <v>1.1688847751038174</v>
      </c>
      <c r="AG152" s="4">
        <v>1.1602190215450541</v>
      </c>
      <c r="AH152" s="4">
        <v>1.063980326150497</v>
      </c>
      <c r="AI152" s="4">
        <v>1.1983342009370119</v>
      </c>
      <c r="AJ152" s="4" t="e">
        <v>#DIV/0!</v>
      </c>
      <c r="AK152" s="4">
        <v>1.2145614629190653</v>
      </c>
      <c r="AM152" s="555">
        <v>45771</v>
      </c>
      <c r="AN152" s="556">
        <v>475.34</v>
      </c>
      <c r="AO152" s="556">
        <v>1079637</v>
      </c>
      <c r="AP152" s="556">
        <v>234.57304999999999</v>
      </c>
      <c r="AQ152" s="556">
        <v>111501.953587</v>
      </c>
      <c r="AR152" s="556">
        <v>1.5666</v>
      </c>
    </row>
    <row r="153" spans="2:44">
      <c r="B153" s="557">
        <v>44883</v>
      </c>
      <c r="C153" s="553">
        <v>13.1785</v>
      </c>
      <c r="D153" s="553">
        <v>18.082799999999999</v>
      </c>
      <c r="E153" s="553">
        <v>19.670300000000001</v>
      </c>
      <c r="F153" s="553">
        <v>46.756799999999998</v>
      </c>
      <c r="G153" s="553">
        <v>0</v>
      </c>
      <c r="H153" s="553">
        <v>16.710999999999999</v>
      </c>
      <c r="I153" s="557">
        <v>44883</v>
      </c>
      <c r="J153" s="553">
        <v>21.373899999999999</v>
      </c>
      <c r="K153" s="553">
        <v>21.1785</v>
      </c>
      <c r="L153" s="553">
        <v>25.643999999999998</v>
      </c>
      <c r="M153" s="553">
        <v>0</v>
      </c>
      <c r="N153" s="553">
        <v>0</v>
      </c>
      <c r="O153" s="553">
        <v>24.653700000000001</v>
      </c>
      <c r="P153" s="553"/>
      <c r="Q153" s="557">
        <v>44883</v>
      </c>
      <c r="R153" s="4">
        <v>494.12</v>
      </c>
      <c r="S153" s="4">
        <v>11059.5</v>
      </c>
      <c r="T153" s="4">
        <v>910.05</v>
      </c>
      <c r="U153" s="4">
        <v>1.236103467253715</v>
      </c>
      <c r="V153" s="4">
        <v>0.98116973850555589</v>
      </c>
      <c r="W153" s="4">
        <v>1.1724426694150991</v>
      </c>
      <c r="Y153" s="553">
        <v>494.12</v>
      </c>
      <c r="Z153" s="4">
        <v>95.36</v>
      </c>
      <c r="AA153" s="4">
        <v>520.41999999999996</v>
      </c>
      <c r="AB153" s="4">
        <v>92.73</v>
      </c>
      <c r="AC153" s="4">
        <v>0</v>
      </c>
      <c r="AD153" s="4">
        <v>175.41</v>
      </c>
      <c r="AF153" s="4">
        <v>1.236103467253715</v>
      </c>
      <c r="AG153" s="4">
        <v>1.1351029639328651</v>
      </c>
      <c r="AH153" s="4">
        <v>1.0490435203289725</v>
      </c>
      <c r="AI153" s="4">
        <v>1.206793336803748</v>
      </c>
      <c r="AJ153" s="4" t="e">
        <v>#DIV/0!</v>
      </c>
      <c r="AK153" s="4">
        <v>1.1880121909922112</v>
      </c>
      <c r="AM153" s="555">
        <v>45770</v>
      </c>
      <c r="AN153" s="556">
        <v>474.9</v>
      </c>
      <c r="AO153" s="556">
        <v>1452289</v>
      </c>
      <c r="AP153" s="556">
        <v>234.57304999999999</v>
      </c>
      <c r="AQ153" s="556">
        <v>111398.74144499999</v>
      </c>
      <c r="AR153" s="556">
        <v>1.5651999999999999</v>
      </c>
    </row>
    <row r="154" spans="2:44">
      <c r="B154" s="557">
        <v>44876</v>
      </c>
      <c r="C154" s="553">
        <v>12.8445</v>
      </c>
      <c r="D154" s="553">
        <v>17.817599999999999</v>
      </c>
      <c r="E154" s="553">
        <v>18.767900000000001</v>
      </c>
      <c r="F154" s="553">
        <v>46.8538</v>
      </c>
      <c r="G154" s="553">
        <v>0</v>
      </c>
      <c r="H154" s="553">
        <v>16.0562</v>
      </c>
      <c r="I154" s="557">
        <v>44876</v>
      </c>
      <c r="J154" s="553">
        <v>20.792899999999999</v>
      </c>
      <c r="K154" s="553">
        <v>20.7987</v>
      </c>
      <c r="L154" s="553">
        <v>24.278099999999998</v>
      </c>
      <c r="M154" s="553">
        <v>0</v>
      </c>
      <c r="N154" s="553">
        <v>0</v>
      </c>
      <c r="O154" s="553">
        <v>23.492699999999999</v>
      </c>
      <c r="P154" s="553"/>
      <c r="Q154" s="557">
        <v>44876</v>
      </c>
      <c r="R154" s="4">
        <v>485.63</v>
      </c>
      <c r="S154" s="4">
        <v>11288.95</v>
      </c>
      <c r="T154" s="4">
        <v>919.4</v>
      </c>
      <c r="U154" s="4">
        <v>1.2148646620303196</v>
      </c>
      <c r="V154" s="4">
        <v>1.001525938740657</v>
      </c>
      <c r="W154" s="4">
        <v>1.1844885338830198</v>
      </c>
      <c r="Y154" s="553">
        <v>485.63</v>
      </c>
      <c r="Z154" s="4">
        <v>93.65</v>
      </c>
      <c r="AA154" s="4">
        <v>492.7</v>
      </c>
      <c r="AB154" s="4">
        <v>92.93</v>
      </c>
      <c r="AC154" s="4">
        <v>0</v>
      </c>
      <c r="AD154" s="4">
        <v>167.15</v>
      </c>
      <c r="AF154" s="4">
        <v>1.2148646620303196</v>
      </c>
      <c r="AG154" s="4">
        <v>1.1147482442566361</v>
      </c>
      <c r="AH154" s="4">
        <v>0.99316656251889779</v>
      </c>
      <c r="AI154" s="4">
        <v>1.2093961478396669</v>
      </c>
      <c r="AJ154" s="4" t="e">
        <v>#DIV/0!</v>
      </c>
      <c r="AK154" s="4">
        <v>1.1320690822891974</v>
      </c>
      <c r="AM154" s="555">
        <v>45769</v>
      </c>
      <c r="AN154" s="556">
        <v>474.9</v>
      </c>
      <c r="AO154" s="556">
        <v>1452289</v>
      </c>
      <c r="AP154" s="556">
        <v>234.57304999999999</v>
      </c>
      <c r="AQ154" s="556">
        <v>111398.74144499999</v>
      </c>
      <c r="AR154" s="556">
        <v>1.5651999999999999</v>
      </c>
    </row>
    <row r="155" spans="2:44">
      <c r="B155" s="557">
        <v>44869</v>
      </c>
      <c r="C155" s="553">
        <v>13.3035</v>
      </c>
      <c r="D155" s="553">
        <v>18.0611</v>
      </c>
      <c r="E155" s="553">
        <v>19.7468</v>
      </c>
      <c r="F155" s="553">
        <v>42.988300000000002</v>
      </c>
      <c r="G155" s="553">
        <v>0</v>
      </c>
      <c r="H155" s="553">
        <v>16.424800000000001</v>
      </c>
      <c r="I155" s="557">
        <v>44869</v>
      </c>
      <c r="J155" s="553">
        <v>21.5913</v>
      </c>
      <c r="K155" s="553">
        <v>21.147400000000001</v>
      </c>
      <c r="L155" s="553">
        <v>25.759799999999998</v>
      </c>
      <c r="M155" s="553">
        <v>0</v>
      </c>
      <c r="N155" s="553">
        <v>0</v>
      </c>
      <c r="O155" s="553">
        <v>24.1463</v>
      </c>
      <c r="P155" s="553"/>
      <c r="Q155" s="557">
        <v>44869</v>
      </c>
      <c r="R155" s="4">
        <v>460.15</v>
      </c>
      <c r="S155" s="4">
        <v>11669.99</v>
      </c>
      <c r="T155" s="4">
        <v>875.32</v>
      </c>
      <c r="U155" s="4">
        <v>1.1511232300995646</v>
      </c>
      <c r="V155" s="4">
        <v>1.035330804888327</v>
      </c>
      <c r="W155" s="4">
        <v>1.1276990466374646</v>
      </c>
      <c r="Y155" s="553">
        <v>460.15</v>
      </c>
      <c r="Z155" s="4">
        <v>95.22</v>
      </c>
      <c r="AA155" s="4">
        <v>522.77</v>
      </c>
      <c r="AB155" s="4">
        <v>84.96</v>
      </c>
      <c r="AC155" s="4">
        <v>0</v>
      </c>
      <c r="AD155" s="4">
        <v>171.8</v>
      </c>
      <c r="AF155" s="4">
        <v>1.1511232300995646</v>
      </c>
      <c r="AG155" s="4">
        <v>1.1334364956552792</v>
      </c>
      <c r="AH155" s="4">
        <v>1.0537805640105626</v>
      </c>
      <c r="AI155" s="4">
        <v>1.1056741280583029</v>
      </c>
      <c r="AJ155" s="4" t="e">
        <v>#DIV/0!</v>
      </c>
      <c r="AK155" s="4">
        <v>1.1635624788350829</v>
      </c>
      <c r="AM155" s="555">
        <v>45768</v>
      </c>
      <c r="AN155" s="556">
        <v>474.9</v>
      </c>
      <c r="AO155" s="556">
        <v>1452289</v>
      </c>
      <c r="AP155" s="556">
        <v>234.57304999999999</v>
      </c>
      <c r="AQ155" s="556">
        <v>111398.74144499999</v>
      </c>
      <c r="AR155" s="556">
        <v>1.5651999999999999</v>
      </c>
    </row>
    <row r="156" spans="2:44">
      <c r="B156" s="557">
        <v>44862</v>
      </c>
      <c r="C156" s="553">
        <v>13.385999999999999</v>
      </c>
      <c r="D156" s="553">
        <v>18.039400000000001</v>
      </c>
      <c r="E156" s="553">
        <v>20.5717</v>
      </c>
      <c r="F156" s="553">
        <v>35.369900000000001</v>
      </c>
      <c r="G156" s="553">
        <v>0</v>
      </c>
      <c r="H156" s="553">
        <v>16.244399999999999</v>
      </c>
      <c r="I156" s="557">
        <v>44862</v>
      </c>
      <c r="J156" s="553">
        <v>21.7347</v>
      </c>
      <c r="K156" s="553">
        <v>21.116299999999999</v>
      </c>
      <c r="L156" s="553">
        <v>27.008500000000002</v>
      </c>
      <c r="M156" s="553">
        <v>0</v>
      </c>
      <c r="N156" s="553">
        <v>0</v>
      </c>
      <c r="O156" s="553">
        <v>23.772400000000001</v>
      </c>
      <c r="P156" s="553"/>
      <c r="Q156" s="557">
        <v>44862</v>
      </c>
      <c r="R156" s="4">
        <v>431.84</v>
      </c>
      <c r="S156" s="4">
        <v>11147.74</v>
      </c>
      <c r="T156" s="4">
        <v>847.97</v>
      </c>
      <c r="U156" s="4">
        <v>1.080302196427678</v>
      </c>
      <c r="V156" s="4">
        <v>0.98899815911460065</v>
      </c>
      <c r="W156" s="4">
        <v>1.0924632826591085</v>
      </c>
      <c r="Y156" s="553">
        <v>431.84</v>
      </c>
      <c r="Z156" s="4">
        <v>95.08</v>
      </c>
      <c r="AA156" s="4">
        <v>548.11</v>
      </c>
      <c r="AB156" s="4">
        <v>90.14</v>
      </c>
      <c r="AC156" s="4">
        <v>0</v>
      </c>
      <c r="AD156" s="4">
        <v>169.14</v>
      </c>
      <c r="AF156" s="4">
        <v>1.080302196427678</v>
      </c>
      <c r="AG156" s="4">
        <v>1.1317700273776929</v>
      </c>
      <c r="AH156" s="4">
        <v>1.1048600052409845</v>
      </c>
      <c r="AI156" s="4">
        <v>1.1730869338885996</v>
      </c>
      <c r="AJ156" s="4" t="e">
        <v>#DIV/0!</v>
      </c>
      <c r="AK156" s="4">
        <v>1.1455469014561461</v>
      </c>
      <c r="AM156" s="555">
        <v>45767</v>
      </c>
      <c r="AN156" s="556">
        <v>463.7</v>
      </c>
      <c r="AO156" s="556">
        <v>1832891</v>
      </c>
      <c r="AP156" s="556">
        <v>234.57304999999999</v>
      </c>
      <c r="AQ156" s="556">
        <v>108771.52328499999</v>
      </c>
      <c r="AR156" s="556">
        <v>1.5283</v>
      </c>
    </row>
    <row r="157" spans="2:44">
      <c r="B157" s="557">
        <v>44855</v>
      </c>
      <c r="C157" s="553">
        <v>12.6061</v>
      </c>
      <c r="D157" s="553">
        <v>17.0852</v>
      </c>
      <c r="E157" s="553">
        <v>19.831499999999998</v>
      </c>
      <c r="F157" s="553">
        <v>31.474599999999999</v>
      </c>
      <c r="G157" s="553">
        <v>0</v>
      </c>
      <c r="H157" s="553">
        <v>15.885999999999999</v>
      </c>
      <c r="I157" s="557">
        <v>44855</v>
      </c>
      <c r="J157" s="553">
        <v>20.378299999999999</v>
      </c>
      <c r="K157" s="553">
        <v>19.663799999999998</v>
      </c>
      <c r="L157" s="553">
        <v>25.7544</v>
      </c>
      <c r="M157" s="553">
        <v>0</v>
      </c>
      <c r="N157" s="553">
        <v>0</v>
      </c>
      <c r="O157" s="553">
        <v>23.138500000000001</v>
      </c>
      <c r="P157" s="553"/>
      <c r="Q157" s="557">
        <v>44855</v>
      </c>
      <c r="R157" s="4">
        <v>411.06</v>
      </c>
      <c r="S157" s="4">
        <v>10791.35</v>
      </c>
      <c r="T157" s="4">
        <v>811.35</v>
      </c>
      <c r="U157" s="4">
        <v>1.028318406964527</v>
      </c>
      <c r="V157" s="4">
        <v>0.95738017610397674</v>
      </c>
      <c r="W157" s="4">
        <v>1.0452847204328781</v>
      </c>
      <c r="Y157" s="553">
        <v>411.06</v>
      </c>
      <c r="Z157" s="4">
        <v>88.54</v>
      </c>
      <c r="AA157" s="4">
        <v>522.66</v>
      </c>
      <c r="AB157" s="4">
        <v>79.739999999999995</v>
      </c>
      <c r="AC157" s="4">
        <v>0</v>
      </c>
      <c r="AD157" s="4">
        <v>164.63</v>
      </c>
      <c r="AF157" s="4">
        <v>1.028318406964527</v>
      </c>
      <c r="AG157" s="4">
        <v>1.053922152124747</v>
      </c>
      <c r="AH157" s="4">
        <v>1.0535588300509988</v>
      </c>
      <c r="AI157" s="4">
        <v>1.0377407600208224</v>
      </c>
      <c r="AJ157" s="4" t="e">
        <v>#DIV/0!</v>
      </c>
      <c r="AK157" s="4">
        <v>1.1150016931933626</v>
      </c>
      <c r="AM157" s="555">
        <v>45766</v>
      </c>
      <c r="AN157" s="556">
        <v>462.24</v>
      </c>
      <c r="AO157" s="556">
        <v>2291550</v>
      </c>
      <c r="AP157" s="556">
        <v>234.57304999999999</v>
      </c>
      <c r="AQ157" s="556">
        <v>108429.046632</v>
      </c>
      <c r="AR157" s="556">
        <v>1.5235000000000001</v>
      </c>
    </row>
    <row r="158" spans="2:44">
      <c r="B158" s="557">
        <v>44848</v>
      </c>
      <c r="C158" s="553">
        <v>11.043699999999999</v>
      </c>
      <c r="D158" s="553">
        <v>16.158200000000001</v>
      </c>
      <c r="E158" s="553">
        <v>17.918199999999999</v>
      </c>
      <c r="F158" s="553">
        <v>29.920200000000001</v>
      </c>
      <c r="G158" s="553">
        <v>0</v>
      </c>
      <c r="H158" s="553">
        <v>14.5853</v>
      </c>
      <c r="I158" s="557">
        <v>44848</v>
      </c>
      <c r="J158" s="553">
        <v>17.4556</v>
      </c>
      <c r="K158" s="553">
        <v>18.342400000000001</v>
      </c>
      <c r="L158" s="553">
        <v>22.8733</v>
      </c>
      <c r="M158" s="553">
        <v>0</v>
      </c>
      <c r="N158" s="553">
        <v>0</v>
      </c>
      <c r="O158" s="553">
        <v>20.837800000000001</v>
      </c>
      <c r="P158" s="553"/>
      <c r="Q158" s="557">
        <v>44848</v>
      </c>
      <c r="R158" s="4">
        <v>406.11</v>
      </c>
      <c r="S158" s="4">
        <v>11582.54</v>
      </c>
      <c r="T158" s="4">
        <v>815.69</v>
      </c>
      <c r="U158" s="4">
        <v>1.0159353579826889</v>
      </c>
      <c r="V158" s="4">
        <v>1.0275724710005103</v>
      </c>
      <c r="W158" s="4">
        <v>1.0508760628703941</v>
      </c>
      <c r="Y158" s="553">
        <v>406.11</v>
      </c>
      <c r="Z158" s="4">
        <v>82.59</v>
      </c>
      <c r="AA158" s="4">
        <v>464.19</v>
      </c>
      <c r="AB158" s="4">
        <v>75.59</v>
      </c>
      <c r="AC158" s="4">
        <v>0</v>
      </c>
      <c r="AD158" s="4">
        <v>148.26</v>
      </c>
      <c r="AF158" s="4">
        <v>1.0159353579826889</v>
      </c>
      <c r="AG158" s="4">
        <v>0.98309725032734196</v>
      </c>
      <c r="AH158" s="4">
        <v>0.93569715172650125</v>
      </c>
      <c r="AI158" s="4">
        <v>0.98373243102550756</v>
      </c>
      <c r="AJ158" s="4" t="e">
        <v>#DIV/0!</v>
      </c>
      <c r="AK158" s="4">
        <v>1.0041313918049439</v>
      </c>
      <c r="AM158" s="555">
        <v>45765</v>
      </c>
      <c r="AN158" s="556">
        <v>443.36</v>
      </c>
      <c r="AO158" s="556">
        <v>2151484</v>
      </c>
      <c r="AP158" s="556">
        <v>234.57304999999999</v>
      </c>
      <c r="AQ158" s="556">
        <v>104000.30744800001</v>
      </c>
      <c r="AR158" s="556">
        <v>1.4612000000000001</v>
      </c>
    </row>
    <row r="159" spans="2:44">
      <c r="B159" s="557">
        <v>44841</v>
      </c>
      <c r="C159" s="553">
        <v>11.423</v>
      </c>
      <c r="D159" s="553">
        <v>16.3794</v>
      </c>
      <c r="E159" s="553">
        <v>18.9621</v>
      </c>
      <c r="F159" s="553">
        <v>30.388400000000001</v>
      </c>
      <c r="G159" s="553">
        <v>0</v>
      </c>
      <c r="H159" s="553">
        <v>14.536899999999999</v>
      </c>
      <c r="I159" s="557">
        <v>44841</v>
      </c>
      <c r="J159" s="553">
        <v>18.107900000000001</v>
      </c>
      <c r="K159" s="553">
        <v>18.657800000000002</v>
      </c>
      <c r="L159" s="553">
        <v>24.4452</v>
      </c>
      <c r="M159" s="553">
        <v>0</v>
      </c>
      <c r="N159" s="553">
        <v>0</v>
      </c>
      <c r="O159" s="553">
        <v>20.751999999999999</v>
      </c>
      <c r="P159" s="553"/>
      <c r="Q159" s="557">
        <v>44841</v>
      </c>
      <c r="R159" s="4">
        <v>399.74</v>
      </c>
      <c r="S159" s="4">
        <v>11271.75</v>
      </c>
      <c r="T159" s="4">
        <v>776.2</v>
      </c>
      <c r="U159" s="4">
        <v>1</v>
      </c>
      <c r="V159" s="4">
        <v>1</v>
      </c>
      <c r="W159" s="4">
        <v>1</v>
      </c>
      <c r="Y159" s="553">
        <v>399.74</v>
      </c>
      <c r="Z159" s="4">
        <v>84.01</v>
      </c>
      <c r="AA159" s="4">
        <v>496.09</v>
      </c>
      <c r="AB159" s="4">
        <v>76.84</v>
      </c>
      <c r="AC159" s="4">
        <v>0</v>
      </c>
      <c r="AD159" s="4">
        <v>147.65</v>
      </c>
      <c r="AF159" s="4">
        <v>1</v>
      </c>
      <c r="AG159" s="4">
        <v>1</v>
      </c>
      <c r="AH159" s="4">
        <v>1</v>
      </c>
      <c r="AI159" s="4">
        <v>1</v>
      </c>
      <c r="AJ159" s="4" t="e">
        <v>#DIV/0!</v>
      </c>
      <c r="AK159" s="4">
        <v>1</v>
      </c>
      <c r="AM159" s="555">
        <v>45764</v>
      </c>
      <c r="AN159" s="556">
        <v>430.82</v>
      </c>
      <c r="AO159" s="556">
        <v>1968379</v>
      </c>
      <c r="AP159" s="556">
        <v>234.57304999999999</v>
      </c>
      <c r="AQ159" s="556">
        <v>101058.761401</v>
      </c>
      <c r="AR159" s="556">
        <v>1.4198999999999999</v>
      </c>
    </row>
    <row r="160" spans="2:44">
      <c r="B160" s="557">
        <v>44834</v>
      </c>
      <c r="I160" s="557">
        <v>44834</v>
      </c>
      <c r="Q160" s="557">
        <v>44834</v>
      </c>
      <c r="R160" s="4">
        <v>420.58</v>
      </c>
      <c r="S160" s="4">
        <v>11851.54</v>
      </c>
      <c r="T160" s="4">
        <v>792.56</v>
      </c>
      <c r="AM160" s="555">
        <v>45763</v>
      </c>
      <c r="AN160" s="556">
        <v>432.15</v>
      </c>
      <c r="AO160" s="556">
        <v>2392742</v>
      </c>
      <c r="AP160" s="556">
        <v>234.57304999999999</v>
      </c>
      <c r="AQ160" s="556">
        <v>101370.7435575</v>
      </c>
      <c r="AR160" s="556">
        <v>1.4242999999999999</v>
      </c>
    </row>
    <row r="161" spans="2:44">
      <c r="B161" s="557">
        <v>44827</v>
      </c>
      <c r="I161" s="557">
        <v>44827</v>
      </c>
      <c r="Q161" s="557">
        <v>44827</v>
      </c>
      <c r="R161" s="4">
        <v>409.33</v>
      </c>
      <c r="S161" s="4">
        <v>12033.62</v>
      </c>
      <c r="T161" s="4">
        <v>837.77</v>
      </c>
      <c r="AM161" s="555">
        <v>45762</v>
      </c>
      <c r="AN161" s="556">
        <v>432.15</v>
      </c>
      <c r="AO161" s="556">
        <v>2392742</v>
      </c>
      <c r="AP161" s="556">
        <v>234.57304999999999</v>
      </c>
      <c r="AQ161" s="556">
        <v>101370.7435575</v>
      </c>
      <c r="AR161" s="556">
        <v>1.4242999999999999</v>
      </c>
    </row>
    <row r="162" spans="2:44">
      <c r="B162" s="557">
        <v>44820</v>
      </c>
      <c r="I162" s="557">
        <v>44820</v>
      </c>
      <c r="Q162" s="557">
        <v>44820</v>
      </c>
      <c r="R162" s="4">
        <v>417.78</v>
      </c>
      <c r="S162" s="4">
        <v>12011.31</v>
      </c>
      <c r="T162" s="4">
        <v>836.4</v>
      </c>
      <c r="AM162" s="555">
        <v>45761</v>
      </c>
      <c r="AN162" s="556">
        <v>432.15</v>
      </c>
      <c r="AO162" s="556">
        <v>2392742</v>
      </c>
      <c r="AP162" s="556">
        <v>234.57304999999999</v>
      </c>
      <c r="AQ162" s="556">
        <v>101370.7435575</v>
      </c>
      <c r="AR162" s="556">
        <v>1.4242999999999999</v>
      </c>
    </row>
    <row r="163" spans="2:44">
      <c r="AM163" s="555">
        <v>45760</v>
      </c>
      <c r="AN163" s="556">
        <v>454.78</v>
      </c>
      <c r="AO163" s="556">
        <v>1814160</v>
      </c>
      <c r="AP163" s="556">
        <v>234.57304999999999</v>
      </c>
      <c r="AQ163" s="556">
        <v>106679.131679</v>
      </c>
      <c r="AR163" s="556">
        <v>1.4988999999999999</v>
      </c>
    </row>
    <row r="164" spans="2:44">
      <c r="B164" s="370" t="s">
        <v>22</v>
      </c>
      <c r="C164" s="547"/>
      <c r="D164" s="23"/>
      <c r="E164" s="4">
        <v>0.47389218211174011</v>
      </c>
      <c r="F164" s="4" t="s">
        <v>1280</v>
      </c>
      <c r="AM164" s="555">
        <v>45759</v>
      </c>
      <c r="AN164" s="556">
        <v>452.87</v>
      </c>
      <c r="AO164" s="556">
        <v>1270320</v>
      </c>
      <c r="AP164" s="556">
        <v>234.57304999999999</v>
      </c>
      <c r="AQ164" s="556">
        <v>106231.0971535</v>
      </c>
      <c r="AR164" s="556">
        <v>1.4925999999999999</v>
      </c>
    </row>
    <row r="165" spans="2:44">
      <c r="B165" s="370" t="s">
        <v>24</v>
      </c>
      <c r="C165" s="23"/>
      <c r="D165" s="23"/>
      <c r="E165" s="4">
        <v>0.30410839080810548</v>
      </c>
      <c r="F165" s="4" t="s">
        <v>1281</v>
      </c>
      <c r="AM165" s="555">
        <v>45758</v>
      </c>
      <c r="AN165" s="556">
        <v>448.64</v>
      </c>
      <c r="AO165" s="556">
        <v>1042421</v>
      </c>
      <c r="AP165" s="556">
        <v>234.57304999999999</v>
      </c>
      <c r="AQ165" s="556">
        <v>105238.853152</v>
      </c>
      <c r="AR165" s="556">
        <v>1.4785999999999999</v>
      </c>
    </row>
    <row r="166" spans="2:44">
      <c r="B166" s="370" t="s">
        <v>26</v>
      </c>
      <c r="C166" s="23"/>
      <c r="D166" s="23"/>
      <c r="E166" s="4">
        <v>458.92349243164063</v>
      </c>
      <c r="F166" s="4" t="s">
        <v>1282</v>
      </c>
      <c r="AM166" s="555">
        <v>45757</v>
      </c>
      <c r="AN166" s="556">
        <v>446.71</v>
      </c>
      <c r="AO166" s="556">
        <v>1690178</v>
      </c>
      <c r="AP166" s="556">
        <v>234.57304999999999</v>
      </c>
      <c r="AQ166" s="556">
        <v>104786.12716549999</v>
      </c>
      <c r="AR166" s="556">
        <v>1.4722999999999999</v>
      </c>
    </row>
    <row r="167" spans="2:44">
      <c r="B167" s="370"/>
      <c r="C167" s="23"/>
      <c r="D167" s="23"/>
      <c r="AM167" s="555">
        <v>45756</v>
      </c>
      <c r="AN167" s="556">
        <v>441.49</v>
      </c>
      <c r="AO167" s="556">
        <v>1595839</v>
      </c>
      <c r="AP167" s="556">
        <v>234.57304999999999</v>
      </c>
      <c r="AQ167" s="556">
        <v>103561.6558445</v>
      </c>
      <c r="AR167" s="556">
        <v>1.4803999999999999</v>
      </c>
    </row>
    <row r="168" spans="2:44">
      <c r="B168" s="370" t="s">
        <v>28</v>
      </c>
      <c r="C168" s="23"/>
      <c r="D168" s="23"/>
      <c r="E168" s="4">
        <v>1383397</v>
      </c>
      <c r="F168" s="4" t="s">
        <v>1283</v>
      </c>
      <c r="AM168" s="555">
        <v>45755</v>
      </c>
      <c r="AN168" s="556">
        <v>441.49</v>
      </c>
      <c r="AO168" s="556">
        <v>1595839</v>
      </c>
      <c r="AP168" s="556">
        <v>234.57304999999999</v>
      </c>
      <c r="AQ168" s="556">
        <v>103561.6558445</v>
      </c>
      <c r="AR168" s="556">
        <v>1.4803999999999999</v>
      </c>
    </row>
    <row r="169" spans="2:44">
      <c r="B169" s="370" t="s">
        <v>655</v>
      </c>
      <c r="C169" s="23"/>
      <c r="D169" s="23"/>
      <c r="E169" s="4">
        <v>233.46509999999998</v>
      </c>
      <c r="F169" s="4" t="s">
        <v>1284</v>
      </c>
      <c r="AM169" s="555">
        <v>45754</v>
      </c>
      <c r="AN169" s="556">
        <v>441.49</v>
      </c>
      <c r="AO169" s="556">
        <v>1595839</v>
      </c>
      <c r="AP169" s="556">
        <v>234.57304999999999</v>
      </c>
      <c r="AQ169" s="556">
        <v>103561.6558445</v>
      </c>
      <c r="AR169" s="556">
        <v>1.4803999999999999</v>
      </c>
    </row>
    <row r="170" spans="2:44">
      <c r="B170" s="370" t="s">
        <v>32</v>
      </c>
      <c r="C170" s="23"/>
      <c r="D170" s="23"/>
      <c r="E170" s="577">
        <v>0.99923770000000001</v>
      </c>
      <c r="F170" s="4" t="s">
        <v>1285</v>
      </c>
      <c r="AM170" s="555">
        <v>45753</v>
      </c>
      <c r="AN170" s="556">
        <v>442.28</v>
      </c>
      <c r="AO170" s="556">
        <v>1559606</v>
      </c>
      <c r="AP170" s="556">
        <v>234.57304999999999</v>
      </c>
      <c r="AQ170" s="556">
        <v>103746.96855399999</v>
      </c>
      <c r="AR170" s="556">
        <v>1.4831000000000001</v>
      </c>
    </row>
    <row r="171" spans="2:44">
      <c r="B171" s="370" t="s">
        <v>34</v>
      </c>
      <c r="C171" s="23"/>
      <c r="D171" s="23"/>
      <c r="E171" s="577">
        <v>8.9563809999999994E-3</v>
      </c>
      <c r="F171" s="4" t="s">
        <v>1286</v>
      </c>
      <c r="AM171" s="555">
        <v>45752</v>
      </c>
      <c r="AN171" s="556">
        <v>445.17</v>
      </c>
      <c r="AO171" s="556">
        <v>1349944</v>
      </c>
      <c r="AP171" s="556">
        <v>235.38589999999999</v>
      </c>
      <c r="AQ171" s="556">
        <v>104786.74110300001</v>
      </c>
      <c r="AR171" s="556">
        <v>1.4927999999999999</v>
      </c>
    </row>
    <row r="172" spans="2:44">
      <c r="B172" s="370"/>
      <c r="C172" s="23"/>
      <c r="D172" s="23"/>
      <c r="AM172" s="555">
        <v>45751</v>
      </c>
      <c r="AN172" s="556">
        <v>442.07</v>
      </c>
      <c r="AO172" s="556">
        <v>1600166</v>
      </c>
      <c r="AP172" s="556">
        <v>235.38589999999999</v>
      </c>
      <c r="AQ172" s="556">
        <v>104057.044813</v>
      </c>
      <c r="AR172" s="556">
        <v>1.4823999999999999</v>
      </c>
    </row>
    <row r="173" spans="2:44">
      <c r="B173" s="370" t="s">
        <v>1287</v>
      </c>
      <c r="C173" s="23"/>
      <c r="D173" s="23"/>
      <c r="E173" s="577">
        <v>7.4818528122618747E-4</v>
      </c>
      <c r="F173" s="4" t="s">
        <v>1288</v>
      </c>
      <c r="AM173" s="555">
        <v>45750</v>
      </c>
      <c r="AN173" s="556">
        <v>434.98</v>
      </c>
      <c r="AO173" s="556">
        <v>3015364</v>
      </c>
      <c r="AP173" s="556">
        <v>235.38589999999999</v>
      </c>
      <c r="AQ173" s="556">
        <v>102388.158782</v>
      </c>
      <c r="AR173" s="556">
        <v>1.4585999999999999</v>
      </c>
    </row>
    <row r="174" spans="2:44">
      <c r="B174" s="370" t="s">
        <v>38</v>
      </c>
      <c r="C174" s="23"/>
      <c r="D174" s="23"/>
      <c r="E174" s="577">
        <v>0.7811379510003208</v>
      </c>
      <c r="F174" s="4" t="s">
        <v>1289</v>
      </c>
      <c r="AM174" s="555">
        <v>45749</v>
      </c>
      <c r="AN174" s="556">
        <v>439.7</v>
      </c>
      <c r="AO174" s="556">
        <v>7141725</v>
      </c>
      <c r="AP174" s="556">
        <v>235.38589999999999</v>
      </c>
      <c r="AQ174" s="556">
        <v>103499.18023</v>
      </c>
      <c r="AR174" s="556">
        <v>1.4743999999999999</v>
      </c>
    </row>
    <row r="175" spans="2:44">
      <c r="AM175" s="555">
        <v>45748</v>
      </c>
      <c r="AN175" s="556">
        <v>439.7</v>
      </c>
      <c r="AO175" s="556">
        <v>7141725</v>
      </c>
      <c r="AP175" s="556">
        <v>235.38589999999999</v>
      </c>
      <c r="AQ175" s="556">
        <v>103499.18023</v>
      </c>
      <c r="AR175" s="556">
        <v>1.4743999999999999</v>
      </c>
    </row>
    <row r="176" spans="2:44">
      <c r="B176" s="370"/>
      <c r="C176" s="23"/>
      <c r="D176" s="23"/>
      <c r="AM176" s="555">
        <v>45747</v>
      </c>
      <c r="AN176" s="556">
        <v>439.7</v>
      </c>
      <c r="AO176" s="556">
        <v>7141725</v>
      </c>
      <c r="AP176" s="556">
        <v>235.38589999999999</v>
      </c>
      <c r="AQ176" s="556">
        <v>103499.18023</v>
      </c>
      <c r="AR176" s="556">
        <v>1.4743999999999999</v>
      </c>
    </row>
    <row r="177" spans="2:44">
      <c r="B177" s="370"/>
      <c r="C177" s="23"/>
      <c r="D177" s="23"/>
      <c r="E177" s="577"/>
      <c r="AM177" s="555">
        <v>45746</v>
      </c>
      <c r="AN177" s="556">
        <v>466.74</v>
      </c>
      <c r="AO177" s="556">
        <v>922084</v>
      </c>
      <c r="AP177" s="556">
        <v>235.38589999999999</v>
      </c>
      <c r="AQ177" s="556">
        <v>109864.014966</v>
      </c>
      <c r="AR177" s="556">
        <v>1.5650999999999999</v>
      </c>
    </row>
    <row r="178" spans="2:44">
      <c r="B178" s="370"/>
      <c r="C178" s="23"/>
      <c r="D178" s="23"/>
      <c r="E178" s="577"/>
      <c r="AM178" s="555">
        <v>45745</v>
      </c>
      <c r="AN178" s="556">
        <v>470.55</v>
      </c>
      <c r="AO178" s="556">
        <v>1122652</v>
      </c>
      <c r="AP178" s="556">
        <v>235.38589999999999</v>
      </c>
      <c r="AQ178" s="556">
        <v>110760.83524499999</v>
      </c>
      <c r="AR178" s="556">
        <v>1.5779000000000001</v>
      </c>
    </row>
    <row r="179" spans="2:44">
      <c r="B179" s="370"/>
      <c r="C179" s="23"/>
      <c r="D179" s="23"/>
      <c r="E179" s="577"/>
      <c r="AM179" s="555">
        <v>45744</v>
      </c>
      <c r="AN179" s="556">
        <v>469.28</v>
      </c>
      <c r="AO179" s="556">
        <v>881956</v>
      </c>
      <c r="AP179" s="556">
        <v>235.38589999999999</v>
      </c>
      <c r="AQ179" s="556">
        <v>110461.89515199998</v>
      </c>
      <c r="AR179" s="556">
        <v>1.5736000000000001</v>
      </c>
    </row>
    <row r="180" spans="2:44">
      <c r="AM180" s="555">
        <v>45743</v>
      </c>
      <c r="AN180" s="556">
        <v>467.61</v>
      </c>
      <c r="AO180" s="556">
        <v>1051563</v>
      </c>
      <c r="AP180" s="556">
        <v>235.38589999999999</v>
      </c>
      <c r="AQ180" s="556">
        <v>110068.800699</v>
      </c>
      <c r="AR180" s="556">
        <v>1.5680000000000001</v>
      </c>
    </row>
    <row r="181" spans="2:44">
      <c r="AM181" s="555">
        <v>45742</v>
      </c>
      <c r="AN181" s="556">
        <v>466.17</v>
      </c>
      <c r="AO181" s="556">
        <v>972659</v>
      </c>
      <c r="AP181" s="556">
        <v>235.38589999999999</v>
      </c>
      <c r="AQ181" s="556">
        <v>109729.84500299999</v>
      </c>
      <c r="AR181" s="556">
        <v>1.5631999999999999</v>
      </c>
    </row>
    <row r="182" spans="2:44">
      <c r="AM182" s="555">
        <v>45741</v>
      </c>
      <c r="AN182" s="556">
        <v>466.17</v>
      </c>
      <c r="AO182" s="556">
        <v>972659</v>
      </c>
      <c r="AP182" s="556">
        <v>235.38589999999999</v>
      </c>
      <c r="AQ182" s="556">
        <v>109729.84500299999</v>
      </c>
      <c r="AR182" s="556">
        <v>1.5631999999999999</v>
      </c>
    </row>
    <row r="183" spans="2:44">
      <c r="AM183" s="555">
        <v>45740</v>
      </c>
      <c r="AN183" s="556">
        <v>466.17</v>
      </c>
      <c r="AO183" s="556">
        <v>972659</v>
      </c>
      <c r="AP183" s="556">
        <v>235.38589999999999</v>
      </c>
      <c r="AQ183" s="556">
        <v>109729.84500299999</v>
      </c>
      <c r="AR183" s="556">
        <v>1.5631999999999999</v>
      </c>
    </row>
    <row r="184" spans="2:44">
      <c r="AM184" s="555">
        <v>45739</v>
      </c>
      <c r="AN184" s="556">
        <v>467.93</v>
      </c>
      <c r="AO184" s="556">
        <v>1159511</v>
      </c>
      <c r="AP184" s="556">
        <v>235.38589999999999</v>
      </c>
      <c r="AQ184" s="556">
        <v>110144.12418699999</v>
      </c>
      <c r="AR184" s="556">
        <v>1.5690999999999999</v>
      </c>
    </row>
    <row r="185" spans="2:44">
      <c r="AM185" s="555">
        <v>45738</v>
      </c>
      <c r="AN185" s="556">
        <v>461.5</v>
      </c>
      <c r="AO185" s="556">
        <v>1271506</v>
      </c>
      <c r="AP185" s="556">
        <v>235.38589999999999</v>
      </c>
      <c r="AQ185" s="556">
        <v>108630.59285</v>
      </c>
      <c r="AR185" s="556">
        <v>1.5475000000000001</v>
      </c>
    </row>
    <row r="186" spans="2:44">
      <c r="AM186" s="555">
        <v>45737</v>
      </c>
      <c r="AN186" s="556">
        <v>468.88</v>
      </c>
      <c r="AO186" s="556">
        <v>1457086</v>
      </c>
      <c r="AP186" s="556">
        <v>235.38589999999999</v>
      </c>
      <c r="AQ186" s="556">
        <v>110367.740792</v>
      </c>
      <c r="AR186" s="556">
        <v>1.5723</v>
      </c>
    </row>
    <row r="187" spans="2:44">
      <c r="AM187" s="555">
        <v>45736</v>
      </c>
      <c r="AN187" s="556">
        <v>479.17</v>
      </c>
      <c r="AO187" s="556">
        <v>2284410</v>
      </c>
      <c r="AP187" s="556">
        <v>235.38589999999999</v>
      </c>
      <c r="AQ187" s="556">
        <v>112789.861703</v>
      </c>
      <c r="AR187" s="556">
        <v>1.6068</v>
      </c>
    </row>
    <row r="188" spans="2:44">
      <c r="AM188" s="555">
        <v>45735</v>
      </c>
      <c r="AN188" s="556">
        <v>473.65</v>
      </c>
      <c r="AO188" s="556">
        <v>2169135</v>
      </c>
      <c r="AP188" s="556">
        <v>235.38589999999999</v>
      </c>
      <c r="AQ188" s="556">
        <v>111490.53153499999</v>
      </c>
      <c r="AR188" s="556">
        <v>1.5883</v>
      </c>
    </row>
    <row r="189" spans="2:44">
      <c r="AM189" s="555">
        <v>45734</v>
      </c>
      <c r="AN189" s="556">
        <v>473.65</v>
      </c>
      <c r="AO189" s="556">
        <v>2169135</v>
      </c>
      <c r="AP189" s="556">
        <v>235.38589999999999</v>
      </c>
      <c r="AQ189" s="556">
        <v>111490.53153499999</v>
      </c>
      <c r="AR189" s="556">
        <v>1.5883</v>
      </c>
    </row>
    <row r="190" spans="2:44">
      <c r="AM190" s="555">
        <v>45733</v>
      </c>
      <c r="AN190" s="556">
        <v>473.65</v>
      </c>
      <c r="AO190" s="556">
        <v>2169135</v>
      </c>
      <c r="AP190" s="556">
        <v>235.38589999999999</v>
      </c>
      <c r="AQ190" s="556">
        <v>111490.53153499999</v>
      </c>
      <c r="AR190" s="556">
        <v>1.5883</v>
      </c>
    </row>
    <row r="191" spans="2:44">
      <c r="AM191" s="555">
        <v>45732</v>
      </c>
      <c r="AN191" s="556">
        <v>461.5</v>
      </c>
      <c r="AO191" s="556">
        <v>1395779</v>
      </c>
      <c r="AP191" s="556">
        <v>235.38589999999999</v>
      </c>
      <c r="AQ191" s="556">
        <v>108630.59285</v>
      </c>
      <c r="AR191" s="556">
        <v>1.5475000000000001</v>
      </c>
    </row>
    <row r="192" spans="2:44">
      <c r="AM192" s="555">
        <v>45731</v>
      </c>
      <c r="AN192" s="556">
        <v>460.42</v>
      </c>
      <c r="AO192" s="556">
        <v>2060073</v>
      </c>
      <c r="AP192" s="556">
        <v>235.38589999999999</v>
      </c>
      <c r="AQ192" s="556">
        <v>108376.376078</v>
      </c>
      <c r="AR192" s="556">
        <v>1.5439000000000001</v>
      </c>
    </row>
    <row r="193" spans="39:44">
      <c r="AM193" s="555">
        <v>45730</v>
      </c>
      <c r="AN193" s="556">
        <v>448.82</v>
      </c>
      <c r="AO193" s="556">
        <v>2268654</v>
      </c>
      <c r="AP193" s="556">
        <v>235.38589999999999</v>
      </c>
      <c r="AQ193" s="556">
        <v>105645.89963799999</v>
      </c>
      <c r="AR193" s="556">
        <v>1.5049999999999999</v>
      </c>
    </row>
    <row r="194" spans="39:44">
      <c r="AM194" s="555">
        <v>45729</v>
      </c>
      <c r="AN194" s="556">
        <v>451.94</v>
      </c>
      <c r="AO194" s="556">
        <v>1579417</v>
      </c>
      <c r="AP194" s="556">
        <v>235.38589999999999</v>
      </c>
      <c r="AQ194" s="556">
        <v>106380.303646</v>
      </c>
      <c r="AR194" s="556">
        <v>1.5155000000000001</v>
      </c>
    </row>
    <row r="195" spans="39:44">
      <c r="AM195" s="555">
        <v>45728</v>
      </c>
      <c r="AN195" s="556">
        <v>450.37</v>
      </c>
      <c r="AO195" s="556">
        <v>1433568</v>
      </c>
      <c r="AP195" s="556">
        <v>235.38589999999999</v>
      </c>
      <c r="AQ195" s="556">
        <v>106010.747783</v>
      </c>
      <c r="AR195" s="556">
        <v>1.5102</v>
      </c>
    </row>
    <row r="196" spans="39:44">
      <c r="AM196" s="555">
        <v>45727</v>
      </c>
      <c r="AN196" s="556">
        <v>450.37</v>
      </c>
      <c r="AO196" s="556">
        <v>1433568</v>
      </c>
      <c r="AP196" s="556">
        <v>235.38589999999999</v>
      </c>
      <c r="AQ196" s="556">
        <v>106010.747783</v>
      </c>
      <c r="AR196" s="556">
        <v>1.5102</v>
      </c>
    </row>
    <row r="197" spans="39:44">
      <c r="AM197" s="555">
        <v>45726</v>
      </c>
      <c r="AN197" s="556">
        <v>450.37</v>
      </c>
      <c r="AO197" s="556">
        <v>1433568</v>
      </c>
      <c r="AP197" s="556">
        <v>235.38589999999999</v>
      </c>
      <c r="AQ197" s="556">
        <v>106010.747783</v>
      </c>
      <c r="AR197" s="556">
        <v>1.5102</v>
      </c>
    </row>
    <row r="198" spans="39:44">
      <c r="AM198" s="555">
        <v>45725</v>
      </c>
      <c r="AN198" s="556">
        <v>446.46</v>
      </c>
      <c r="AO198" s="556">
        <v>1458062</v>
      </c>
      <c r="AP198" s="556">
        <v>235.38589999999999</v>
      </c>
      <c r="AQ198" s="556">
        <v>105090.388914</v>
      </c>
      <c r="AR198" s="556">
        <v>1.4971000000000001</v>
      </c>
    </row>
    <row r="199" spans="39:44">
      <c r="AM199" s="555">
        <v>45724</v>
      </c>
      <c r="AN199" s="556">
        <v>441.5</v>
      </c>
      <c r="AO199" s="556">
        <v>1467161</v>
      </c>
      <c r="AP199" s="556">
        <v>235.38589999999999</v>
      </c>
      <c r="AQ199" s="556">
        <v>103922.87484999999</v>
      </c>
      <c r="AR199" s="556">
        <v>1.4804999999999999</v>
      </c>
    </row>
    <row r="200" spans="39:44">
      <c r="AM200" s="555">
        <v>45723</v>
      </c>
      <c r="AN200" s="556">
        <v>448.46</v>
      </c>
      <c r="AO200" s="556">
        <v>1715745</v>
      </c>
      <c r="AP200" s="556">
        <v>235.38589999999999</v>
      </c>
      <c r="AQ200" s="556">
        <v>105561.160714</v>
      </c>
      <c r="AR200" s="556">
        <v>1.5038</v>
      </c>
    </row>
    <row r="201" spans="39:44">
      <c r="AM201" s="555">
        <v>45722</v>
      </c>
      <c r="AN201" s="556">
        <v>440.27</v>
      </c>
      <c r="AO201" s="556">
        <v>1946160</v>
      </c>
      <c r="AP201" s="556">
        <v>235.38589999999999</v>
      </c>
      <c r="AQ201" s="556">
        <v>103633.35019299999</v>
      </c>
      <c r="AR201" s="556">
        <v>1.4762999999999999</v>
      </c>
    </row>
    <row r="202" spans="39:44">
      <c r="AM202" s="555">
        <v>45721</v>
      </c>
      <c r="AN202" s="556">
        <v>440.72</v>
      </c>
      <c r="AO202" s="556">
        <v>1652401</v>
      </c>
      <c r="AP202" s="556">
        <v>235.38589999999999</v>
      </c>
      <c r="AQ202" s="556">
        <v>103739.273848</v>
      </c>
      <c r="AR202" s="556">
        <v>1.4778</v>
      </c>
    </row>
    <row r="203" spans="39:44">
      <c r="AM203" s="555">
        <v>45720</v>
      </c>
      <c r="AN203" s="556">
        <v>440.72</v>
      </c>
      <c r="AO203" s="556">
        <v>1652401</v>
      </c>
      <c r="AP203" s="556">
        <v>235.38589999999999</v>
      </c>
      <c r="AQ203" s="556">
        <v>103739.273848</v>
      </c>
      <c r="AR203" s="556">
        <v>1.4778</v>
      </c>
    </row>
    <row r="204" spans="39:44">
      <c r="AM204" s="555">
        <v>45719</v>
      </c>
      <c r="AN204" s="556">
        <v>440.72</v>
      </c>
      <c r="AO204" s="556">
        <v>1652401</v>
      </c>
      <c r="AP204" s="556">
        <v>235.38589999999999</v>
      </c>
      <c r="AQ204" s="556">
        <v>103739.273848</v>
      </c>
      <c r="AR204" s="556">
        <v>1.4778</v>
      </c>
    </row>
    <row r="205" spans="39:44">
      <c r="AM205" s="555">
        <v>45718</v>
      </c>
      <c r="AN205" s="556">
        <v>436.29</v>
      </c>
      <c r="AO205" s="556">
        <v>1357981</v>
      </c>
      <c r="AP205" s="556">
        <v>235.38589999999999</v>
      </c>
      <c r="AQ205" s="556">
        <v>102696.51431100001</v>
      </c>
      <c r="AR205" s="556">
        <v>1.4630000000000001</v>
      </c>
    </row>
    <row r="206" spans="39:44">
      <c r="AM206" s="555">
        <v>45717</v>
      </c>
      <c r="AN206" s="556">
        <v>432.95</v>
      </c>
      <c r="AO206" s="556">
        <v>2802115</v>
      </c>
      <c r="AP206" s="556">
        <v>235.38589999999999</v>
      </c>
      <c r="AQ206" s="556">
        <v>101910.325405</v>
      </c>
      <c r="AR206" s="556">
        <v>1.4518</v>
      </c>
    </row>
    <row r="207" spans="39:44">
      <c r="AM207" s="555">
        <v>45716</v>
      </c>
      <c r="AN207" s="556">
        <v>428.54</v>
      </c>
      <c r="AO207" s="556">
        <v>2812914</v>
      </c>
      <c r="AP207" s="556">
        <v>235.38589999999999</v>
      </c>
      <c r="AQ207" s="556">
        <v>100872.273586</v>
      </c>
      <c r="AR207" s="556">
        <v>1.4370000000000001</v>
      </c>
    </row>
    <row r="208" spans="39:44">
      <c r="AM208" s="555">
        <v>45715</v>
      </c>
      <c r="AN208" s="556">
        <v>423.19</v>
      </c>
      <c r="AO208" s="556">
        <v>3252806</v>
      </c>
      <c r="AP208" s="556">
        <v>235.38589999999999</v>
      </c>
      <c r="AQ208" s="556">
        <v>99612.959021000002</v>
      </c>
      <c r="AR208" s="556">
        <v>1.4191</v>
      </c>
    </row>
    <row r="209" spans="39:44">
      <c r="AM209" s="555">
        <v>45714</v>
      </c>
      <c r="AN209" s="556">
        <v>423.19</v>
      </c>
      <c r="AO209" s="556">
        <v>3252806</v>
      </c>
      <c r="AP209" s="556">
        <v>235.38589999999999</v>
      </c>
      <c r="AQ209" s="556">
        <v>99612.959021000002</v>
      </c>
      <c r="AR209" s="556">
        <v>1.4191</v>
      </c>
    </row>
    <row r="210" spans="39:44">
      <c r="AM210" s="555">
        <v>45713</v>
      </c>
      <c r="AN210" s="556">
        <v>423.19</v>
      </c>
      <c r="AO210" s="556">
        <v>3252806</v>
      </c>
      <c r="AP210" s="556">
        <v>235.38589999999999</v>
      </c>
      <c r="AQ210" s="556">
        <v>99612.959021000002</v>
      </c>
      <c r="AR210" s="556">
        <v>1.4191</v>
      </c>
    </row>
    <row r="211" spans="39:44">
      <c r="AM211" s="555">
        <v>45712</v>
      </c>
      <c r="AN211" s="556">
        <v>423.19</v>
      </c>
      <c r="AO211" s="556">
        <v>3252806</v>
      </c>
      <c r="AP211" s="556">
        <v>235.38589999999999</v>
      </c>
      <c r="AQ211" s="556">
        <v>99612.959021000002</v>
      </c>
      <c r="AR211" s="556">
        <v>1.4191</v>
      </c>
    </row>
    <row r="212" spans="39:44">
      <c r="AM212" s="555">
        <v>45711</v>
      </c>
      <c r="AN212" s="556">
        <v>434.72</v>
      </c>
      <c r="AO212" s="556">
        <v>2400020</v>
      </c>
      <c r="AP212" s="556">
        <v>235.38589999999999</v>
      </c>
      <c r="AQ212" s="556">
        <v>102326.958448</v>
      </c>
      <c r="AR212" s="556">
        <v>1.4577</v>
      </c>
    </row>
    <row r="213" spans="39:44">
      <c r="AM213" s="555">
        <v>45710</v>
      </c>
      <c r="AN213" s="556">
        <v>441.97</v>
      </c>
      <c r="AO213" s="556">
        <v>1283227</v>
      </c>
      <c r="AP213" s="556">
        <v>235.38589999999999</v>
      </c>
      <c r="AQ213" s="556">
        <v>104033.506223</v>
      </c>
      <c r="AR213" s="556">
        <v>1.482</v>
      </c>
    </row>
    <row r="214" spans="39:44">
      <c r="AM214" s="555">
        <v>45709</v>
      </c>
      <c r="AN214" s="556">
        <v>449.36</v>
      </c>
      <c r="AO214" s="556">
        <v>906230</v>
      </c>
      <c r="AP214" s="556">
        <v>235.38589999999999</v>
      </c>
      <c r="AQ214" s="556">
        <v>105773.008024</v>
      </c>
      <c r="AR214" s="556">
        <v>1.5067999999999999</v>
      </c>
    </row>
    <row r="215" spans="39:44">
      <c r="AM215" s="555">
        <v>45708</v>
      </c>
      <c r="AN215" s="556">
        <v>448.22</v>
      </c>
      <c r="AO215" s="556">
        <v>1427815</v>
      </c>
      <c r="AP215" s="556">
        <v>235.38589999999999</v>
      </c>
      <c r="AQ215" s="556">
        <v>105504.66809800001</v>
      </c>
      <c r="AR215" s="556">
        <v>1.5029999999999999</v>
      </c>
    </row>
    <row r="216" spans="39:44">
      <c r="AM216" s="555">
        <v>45707</v>
      </c>
      <c r="AN216" s="556">
        <v>444.39</v>
      </c>
      <c r="AO216" s="556">
        <v>1347367</v>
      </c>
      <c r="AP216" s="556">
        <v>235.38589999999999</v>
      </c>
      <c r="AQ216" s="556">
        <v>104603.140101</v>
      </c>
      <c r="AR216" s="556">
        <v>1.4902</v>
      </c>
    </row>
    <row r="217" spans="39:44">
      <c r="AM217" s="555">
        <v>45706</v>
      </c>
      <c r="AN217" s="556">
        <v>444.39</v>
      </c>
      <c r="AO217" s="556">
        <v>1347367</v>
      </c>
      <c r="AP217" s="556">
        <v>235.38589999999999</v>
      </c>
      <c r="AQ217" s="556">
        <v>104603.140101</v>
      </c>
      <c r="AR217" s="556">
        <v>1.4902</v>
      </c>
    </row>
    <row r="218" spans="39:44">
      <c r="AM218" s="555">
        <v>45705</v>
      </c>
      <c r="AN218" s="556">
        <v>444.39</v>
      </c>
      <c r="AO218" s="556">
        <v>1347367</v>
      </c>
      <c r="AP218" s="556">
        <v>235.38589999999999</v>
      </c>
      <c r="AQ218" s="556">
        <v>104603.140101</v>
      </c>
      <c r="AR218" s="556">
        <v>1.4902</v>
      </c>
    </row>
    <row r="219" spans="39:44">
      <c r="AM219" s="555">
        <v>45704</v>
      </c>
      <c r="AN219" s="556">
        <v>448.52</v>
      </c>
      <c r="AO219" s="556">
        <v>1292115</v>
      </c>
      <c r="AP219" s="556">
        <v>235.38589999999999</v>
      </c>
      <c r="AQ219" s="556">
        <v>105575.283868</v>
      </c>
      <c r="AR219" s="556">
        <v>1.504</v>
      </c>
    </row>
    <row r="220" spans="39:44">
      <c r="AM220" s="555">
        <v>45703</v>
      </c>
      <c r="AN220" s="556">
        <v>449.87</v>
      </c>
      <c r="AO220" s="556">
        <v>1139696</v>
      </c>
      <c r="AP220" s="556">
        <v>235.38589999999999</v>
      </c>
      <c r="AQ220" s="556">
        <v>105893.054833</v>
      </c>
      <c r="AR220" s="556">
        <v>1.5085</v>
      </c>
    </row>
    <row r="221" spans="39:44">
      <c r="AM221" s="555">
        <v>45702</v>
      </c>
      <c r="AN221" s="556">
        <v>453.68</v>
      </c>
      <c r="AO221" s="556">
        <v>1234237</v>
      </c>
      <c r="AP221" s="556">
        <v>235.38589999999999</v>
      </c>
      <c r="AQ221" s="556">
        <v>106789.87511199999</v>
      </c>
      <c r="AR221" s="556">
        <v>1.5213000000000001</v>
      </c>
    </row>
    <row r="222" spans="39:44">
      <c r="AM222" s="555">
        <v>45701</v>
      </c>
      <c r="AN222" s="556">
        <v>455.42</v>
      </c>
      <c r="AO222" s="556">
        <v>1476323</v>
      </c>
      <c r="AP222" s="556">
        <v>235.38589999999999</v>
      </c>
      <c r="AQ222" s="556">
        <v>107199.446578</v>
      </c>
      <c r="AR222" s="556">
        <v>1.5270999999999999</v>
      </c>
    </row>
    <row r="223" spans="39:44">
      <c r="AM223" s="555">
        <v>45700</v>
      </c>
      <c r="AN223" s="556">
        <v>462.95</v>
      </c>
      <c r="AO223" s="556">
        <v>1474589</v>
      </c>
      <c r="AP223" s="556">
        <v>235.38589999999999</v>
      </c>
      <c r="AQ223" s="556">
        <v>108971.902405</v>
      </c>
      <c r="AR223" s="556">
        <v>1.5524</v>
      </c>
    </row>
    <row r="224" spans="39:44">
      <c r="AM224" s="555">
        <v>45699</v>
      </c>
      <c r="AN224" s="556">
        <v>462.95</v>
      </c>
      <c r="AO224" s="556">
        <v>1474589</v>
      </c>
      <c r="AP224" s="556">
        <v>235.38589999999999</v>
      </c>
      <c r="AQ224" s="556">
        <v>108971.902405</v>
      </c>
      <c r="AR224" s="556">
        <v>1.5524</v>
      </c>
    </row>
    <row r="225" spans="39:44">
      <c r="AM225" s="555">
        <v>45698</v>
      </c>
      <c r="AN225" s="556">
        <v>462.95</v>
      </c>
      <c r="AO225" s="556">
        <v>1474589</v>
      </c>
      <c r="AP225" s="556">
        <v>235.38589999999999</v>
      </c>
      <c r="AQ225" s="556">
        <v>108971.902405</v>
      </c>
      <c r="AR225" s="556">
        <v>1.5524</v>
      </c>
    </row>
    <row r="226" spans="39:44">
      <c r="AM226" s="555">
        <v>45697</v>
      </c>
      <c r="AN226" s="556">
        <v>459.65</v>
      </c>
      <c r="AO226" s="556">
        <v>1911777</v>
      </c>
      <c r="AP226" s="556">
        <v>235.38589999999999</v>
      </c>
      <c r="AQ226" s="556">
        <v>108195.12893499999</v>
      </c>
      <c r="AR226" s="556">
        <v>1.5412999999999999</v>
      </c>
    </row>
    <row r="227" spans="39:44">
      <c r="AM227" s="555">
        <v>45696</v>
      </c>
      <c r="AN227" s="556">
        <v>454.36</v>
      </c>
      <c r="AO227" s="556">
        <v>2396823</v>
      </c>
      <c r="AP227" s="556">
        <v>235.38589999999999</v>
      </c>
      <c r="AQ227" s="556">
        <v>106949.93752399999</v>
      </c>
      <c r="AR227" s="556">
        <v>1.5236000000000001</v>
      </c>
    </row>
    <row r="228" spans="39:44">
      <c r="AM228" s="555">
        <v>45695</v>
      </c>
      <c r="AN228" s="556">
        <v>457.45</v>
      </c>
      <c r="AO228" s="556">
        <v>4023939</v>
      </c>
      <c r="AP228" s="556">
        <v>235.38589999999999</v>
      </c>
      <c r="AQ228" s="556">
        <v>107677.27995499999</v>
      </c>
      <c r="AR228" s="556">
        <v>1.5339</v>
      </c>
    </row>
    <row r="229" spans="39:44">
      <c r="AM229" s="555">
        <v>45694</v>
      </c>
      <c r="AN229" s="556">
        <v>503.69</v>
      </c>
      <c r="AO229" s="556">
        <v>1948555</v>
      </c>
      <c r="AP229" s="556">
        <v>237.03527</v>
      </c>
      <c r="AQ229" s="556">
        <v>119392.29514629999</v>
      </c>
      <c r="AR229" s="556">
        <v>1.6890000000000001</v>
      </c>
    </row>
    <row r="230" spans="39:44">
      <c r="AM230" s="555">
        <v>45693</v>
      </c>
      <c r="AN230" s="556">
        <v>496.96</v>
      </c>
      <c r="AO230" s="556">
        <v>759695</v>
      </c>
      <c r="AP230" s="556">
        <v>237.03527</v>
      </c>
      <c r="AQ230" s="556">
        <v>117797.04777919999</v>
      </c>
      <c r="AR230" s="556">
        <v>1.6664000000000001</v>
      </c>
    </row>
    <row r="231" spans="39:44">
      <c r="AM231" s="555">
        <v>45692</v>
      </c>
      <c r="AN231" s="556">
        <v>496.96</v>
      </c>
      <c r="AO231" s="556">
        <v>759695</v>
      </c>
      <c r="AP231" s="556">
        <v>237.03527</v>
      </c>
      <c r="AQ231" s="556">
        <v>117797.04777919999</v>
      </c>
      <c r="AR231" s="556">
        <v>1.6664000000000001</v>
      </c>
    </row>
    <row r="232" spans="39:44">
      <c r="AM232" s="555">
        <v>45691</v>
      </c>
      <c r="AN232" s="556">
        <v>496.96</v>
      </c>
      <c r="AO232" s="556">
        <v>759695</v>
      </c>
      <c r="AP232" s="556">
        <v>237.03527</v>
      </c>
      <c r="AQ232" s="556">
        <v>117797.04777919999</v>
      </c>
      <c r="AR232" s="556">
        <v>1.6664000000000001</v>
      </c>
    </row>
    <row r="233" spans="39:44">
      <c r="AM233" s="555">
        <v>45690</v>
      </c>
      <c r="AN233" s="556">
        <v>497.28</v>
      </c>
      <c r="AO233" s="556">
        <v>913142</v>
      </c>
      <c r="AP233" s="556">
        <v>237.03527</v>
      </c>
      <c r="AQ233" s="556">
        <v>117872.8990656</v>
      </c>
      <c r="AR233" s="556">
        <v>1.6675</v>
      </c>
    </row>
    <row r="234" spans="39:44">
      <c r="AM234" s="555">
        <v>45689</v>
      </c>
      <c r="AN234" s="556">
        <v>499.34</v>
      </c>
      <c r="AO234" s="556">
        <v>1325048</v>
      </c>
      <c r="AP234" s="556">
        <v>237.03527</v>
      </c>
      <c r="AQ234" s="556">
        <v>118361.19172179999</v>
      </c>
      <c r="AR234" s="556">
        <v>1.6744000000000001</v>
      </c>
    </row>
    <row r="235" spans="39:44">
      <c r="AM235" s="555">
        <v>45688</v>
      </c>
      <c r="AN235" s="556">
        <v>506.29</v>
      </c>
      <c r="AO235" s="556">
        <v>1615890</v>
      </c>
      <c r="AP235" s="556">
        <v>237.03527</v>
      </c>
      <c r="AQ235" s="556">
        <v>120008.58684830001</v>
      </c>
      <c r="AR235" s="556">
        <v>1.6977</v>
      </c>
    </row>
    <row r="236" spans="39:44">
      <c r="AM236" s="555">
        <v>45687</v>
      </c>
      <c r="AN236" s="556">
        <v>490.32</v>
      </c>
      <c r="AO236" s="556">
        <v>1337574</v>
      </c>
      <c r="AP236" s="556">
        <v>237.03527</v>
      </c>
      <c r="AQ236" s="556">
        <v>116223.1335864</v>
      </c>
      <c r="AR236" s="556">
        <v>1.6442000000000001</v>
      </c>
    </row>
    <row r="237" spans="39:44">
      <c r="AM237" s="555">
        <v>45686</v>
      </c>
      <c r="AN237" s="556">
        <v>490.32</v>
      </c>
      <c r="AO237" s="556">
        <v>1337574</v>
      </c>
      <c r="AP237" s="556">
        <v>237.03527</v>
      </c>
      <c r="AQ237" s="556">
        <v>116223.1335864</v>
      </c>
      <c r="AR237" s="556">
        <v>1.6442000000000001</v>
      </c>
    </row>
    <row r="238" spans="39:44">
      <c r="AM238" s="555">
        <v>45685</v>
      </c>
      <c r="AN238" s="556">
        <v>490.32</v>
      </c>
      <c r="AO238" s="556">
        <v>1337574</v>
      </c>
      <c r="AP238" s="556">
        <v>237.03527</v>
      </c>
      <c r="AQ238" s="556">
        <v>116223.1335864</v>
      </c>
      <c r="AR238" s="556">
        <v>1.6442000000000001</v>
      </c>
    </row>
    <row r="239" spans="39:44">
      <c r="AM239" s="555">
        <v>45684</v>
      </c>
      <c r="AN239" s="556">
        <v>490.32</v>
      </c>
      <c r="AO239" s="556">
        <v>1337574</v>
      </c>
      <c r="AP239" s="556">
        <v>237.03527</v>
      </c>
      <c r="AQ239" s="556">
        <v>116223.1335864</v>
      </c>
      <c r="AR239" s="556">
        <v>1.6442000000000001</v>
      </c>
    </row>
    <row r="240" spans="39:44">
      <c r="AM240" s="555">
        <v>45683</v>
      </c>
      <c r="AN240" s="556">
        <v>486.86</v>
      </c>
      <c r="AO240" s="556">
        <v>956516</v>
      </c>
      <c r="AP240" s="556">
        <v>237.03527</v>
      </c>
      <c r="AQ240" s="556">
        <v>115402.99155220001</v>
      </c>
      <c r="AR240" s="556">
        <v>1.6326000000000001</v>
      </c>
    </row>
    <row r="241" spans="39:44">
      <c r="AM241" s="555">
        <v>45682</v>
      </c>
      <c r="AN241" s="556">
        <v>483.97</v>
      </c>
      <c r="AO241" s="556">
        <v>882406</v>
      </c>
      <c r="AP241" s="556">
        <v>237.03527</v>
      </c>
      <c r="AQ241" s="556">
        <v>114717.95962190001</v>
      </c>
      <c r="AR241" s="556">
        <v>1.6229</v>
      </c>
    </row>
    <row r="242" spans="39:44">
      <c r="AM242" s="555">
        <v>45681</v>
      </c>
      <c r="AN242" s="556">
        <v>484.46</v>
      </c>
      <c r="AO242" s="556">
        <v>1162107</v>
      </c>
      <c r="AP242" s="556">
        <v>237.03527</v>
      </c>
      <c r="AQ242" s="556">
        <v>114834.10690419999</v>
      </c>
      <c r="AR242" s="556">
        <v>1.6245000000000001</v>
      </c>
    </row>
    <row r="243" spans="39:44">
      <c r="AM243" s="555">
        <v>45680</v>
      </c>
      <c r="AN243" s="556">
        <v>483.16</v>
      </c>
      <c r="AO243" s="556">
        <v>1435205</v>
      </c>
      <c r="AP243" s="556">
        <v>237.03527</v>
      </c>
      <c r="AQ243" s="556">
        <v>114525.96105320001</v>
      </c>
      <c r="AR243" s="556">
        <v>1.6202000000000001</v>
      </c>
    </row>
    <row r="244" spans="39:44">
      <c r="AM244" s="555">
        <v>45679</v>
      </c>
      <c r="AN244" s="556">
        <v>468.05</v>
      </c>
      <c r="AO244" s="556">
        <v>1127790</v>
      </c>
      <c r="AP244" s="556">
        <v>237.03527</v>
      </c>
      <c r="AQ244" s="556">
        <v>110944.3581235</v>
      </c>
      <c r="AR244" s="556">
        <v>1.5694999999999999</v>
      </c>
    </row>
    <row r="245" spans="39:44">
      <c r="AM245" s="555">
        <v>45678</v>
      </c>
      <c r="AN245" s="556">
        <v>468.05</v>
      </c>
      <c r="AO245" s="556">
        <v>1127790</v>
      </c>
      <c r="AP245" s="556">
        <v>237.03527</v>
      </c>
      <c r="AQ245" s="556">
        <v>110944.3581235</v>
      </c>
      <c r="AR245" s="556">
        <v>1.5694999999999999</v>
      </c>
    </row>
    <row r="246" spans="39:44">
      <c r="AM246" s="555">
        <v>45677</v>
      </c>
      <c r="AN246" s="556">
        <v>468.05</v>
      </c>
      <c r="AO246" s="556">
        <v>1127790</v>
      </c>
      <c r="AP246" s="556">
        <v>237.03527</v>
      </c>
      <c r="AQ246" s="556">
        <v>110944.3581235</v>
      </c>
      <c r="AR246" s="556">
        <v>1.5694999999999999</v>
      </c>
    </row>
    <row r="247" spans="39:44">
      <c r="AM247" s="555">
        <v>45676</v>
      </c>
      <c r="AN247" s="556">
        <v>468.85</v>
      </c>
      <c r="AO247" s="556">
        <v>998673</v>
      </c>
      <c r="AP247" s="556">
        <v>237.03527</v>
      </c>
      <c r="AQ247" s="556">
        <v>111133.9863395</v>
      </c>
      <c r="AR247" s="556">
        <v>1.5722</v>
      </c>
    </row>
    <row r="248" spans="39:44">
      <c r="AM248" s="555">
        <v>45675</v>
      </c>
      <c r="AN248" s="556">
        <v>468.85</v>
      </c>
      <c r="AO248" s="556">
        <v>998673</v>
      </c>
      <c r="AP248" s="556">
        <v>237.03527</v>
      </c>
      <c r="AQ248" s="556">
        <v>111133.9863395</v>
      </c>
      <c r="AR248" s="556">
        <v>1.5722</v>
      </c>
    </row>
    <row r="249" spans="39:44">
      <c r="AM249" s="555">
        <v>45674</v>
      </c>
      <c r="AN249" s="556">
        <v>463.96</v>
      </c>
      <c r="AO249" s="556">
        <v>1276844</v>
      </c>
      <c r="AP249" s="556">
        <v>237.03527</v>
      </c>
      <c r="AQ249" s="556">
        <v>109974.8838692</v>
      </c>
      <c r="AR249" s="556">
        <v>1.5558000000000001</v>
      </c>
    </row>
    <row r="250" spans="39:44">
      <c r="AM250" s="555">
        <v>45673</v>
      </c>
      <c r="AN250" s="556">
        <v>466</v>
      </c>
      <c r="AO250" s="556">
        <v>1698606</v>
      </c>
      <c r="AP250" s="556">
        <v>237.03527</v>
      </c>
      <c r="AQ250" s="556">
        <v>110458.43582</v>
      </c>
      <c r="AR250" s="556">
        <v>1.5626</v>
      </c>
    </row>
    <row r="251" spans="39:44">
      <c r="AM251" s="555">
        <v>45672</v>
      </c>
      <c r="AN251" s="556">
        <v>481.82</v>
      </c>
      <c r="AO251" s="556">
        <v>817601</v>
      </c>
      <c r="AP251" s="556">
        <v>237.03527</v>
      </c>
      <c r="AQ251" s="556">
        <v>114208.3337914</v>
      </c>
      <c r="AR251" s="556">
        <v>1.6156999999999999</v>
      </c>
    </row>
    <row r="252" spans="39:44">
      <c r="AM252" s="555">
        <v>45671</v>
      </c>
      <c r="AN252" s="556">
        <v>481.82</v>
      </c>
      <c r="AO252" s="556">
        <v>817601</v>
      </c>
      <c r="AP252" s="556">
        <v>237.03527</v>
      </c>
      <c r="AQ252" s="556">
        <v>114208.3337914</v>
      </c>
      <c r="AR252" s="556">
        <v>1.6156999999999999</v>
      </c>
    </row>
    <row r="253" spans="39:44">
      <c r="AM253" s="555">
        <v>45670</v>
      </c>
      <c r="AN253" s="556">
        <v>481.82</v>
      </c>
      <c r="AO253" s="556">
        <v>817601</v>
      </c>
      <c r="AP253" s="556">
        <v>237.03527</v>
      </c>
      <c r="AQ253" s="556">
        <v>114208.3337914</v>
      </c>
      <c r="AR253" s="556">
        <v>1.6156999999999999</v>
      </c>
    </row>
    <row r="254" spans="39:44">
      <c r="AM254" s="555">
        <v>45669</v>
      </c>
      <c r="AN254" s="556">
        <v>482.25</v>
      </c>
      <c r="AO254" s="556">
        <v>953946</v>
      </c>
      <c r="AP254" s="556">
        <v>237.03527</v>
      </c>
      <c r="AQ254" s="556">
        <v>114310.2589575</v>
      </c>
      <c r="AR254" s="556">
        <v>1.6171</v>
      </c>
    </row>
    <row r="255" spans="39:44">
      <c r="AM255" s="555">
        <v>45668</v>
      </c>
      <c r="AN255" s="556">
        <v>485.94</v>
      </c>
      <c r="AO255" s="556">
        <v>731985</v>
      </c>
      <c r="AP255" s="556">
        <v>237.03527</v>
      </c>
      <c r="AQ255" s="556">
        <v>115184.9191038</v>
      </c>
      <c r="AR255" s="556">
        <v>1.6294999999999999</v>
      </c>
    </row>
    <row r="256" spans="39:44">
      <c r="AM256" s="555">
        <v>45667</v>
      </c>
      <c r="AN256" s="556">
        <v>485.94</v>
      </c>
      <c r="AO256" s="556">
        <v>731985</v>
      </c>
      <c r="AP256" s="556">
        <v>237.03527</v>
      </c>
      <c r="AQ256" s="556">
        <v>115184.9191038</v>
      </c>
      <c r="AR256" s="556">
        <v>1.6294999999999999</v>
      </c>
    </row>
    <row r="257" spans="39:44">
      <c r="AM257" s="555">
        <v>45666</v>
      </c>
      <c r="AN257" s="556">
        <v>483.37</v>
      </c>
      <c r="AO257" s="556">
        <v>887811</v>
      </c>
      <c r="AP257" s="556">
        <v>237.03527</v>
      </c>
      <c r="AQ257" s="556">
        <v>114575.73845989999</v>
      </c>
      <c r="AR257" s="556">
        <v>1.6314</v>
      </c>
    </row>
    <row r="258" spans="39:44">
      <c r="AM258" s="555">
        <v>45665</v>
      </c>
      <c r="AN258" s="556">
        <v>488.97</v>
      </c>
      <c r="AO258" s="556">
        <v>820791</v>
      </c>
      <c r="AP258" s="556">
        <v>237.03527</v>
      </c>
      <c r="AQ258" s="556">
        <v>115903.1359719</v>
      </c>
      <c r="AR258" s="556">
        <v>1.6503000000000001</v>
      </c>
    </row>
    <row r="259" spans="39:44">
      <c r="AM259" s="555">
        <v>45664</v>
      </c>
      <c r="AN259" s="556">
        <v>488.97</v>
      </c>
      <c r="AO259" s="556">
        <v>820791</v>
      </c>
      <c r="AP259" s="556">
        <v>237.03527</v>
      </c>
      <c r="AQ259" s="556">
        <v>115903.1359719</v>
      </c>
      <c r="AR259" s="556">
        <v>1.6503000000000001</v>
      </c>
    </row>
    <row r="260" spans="39:44">
      <c r="AM260" s="555">
        <v>45663</v>
      </c>
      <c r="AN260" s="556">
        <v>488.97</v>
      </c>
      <c r="AO260" s="556">
        <v>820791</v>
      </c>
      <c r="AP260" s="556">
        <v>237.03527</v>
      </c>
      <c r="AQ260" s="556">
        <v>115903.1359719</v>
      </c>
      <c r="AR260" s="556">
        <v>1.6503000000000001</v>
      </c>
    </row>
    <row r="261" spans="39:44">
      <c r="AM261" s="555">
        <v>45662</v>
      </c>
      <c r="AN261" s="556">
        <v>489.98</v>
      </c>
      <c r="AO261" s="556">
        <v>662456</v>
      </c>
      <c r="AP261" s="556">
        <v>237.03527</v>
      </c>
      <c r="AQ261" s="556">
        <v>116142.5415946</v>
      </c>
      <c r="AR261" s="556">
        <v>1.6536999999999999</v>
      </c>
    </row>
    <row r="262" spans="39:44">
      <c r="AM262" s="555">
        <v>45661</v>
      </c>
      <c r="AN262" s="556">
        <v>488.13</v>
      </c>
      <c r="AO262" s="556">
        <v>375892</v>
      </c>
      <c r="AP262" s="556">
        <v>237.03527</v>
      </c>
      <c r="AQ262" s="556">
        <v>115704.02634509999</v>
      </c>
      <c r="AR262" s="556">
        <v>1.6475</v>
      </c>
    </row>
    <row r="263" spans="39:44">
      <c r="AM263" s="555">
        <v>45660</v>
      </c>
      <c r="AN263" s="556">
        <v>488.13</v>
      </c>
      <c r="AO263" s="556">
        <v>375892</v>
      </c>
      <c r="AP263" s="556">
        <v>237.03527</v>
      </c>
      <c r="AQ263" s="556">
        <v>115704.02634509999</v>
      </c>
      <c r="AR263" s="556">
        <v>1.6475</v>
      </c>
    </row>
    <row r="264" spans="39:44">
      <c r="AM264" s="555">
        <v>45659</v>
      </c>
      <c r="AN264" s="556">
        <v>486.49</v>
      </c>
      <c r="AO264" s="556">
        <v>1053854</v>
      </c>
      <c r="AP264" s="556">
        <v>237.03527</v>
      </c>
      <c r="AQ264" s="556">
        <v>115315.2885023</v>
      </c>
      <c r="AR264" s="556">
        <v>1.6419999999999999</v>
      </c>
    </row>
    <row r="265" spans="39:44">
      <c r="AM265" s="555">
        <v>45658</v>
      </c>
      <c r="AN265" s="556">
        <v>489.02</v>
      </c>
      <c r="AO265" s="556">
        <v>3973490</v>
      </c>
      <c r="AP265" s="556">
        <v>237.03527</v>
      </c>
      <c r="AQ265" s="556">
        <v>115914.98773539999</v>
      </c>
      <c r="AR265" s="556">
        <v>1.6505000000000001</v>
      </c>
    </row>
    <row r="266" spans="39:44">
      <c r="AM266" s="555">
        <v>45657</v>
      </c>
      <c r="AN266" s="556">
        <v>489.02</v>
      </c>
      <c r="AO266" s="556">
        <v>3973490</v>
      </c>
      <c r="AP266" s="556">
        <v>237.03527</v>
      </c>
      <c r="AQ266" s="556">
        <v>115914.98773539999</v>
      </c>
      <c r="AR266" s="556">
        <v>1.6505000000000001</v>
      </c>
    </row>
    <row r="267" spans="39:44">
      <c r="AM267" s="555">
        <v>45656</v>
      </c>
      <c r="AN267" s="556">
        <v>489.02</v>
      </c>
      <c r="AO267" s="556">
        <v>3973490</v>
      </c>
      <c r="AP267" s="556">
        <v>237.03527</v>
      </c>
      <c r="AQ267" s="556">
        <v>115914.98773539999</v>
      </c>
      <c r="AR267" s="556">
        <v>1.6505000000000001</v>
      </c>
    </row>
    <row r="268" spans="39:44">
      <c r="AM268" s="555">
        <v>45655</v>
      </c>
      <c r="AN268" s="556">
        <v>479.66</v>
      </c>
      <c r="AO268" s="556">
        <v>1250426</v>
      </c>
      <c r="AP268" s="556">
        <v>237.03527</v>
      </c>
      <c r="AQ268" s="556">
        <v>113696.3376082</v>
      </c>
      <c r="AR268" s="556">
        <v>1.6189</v>
      </c>
    </row>
    <row r="269" spans="39:44">
      <c r="AM269" s="555">
        <v>45654</v>
      </c>
      <c r="AN269" s="556">
        <v>482.94</v>
      </c>
      <c r="AO269" s="556">
        <v>1424702</v>
      </c>
      <c r="AP269" s="556">
        <v>237.03527</v>
      </c>
      <c r="AQ269" s="556">
        <v>114473.81329379999</v>
      </c>
      <c r="AR269" s="556">
        <v>1.63</v>
      </c>
    </row>
    <row r="270" spans="39:44">
      <c r="AM270" s="555">
        <v>45653</v>
      </c>
      <c r="AN270" s="556">
        <v>490.61</v>
      </c>
      <c r="AO270" s="556">
        <v>1354504</v>
      </c>
      <c r="AP270" s="556">
        <v>237.03527</v>
      </c>
      <c r="AQ270" s="556">
        <v>116291.8738147</v>
      </c>
      <c r="AR270" s="556">
        <v>1.6558999999999999</v>
      </c>
    </row>
    <row r="271" spans="39:44">
      <c r="AM271" s="555">
        <v>45652</v>
      </c>
      <c r="AN271" s="556">
        <v>491.65</v>
      </c>
      <c r="AO271" s="556">
        <v>1483720</v>
      </c>
      <c r="AP271" s="556">
        <v>237.03527</v>
      </c>
      <c r="AQ271" s="556">
        <v>116538.39049549999</v>
      </c>
      <c r="AR271" s="556">
        <v>1.6594</v>
      </c>
    </row>
    <row r="272" spans="39:44">
      <c r="AM272" s="555">
        <v>45651</v>
      </c>
      <c r="AN272" s="556">
        <v>494.65</v>
      </c>
      <c r="AO272" s="556">
        <v>990249</v>
      </c>
      <c r="AP272" s="556">
        <v>237.03527</v>
      </c>
      <c r="AQ272" s="556">
        <v>117249.4963055</v>
      </c>
      <c r="AR272" s="556">
        <v>1.6695</v>
      </c>
    </row>
    <row r="273" spans="39:44">
      <c r="AM273" s="555">
        <v>45650</v>
      </c>
      <c r="AN273" s="556">
        <v>494.65</v>
      </c>
      <c r="AO273" s="556">
        <v>990249</v>
      </c>
      <c r="AP273" s="556">
        <v>237.03527</v>
      </c>
      <c r="AQ273" s="556">
        <v>117249.4963055</v>
      </c>
      <c r="AR273" s="556">
        <v>1.6695</v>
      </c>
    </row>
    <row r="274" spans="39:44">
      <c r="AM274" s="555">
        <v>45649</v>
      </c>
      <c r="AN274" s="556">
        <v>494.65</v>
      </c>
      <c r="AO274" s="556">
        <v>990249</v>
      </c>
      <c r="AP274" s="556">
        <v>237.03527</v>
      </c>
      <c r="AQ274" s="556">
        <v>117249.4963055</v>
      </c>
      <c r="AR274" s="556">
        <v>1.6695</v>
      </c>
    </row>
    <row r="275" spans="39:44">
      <c r="AM275" s="555">
        <v>45648</v>
      </c>
      <c r="AN275" s="556">
        <v>496.58</v>
      </c>
      <c r="AO275" s="556">
        <v>1863009</v>
      </c>
      <c r="AP275" s="556">
        <v>237.03527</v>
      </c>
      <c r="AQ275" s="556">
        <v>117706.97437659999</v>
      </c>
      <c r="AR275" s="556">
        <v>1.6759999999999999</v>
      </c>
    </row>
    <row r="276" spans="39:44">
      <c r="AM276" s="555">
        <v>45647</v>
      </c>
      <c r="AN276" s="556">
        <v>504.24</v>
      </c>
      <c r="AO276" s="556">
        <v>1307967</v>
      </c>
      <c r="AP276" s="556">
        <v>237.03527</v>
      </c>
      <c r="AQ276" s="556">
        <v>119522.66454480001</v>
      </c>
      <c r="AR276" s="556">
        <v>1.7019</v>
      </c>
    </row>
    <row r="277" spans="39:44">
      <c r="AM277" s="555">
        <v>45646</v>
      </c>
      <c r="AN277" s="556">
        <v>512.94000000000005</v>
      </c>
      <c r="AO277" s="556">
        <v>1178870</v>
      </c>
      <c r="AP277" s="556">
        <v>237.03527</v>
      </c>
      <c r="AQ277" s="556">
        <v>121584.87139380001</v>
      </c>
      <c r="AR277" s="556">
        <v>1.7312000000000001</v>
      </c>
    </row>
    <row r="278" spans="39:44">
      <c r="AM278" s="555">
        <v>45645</v>
      </c>
      <c r="AN278" s="556">
        <v>510.01</v>
      </c>
      <c r="AO278" s="556">
        <v>1170477</v>
      </c>
      <c r="AP278" s="556">
        <v>237.03527</v>
      </c>
      <c r="AQ278" s="556">
        <v>120890.3580527</v>
      </c>
      <c r="AR278" s="556">
        <v>1.7214</v>
      </c>
    </row>
    <row r="279" spans="39:44">
      <c r="AM279" s="555">
        <v>45644</v>
      </c>
      <c r="AN279" s="556">
        <v>513.03</v>
      </c>
      <c r="AO279" s="556">
        <v>1285011</v>
      </c>
      <c r="AP279" s="556">
        <v>237.03527</v>
      </c>
      <c r="AQ279" s="556">
        <v>121606.20456809999</v>
      </c>
      <c r="AR279" s="556">
        <v>1.7315</v>
      </c>
    </row>
    <row r="280" spans="39:44">
      <c r="AM280" s="555">
        <v>45643</v>
      </c>
      <c r="AN280" s="556">
        <v>513.03</v>
      </c>
      <c r="AO280" s="556">
        <v>1285011</v>
      </c>
      <c r="AP280" s="556">
        <v>237.03527</v>
      </c>
      <c r="AQ280" s="556">
        <v>121606.20456809999</v>
      </c>
      <c r="AR280" s="556">
        <v>1.7315</v>
      </c>
    </row>
    <row r="281" spans="39:44">
      <c r="AM281" s="555">
        <v>45642</v>
      </c>
      <c r="AN281" s="556">
        <v>513.03</v>
      </c>
      <c r="AO281" s="556">
        <v>1285011</v>
      </c>
      <c r="AP281" s="556">
        <v>237.03527</v>
      </c>
      <c r="AQ281" s="556">
        <v>121606.20456809999</v>
      </c>
      <c r="AR281" s="556">
        <v>1.7315</v>
      </c>
    </row>
    <row r="282" spans="39:44">
      <c r="AM282" s="555">
        <v>45641</v>
      </c>
      <c r="AN282" s="556">
        <v>517.48</v>
      </c>
      <c r="AO282" s="556">
        <v>1113691</v>
      </c>
      <c r="AP282" s="556">
        <v>237.03527</v>
      </c>
      <c r="AQ282" s="556">
        <v>122661.0115196</v>
      </c>
      <c r="AR282" s="556">
        <v>1.7465999999999999</v>
      </c>
    </row>
    <row r="283" spans="39:44">
      <c r="AM283" s="555">
        <v>45640</v>
      </c>
      <c r="AN283" s="556">
        <v>517.5</v>
      </c>
      <c r="AO283" s="556">
        <v>1543010</v>
      </c>
      <c r="AP283" s="556">
        <v>237.03527</v>
      </c>
      <c r="AQ283" s="556">
        <v>122665.752225</v>
      </c>
      <c r="AR283" s="556">
        <v>1.7465999999999999</v>
      </c>
    </row>
    <row r="284" spans="39:44">
      <c r="AM284" s="555">
        <v>45639</v>
      </c>
      <c r="AN284" s="556">
        <v>517</v>
      </c>
      <c r="AO284" s="556">
        <v>1188389</v>
      </c>
      <c r="AP284" s="556">
        <v>237.03527</v>
      </c>
      <c r="AQ284" s="556">
        <v>122547.23458999999</v>
      </c>
      <c r="AR284" s="556">
        <v>1.7448999999999999</v>
      </c>
    </row>
    <row r="285" spans="39:44">
      <c r="AM285" s="555">
        <v>45638</v>
      </c>
      <c r="AN285" s="556">
        <v>520.34</v>
      </c>
      <c r="AO285" s="556">
        <v>1115967</v>
      </c>
      <c r="AP285" s="556">
        <v>237.03527</v>
      </c>
      <c r="AQ285" s="556">
        <v>123338.9323918</v>
      </c>
      <c r="AR285" s="556">
        <v>1.7562</v>
      </c>
    </row>
    <row r="286" spans="39:44">
      <c r="AM286" s="555">
        <v>45637</v>
      </c>
      <c r="AN286" s="556">
        <v>529.41</v>
      </c>
      <c r="AO286" s="556">
        <v>658246</v>
      </c>
      <c r="AP286" s="556">
        <v>237.03527</v>
      </c>
      <c r="AQ286" s="556">
        <v>125488.84229069999</v>
      </c>
      <c r="AR286" s="556">
        <v>1.7867999999999999</v>
      </c>
    </row>
    <row r="287" spans="39:44">
      <c r="AM287" s="555">
        <v>45636</v>
      </c>
      <c r="AN287" s="556">
        <v>529.41</v>
      </c>
      <c r="AO287" s="556">
        <v>658246</v>
      </c>
      <c r="AP287" s="556">
        <v>237.03527</v>
      </c>
      <c r="AQ287" s="556">
        <v>125488.84229069999</v>
      </c>
      <c r="AR287" s="556">
        <v>1.7867999999999999</v>
      </c>
    </row>
    <row r="288" spans="39:44">
      <c r="AM288" s="555">
        <v>45635</v>
      </c>
      <c r="AN288" s="556">
        <v>529.41</v>
      </c>
      <c r="AO288" s="556">
        <v>658246</v>
      </c>
      <c r="AP288" s="556">
        <v>237.03527</v>
      </c>
      <c r="AQ288" s="556">
        <v>125488.84229069999</v>
      </c>
      <c r="AR288" s="556">
        <v>1.7867999999999999</v>
      </c>
    </row>
    <row r="289" spans="39:44">
      <c r="AM289" s="555">
        <v>45634</v>
      </c>
      <c r="AN289" s="556">
        <v>525.75</v>
      </c>
      <c r="AO289" s="556">
        <v>890394</v>
      </c>
      <c r="AP289" s="556">
        <v>237.03527</v>
      </c>
      <c r="AQ289" s="556">
        <v>124621.2932025</v>
      </c>
      <c r="AR289" s="556">
        <v>1.7745</v>
      </c>
    </row>
    <row r="290" spans="39:44">
      <c r="AM290" s="555">
        <v>45633</v>
      </c>
      <c r="AN290" s="556">
        <v>525.75</v>
      </c>
      <c r="AO290" s="556">
        <v>890394</v>
      </c>
      <c r="AP290" s="556">
        <v>237.03527</v>
      </c>
      <c r="AQ290" s="556">
        <v>124621.2932025</v>
      </c>
      <c r="AR290" s="556">
        <v>1.7745</v>
      </c>
    </row>
    <row r="291" spans="39:44">
      <c r="AM291" s="555">
        <v>45632</v>
      </c>
      <c r="AN291" s="556">
        <v>521.45000000000005</v>
      </c>
      <c r="AO291" s="556">
        <v>1345788</v>
      </c>
      <c r="AP291" s="556">
        <v>237.03527</v>
      </c>
      <c r="AQ291" s="556">
        <v>123602.0415415</v>
      </c>
      <c r="AR291" s="556">
        <v>1.76</v>
      </c>
    </row>
    <row r="292" spans="39:44">
      <c r="AM292" s="555">
        <v>45631</v>
      </c>
      <c r="AN292" s="556">
        <v>521.89</v>
      </c>
      <c r="AO292" s="556">
        <v>3613491</v>
      </c>
      <c r="AP292" s="556">
        <v>237.03527</v>
      </c>
      <c r="AQ292" s="556">
        <v>123706.33706029999</v>
      </c>
      <c r="AR292" s="556">
        <v>1.7615000000000001</v>
      </c>
    </row>
    <row r="293" spans="39:44">
      <c r="AM293" s="555">
        <v>45630</v>
      </c>
      <c r="AN293" s="556">
        <v>542.22</v>
      </c>
      <c r="AO293" s="556">
        <v>1311155</v>
      </c>
      <c r="AP293" s="556">
        <v>237.03527</v>
      </c>
      <c r="AQ293" s="556">
        <v>128525.26409940001</v>
      </c>
      <c r="AR293" s="556">
        <v>1.8301000000000001</v>
      </c>
    </row>
    <row r="294" spans="39:44">
      <c r="AM294" s="555">
        <v>45629</v>
      </c>
      <c r="AN294" s="556">
        <v>542.22</v>
      </c>
      <c r="AO294" s="556">
        <v>1311155</v>
      </c>
      <c r="AP294" s="556">
        <v>237.03527</v>
      </c>
      <c r="AQ294" s="556">
        <v>128525.26409940001</v>
      </c>
      <c r="AR294" s="556">
        <v>1.8301000000000001</v>
      </c>
    </row>
    <row r="295" spans="39:44">
      <c r="AM295" s="555">
        <v>45628</v>
      </c>
      <c r="AN295" s="556">
        <v>542.22</v>
      </c>
      <c r="AO295" s="556">
        <v>1311155</v>
      </c>
      <c r="AP295" s="556">
        <v>237.03527</v>
      </c>
      <c r="AQ295" s="556">
        <v>128525.26409940001</v>
      </c>
      <c r="AR295" s="556">
        <v>1.8301000000000001</v>
      </c>
    </row>
    <row r="296" spans="39:44">
      <c r="AM296" s="555">
        <v>45627</v>
      </c>
      <c r="AN296" s="556">
        <v>542.01</v>
      </c>
      <c r="AO296" s="556">
        <v>1321954</v>
      </c>
      <c r="AP296" s="556">
        <v>237.03527</v>
      </c>
      <c r="AQ296" s="556">
        <v>128475.4866927</v>
      </c>
      <c r="AR296" s="556">
        <v>1.8293999999999999</v>
      </c>
    </row>
    <row r="297" spans="39:44">
      <c r="AM297" s="555">
        <v>45626</v>
      </c>
      <c r="AN297" s="556">
        <v>534.73</v>
      </c>
      <c r="AO297" s="556">
        <v>994374</v>
      </c>
      <c r="AP297" s="556">
        <v>237.03527</v>
      </c>
      <c r="AQ297" s="556">
        <v>126749.86992710001</v>
      </c>
      <c r="AR297" s="556">
        <v>1.8048</v>
      </c>
    </row>
    <row r="298" spans="39:44">
      <c r="AM298" s="555">
        <v>45625</v>
      </c>
      <c r="AN298" s="556">
        <v>533.26</v>
      </c>
      <c r="AO298" s="556">
        <v>936050</v>
      </c>
      <c r="AP298" s="556">
        <v>237.03527</v>
      </c>
      <c r="AQ298" s="556">
        <v>126401.4280802</v>
      </c>
      <c r="AR298" s="556">
        <v>1.7998000000000001</v>
      </c>
    </row>
    <row r="299" spans="39:44">
      <c r="AM299" s="555">
        <v>45624</v>
      </c>
      <c r="AN299" s="556">
        <v>530.96</v>
      </c>
      <c r="AO299" s="556">
        <v>1298755</v>
      </c>
      <c r="AP299" s="556">
        <v>237.03527</v>
      </c>
      <c r="AQ299" s="556">
        <v>125856.24695920001</v>
      </c>
      <c r="AR299" s="556">
        <v>1.7921</v>
      </c>
    </row>
    <row r="300" spans="39:44">
      <c r="AM300" s="555">
        <v>45623</v>
      </c>
      <c r="AN300" s="556">
        <v>534.83000000000004</v>
      </c>
      <c r="AO300" s="556">
        <v>1757312</v>
      </c>
      <c r="AP300" s="556">
        <v>237.03527</v>
      </c>
      <c r="AQ300" s="556">
        <v>126773.57345410001</v>
      </c>
      <c r="AR300" s="556">
        <v>1.8050999999999999</v>
      </c>
    </row>
    <row r="301" spans="39:44">
      <c r="AM301" s="555">
        <v>45622</v>
      </c>
      <c r="AN301" s="556">
        <v>534.83000000000004</v>
      </c>
      <c r="AO301" s="556">
        <v>1757312</v>
      </c>
      <c r="AP301" s="556">
        <v>237.03527</v>
      </c>
      <c r="AQ301" s="556">
        <v>126773.57345410001</v>
      </c>
      <c r="AR301" s="556">
        <v>1.8050999999999999</v>
      </c>
    </row>
    <row r="302" spans="39:44">
      <c r="AM302" s="555">
        <v>45621</v>
      </c>
      <c r="AN302" s="556">
        <v>534.83000000000004</v>
      </c>
      <c r="AO302" s="556">
        <v>1757312</v>
      </c>
      <c r="AP302" s="556">
        <v>237.03527</v>
      </c>
      <c r="AQ302" s="556">
        <v>126773.57345410001</v>
      </c>
      <c r="AR302" s="556">
        <v>1.8050999999999999</v>
      </c>
    </row>
    <row r="303" spans="39:44">
      <c r="AM303" s="555">
        <v>45620</v>
      </c>
      <c r="AN303" s="556">
        <v>538.99</v>
      </c>
      <c r="AO303" s="556">
        <v>1972732</v>
      </c>
      <c r="AP303" s="556">
        <v>237.03527</v>
      </c>
      <c r="AQ303" s="556">
        <v>127759.6401773</v>
      </c>
      <c r="AR303" s="556">
        <v>1.8191999999999999</v>
      </c>
    </row>
    <row r="304" spans="39:44">
      <c r="AM304" s="555">
        <v>45619</v>
      </c>
      <c r="AN304" s="556">
        <v>557.73</v>
      </c>
      <c r="AO304" s="556">
        <v>1118648</v>
      </c>
      <c r="AP304" s="556">
        <v>237.03527</v>
      </c>
      <c r="AQ304" s="556">
        <v>132201.68113710001</v>
      </c>
      <c r="AR304" s="556">
        <v>1.8824000000000001</v>
      </c>
    </row>
    <row r="305" spans="39:44">
      <c r="AM305" s="555">
        <v>45618</v>
      </c>
      <c r="AN305" s="556">
        <v>565.96</v>
      </c>
      <c r="AO305" s="556">
        <v>1133912</v>
      </c>
      <c r="AP305" s="556">
        <v>237.03527</v>
      </c>
      <c r="AQ305" s="556">
        <v>134152.4814092</v>
      </c>
      <c r="AR305" s="556">
        <v>1.9101999999999999</v>
      </c>
    </row>
    <row r="306" spans="39:44">
      <c r="AM306" s="555">
        <v>45617</v>
      </c>
      <c r="AN306" s="556">
        <v>570.58000000000004</v>
      </c>
      <c r="AO306" s="556">
        <v>1171364</v>
      </c>
      <c r="AP306" s="556">
        <v>237.03527</v>
      </c>
      <c r="AQ306" s="556">
        <v>135247.58435660001</v>
      </c>
      <c r="AR306" s="556">
        <v>1.9258</v>
      </c>
    </row>
    <row r="307" spans="39:44">
      <c r="AM307" s="555">
        <v>45616</v>
      </c>
      <c r="AN307" s="556">
        <v>564.55999999999995</v>
      </c>
      <c r="AO307" s="556">
        <v>1166089</v>
      </c>
      <c r="AP307" s="556">
        <v>237.03527</v>
      </c>
      <c r="AQ307" s="556">
        <v>133820.63203119999</v>
      </c>
      <c r="AR307" s="556">
        <v>1.9055</v>
      </c>
    </row>
    <row r="308" spans="39:44">
      <c r="AM308" s="555">
        <v>45615</v>
      </c>
      <c r="AN308" s="556">
        <v>564.55999999999995</v>
      </c>
      <c r="AO308" s="556">
        <v>1166089</v>
      </c>
      <c r="AP308" s="556">
        <v>237.03527</v>
      </c>
      <c r="AQ308" s="556">
        <v>133820.63203119999</v>
      </c>
      <c r="AR308" s="556">
        <v>1.9055</v>
      </c>
    </row>
    <row r="309" spans="39:44">
      <c r="AM309" s="555">
        <v>45614</v>
      </c>
      <c r="AN309" s="556">
        <v>564.55999999999995</v>
      </c>
      <c r="AO309" s="556">
        <v>1166089</v>
      </c>
      <c r="AP309" s="556">
        <v>237.03527</v>
      </c>
      <c r="AQ309" s="556">
        <v>133820.63203119999</v>
      </c>
      <c r="AR309" s="556">
        <v>1.9055</v>
      </c>
    </row>
    <row r="310" spans="39:44">
      <c r="AM310" s="555">
        <v>45613</v>
      </c>
      <c r="AN310" s="556">
        <v>551.84</v>
      </c>
      <c r="AO310" s="556">
        <v>818596</v>
      </c>
      <c r="AP310" s="556">
        <v>237.03527</v>
      </c>
      <c r="AQ310" s="556">
        <v>130805.5433968</v>
      </c>
      <c r="AR310" s="556">
        <v>1.8625</v>
      </c>
    </row>
    <row r="311" spans="39:44">
      <c r="AM311" s="555">
        <v>45612</v>
      </c>
      <c r="AN311" s="556">
        <v>551.82000000000005</v>
      </c>
      <c r="AO311" s="556">
        <v>1751305</v>
      </c>
      <c r="AP311" s="556">
        <v>237.03527</v>
      </c>
      <c r="AQ311" s="556">
        <v>130800.80269140001</v>
      </c>
      <c r="AR311" s="556">
        <v>1.8625</v>
      </c>
    </row>
    <row r="312" spans="39:44">
      <c r="AM312" s="555">
        <v>45611</v>
      </c>
      <c r="AN312" s="556">
        <v>546.75</v>
      </c>
      <c r="AO312" s="556">
        <v>610142</v>
      </c>
      <c r="AP312" s="556">
        <v>237.03527</v>
      </c>
      <c r="AQ312" s="556">
        <v>129599.0338725</v>
      </c>
      <c r="AR312" s="556">
        <v>1.8453999999999999</v>
      </c>
    </row>
    <row r="313" spans="39:44">
      <c r="AM313" s="555">
        <v>45610</v>
      </c>
      <c r="AN313" s="556">
        <v>543.1</v>
      </c>
      <c r="AO313" s="556">
        <v>827556</v>
      </c>
      <c r="AP313" s="556">
        <v>237.03527</v>
      </c>
      <c r="AQ313" s="556">
        <v>128733.85513700001</v>
      </c>
      <c r="AR313" s="556">
        <v>1.833</v>
      </c>
    </row>
    <row r="314" spans="39:44">
      <c r="AM314" s="555">
        <v>45609</v>
      </c>
      <c r="AN314" s="556">
        <v>545.35</v>
      </c>
      <c r="AO314" s="556">
        <v>792756</v>
      </c>
      <c r="AP314" s="556">
        <v>237.03527</v>
      </c>
      <c r="AQ314" s="556">
        <v>129267.1844945</v>
      </c>
      <c r="AR314" s="556">
        <v>1.8406</v>
      </c>
    </row>
    <row r="315" spans="39:44">
      <c r="AM315" s="555">
        <v>45608</v>
      </c>
      <c r="AN315" s="556">
        <v>545.35</v>
      </c>
      <c r="AO315" s="556">
        <v>792756</v>
      </c>
      <c r="AP315" s="556">
        <v>237.03527</v>
      </c>
      <c r="AQ315" s="556">
        <v>129267.1844945</v>
      </c>
      <c r="AR315" s="556">
        <v>1.8406</v>
      </c>
    </row>
    <row r="316" spans="39:44">
      <c r="AM316" s="555">
        <v>45607</v>
      </c>
      <c r="AN316" s="556">
        <v>545.35</v>
      </c>
      <c r="AO316" s="556">
        <v>792756</v>
      </c>
      <c r="AP316" s="556">
        <v>237.03527</v>
      </c>
      <c r="AQ316" s="556">
        <v>129267.1844945</v>
      </c>
      <c r="AR316" s="556">
        <v>1.8406</v>
      </c>
    </row>
    <row r="317" spans="39:44">
      <c r="AM317" s="555">
        <v>45606</v>
      </c>
      <c r="AN317" s="556">
        <v>546.04999999999995</v>
      </c>
      <c r="AO317" s="556">
        <v>1245472</v>
      </c>
      <c r="AP317" s="556">
        <v>237.03527</v>
      </c>
      <c r="AQ317" s="556">
        <v>129433.10918349998</v>
      </c>
      <c r="AR317" s="556">
        <v>1.843</v>
      </c>
    </row>
    <row r="318" spans="39:44">
      <c r="AM318" s="555">
        <v>45605</v>
      </c>
      <c r="AN318" s="556">
        <v>545.94000000000005</v>
      </c>
      <c r="AO318" s="556">
        <v>1005163</v>
      </c>
      <c r="AP318" s="556">
        <v>237.03527</v>
      </c>
      <c r="AQ318" s="556">
        <v>129407.03530380002</v>
      </c>
      <c r="AR318" s="556">
        <v>1.8426</v>
      </c>
    </row>
    <row r="319" spans="39:44">
      <c r="AM319" s="555">
        <v>45604</v>
      </c>
      <c r="AN319" s="556">
        <v>546.79999999999995</v>
      </c>
      <c r="AO319" s="556">
        <v>1041740</v>
      </c>
      <c r="AP319" s="556">
        <v>237.03527</v>
      </c>
      <c r="AQ319" s="556">
        <v>129610.88563599999</v>
      </c>
      <c r="AR319" s="556">
        <v>1.8454999999999999</v>
      </c>
    </row>
    <row r="320" spans="39:44">
      <c r="AM320" s="555">
        <v>45603</v>
      </c>
      <c r="AN320" s="556">
        <v>555.16999999999996</v>
      </c>
      <c r="AO320" s="556">
        <v>1278667</v>
      </c>
      <c r="AP320" s="556">
        <v>237.03527</v>
      </c>
      <c r="AQ320" s="556">
        <v>131594.87084589998</v>
      </c>
      <c r="AR320" s="556">
        <v>1.8737999999999999</v>
      </c>
    </row>
    <row r="321" spans="39:44">
      <c r="AM321" s="555">
        <v>45602</v>
      </c>
      <c r="AN321" s="556">
        <v>562.29</v>
      </c>
      <c r="AO321" s="556">
        <v>1077563</v>
      </c>
      <c r="AP321" s="556">
        <v>237.03527</v>
      </c>
      <c r="AQ321" s="556">
        <v>133282.5619683</v>
      </c>
      <c r="AR321" s="556">
        <v>1.8977999999999999</v>
      </c>
    </row>
    <row r="322" spans="39:44">
      <c r="AM322" s="555">
        <v>45601</v>
      </c>
      <c r="AN322" s="556">
        <v>562.29</v>
      </c>
      <c r="AO322" s="556">
        <v>1077563</v>
      </c>
      <c r="AP322" s="556">
        <v>237.03527</v>
      </c>
      <c r="AQ322" s="556">
        <v>133282.5619683</v>
      </c>
      <c r="AR322" s="556">
        <v>1.8977999999999999</v>
      </c>
    </row>
    <row r="323" spans="39:44">
      <c r="AM323" s="555">
        <v>45600</v>
      </c>
      <c r="AN323" s="556">
        <v>562.29</v>
      </c>
      <c r="AO323" s="556">
        <v>1077563</v>
      </c>
      <c r="AP323" s="556">
        <v>237.03527</v>
      </c>
      <c r="AQ323" s="556">
        <v>133282.5619683</v>
      </c>
      <c r="AR323" s="556">
        <v>1.8977999999999999</v>
      </c>
    </row>
    <row r="324" spans="39:44">
      <c r="AM324" s="555">
        <v>45599</v>
      </c>
      <c r="AN324" s="556">
        <v>564.21</v>
      </c>
      <c r="AO324" s="556">
        <v>1102782</v>
      </c>
      <c r="AP324" s="556">
        <v>237.03527</v>
      </c>
      <c r="AQ324" s="556">
        <v>133737.66968670001</v>
      </c>
      <c r="AR324" s="556">
        <v>1.9043000000000001</v>
      </c>
    </row>
    <row r="325" spans="39:44">
      <c r="AM325" s="555">
        <v>45598</v>
      </c>
      <c r="AN325" s="556">
        <v>571.1</v>
      </c>
      <c r="AO325" s="556">
        <v>1402177</v>
      </c>
      <c r="AP325" s="556">
        <v>237.03527</v>
      </c>
      <c r="AQ325" s="556">
        <v>135370.84269700001</v>
      </c>
      <c r="AR325" s="556">
        <v>1.9275</v>
      </c>
    </row>
    <row r="326" spans="39:44">
      <c r="AM326" s="555">
        <v>45597</v>
      </c>
      <c r="AN326" s="556">
        <v>576.98</v>
      </c>
      <c r="AO326" s="556">
        <v>2259193</v>
      </c>
      <c r="AP326" s="556">
        <v>237.03527</v>
      </c>
      <c r="AQ326" s="556">
        <v>136764.61008459999</v>
      </c>
      <c r="AR326" s="556">
        <v>1.9474</v>
      </c>
    </row>
    <row r="327" spans="39:44">
      <c r="AM327" s="555">
        <v>45596</v>
      </c>
      <c r="AN327" s="556">
        <v>614.61</v>
      </c>
      <c r="AO327" s="556">
        <v>1017480</v>
      </c>
      <c r="AP327" s="556">
        <v>238.358</v>
      </c>
      <c r="AQ327" s="556">
        <v>146497.21038</v>
      </c>
      <c r="AR327" s="556">
        <v>2.0743999999999998</v>
      </c>
    </row>
    <row r="328" spans="39:44">
      <c r="AM328" s="555">
        <v>45595</v>
      </c>
      <c r="AN328" s="556">
        <v>611.80999999999995</v>
      </c>
      <c r="AO328" s="556">
        <v>864086</v>
      </c>
      <c r="AP328" s="556">
        <v>238.358</v>
      </c>
      <c r="AQ328" s="556">
        <v>145829.80797999998</v>
      </c>
      <c r="AR328" s="556">
        <v>2.0649000000000002</v>
      </c>
    </row>
    <row r="329" spans="39:44">
      <c r="AM329" s="555">
        <v>45594</v>
      </c>
      <c r="AN329" s="556">
        <v>611.80999999999995</v>
      </c>
      <c r="AO329" s="556">
        <v>864086</v>
      </c>
      <c r="AP329" s="556">
        <v>238.358</v>
      </c>
      <c r="AQ329" s="556">
        <v>145829.80797999998</v>
      </c>
      <c r="AR329" s="556">
        <v>2.0649000000000002</v>
      </c>
    </row>
    <row r="330" spans="39:44">
      <c r="AM330" s="555">
        <v>45593</v>
      </c>
      <c r="AN330" s="556">
        <v>611.80999999999995</v>
      </c>
      <c r="AO330" s="556">
        <v>864086</v>
      </c>
      <c r="AP330" s="556">
        <v>238.358</v>
      </c>
      <c r="AQ330" s="556">
        <v>145829.80797999998</v>
      </c>
      <c r="AR330" s="556">
        <v>2.0649000000000002</v>
      </c>
    </row>
    <row r="331" spans="39:44">
      <c r="AM331" s="555">
        <v>45592</v>
      </c>
      <c r="AN331" s="556">
        <v>609.62</v>
      </c>
      <c r="AO331" s="556">
        <v>617493</v>
      </c>
      <c r="AP331" s="556">
        <v>238.358</v>
      </c>
      <c r="AQ331" s="556">
        <v>145307.80395999999</v>
      </c>
      <c r="AR331" s="556">
        <v>2.0575999999999999</v>
      </c>
    </row>
    <row r="332" spans="39:44">
      <c r="AM332" s="555">
        <v>45591</v>
      </c>
      <c r="AN332" s="556">
        <v>612.83000000000004</v>
      </c>
      <c r="AO332" s="556">
        <v>549404</v>
      </c>
      <c r="AP332" s="556">
        <v>238.358</v>
      </c>
      <c r="AQ332" s="556">
        <v>146072.93314000001</v>
      </c>
      <c r="AR332" s="556">
        <v>2.0684</v>
      </c>
    </row>
    <row r="333" spans="39:44">
      <c r="AM333" s="555">
        <v>45590</v>
      </c>
      <c r="AN333" s="556">
        <v>605</v>
      </c>
      <c r="AO333" s="556">
        <v>849839</v>
      </c>
      <c r="AP333" s="556">
        <v>238.358</v>
      </c>
      <c r="AQ333" s="556">
        <v>144206.59</v>
      </c>
      <c r="AR333" s="556">
        <v>2.0419999999999998</v>
      </c>
    </row>
    <row r="334" spans="39:44">
      <c r="AM334" s="555">
        <v>45589</v>
      </c>
      <c r="AN334" s="556">
        <v>610.87</v>
      </c>
      <c r="AO334" s="556">
        <v>562291</v>
      </c>
      <c r="AP334" s="556">
        <v>238.358</v>
      </c>
      <c r="AQ334" s="556">
        <v>145605.75146</v>
      </c>
      <c r="AR334" s="556">
        <v>2.0617999999999999</v>
      </c>
    </row>
    <row r="335" spans="39:44">
      <c r="AM335" s="555">
        <v>45588</v>
      </c>
      <c r="AN335" s="556">
        <v>604.16999999999996</v>
      </c>
      <c r="AO335" s="556">
        <v>526025</v>
      </c>
      <c r="AP335" s="556">
        <v>238.358</v>
      </c>
      <c r="AQ335" s="556">
        <v>144008.75285999998</v>
      </c>
      <c r="AR335" s="556">
        <v>2.0392000000000001</v>
      </c>
    </row>
    <row r="336" spans="39:44">
      <c r="AM336" s="555">
        <v>45587</v>
      </c>
      <c r="AN336" s="556">
        <v>604.16999999999996</v>
      </c>
      <c r="AO336" s="556">
        <v>526025</v>
      </c>
      <c r="AP336" s="556">
        <v>238.358</v>
      </c>
      <c r="AQ336" s="556">
        <v>144008.75285999998</v>
      </c>
      <c r="AR336" s="556">
        <v>2.0392000000000001</v>
      </c>
    </row>
    <row r="337" spans="39:44">
      <c r="AM337" s="555">
        <v>45586</v>
      </c>
      <c r="AN337" s="556">
        <v>604.16999999999996</v>
      </c>
      <c r="AO337" s="556">
        <v>526025</v>
      </c>
      <c r="AP337" s="556">
        <v>238.358</v>
      </c>
      <c r="AQ337" s="556">
        <v>144008.75285999998</v>
      </c>
      <c r="AR337" s="556">
        <v>2.0392000000000001</v>
      </c>
    </row>
    <row r="338" spans="39:44">
      <c r="AM338" s="555">
        <v>45585</v>
      </c>
      <c r="AN338" s="556">
        <v>597.49</v>
      </c>
      <c r="AO338" s="556">
        <v>853770</v>
      </c>
      <c r="AP338" s="556">
        <v>238.358</v>
      </c>
      <c r="AQ338" s="556">
        <v>142416.52142</v>
      </c>
      <c r="AR338" s="556">
        <v>2.0165999999999999</v>
      </c>
    </row>
    <row r="339" spans="39:44">
      <c r="AM339" s="555">
        <v>45584</v>
      </c>
      <c r="AN339" s="556">
        <v>605.11</v>
      </c>
      <c r="AO339" s="556">
        <v>543837</v>
      </c>
      <c r="AP339" s="556">
        <v>238.358</v>
      </c>
      <c r="AQ339" s="556">
        <v>144232.80937999999</v>
      </c>
      <c r="AR339" s="556">
        <v>2.0423</v>
      </c>
    </row>
    <row r="340" spans="39:44">
      <c r="AM340" s="555">
        <v>45583</v>
      </c>
      <c r="AN340" s="556">
        <v>608.04999999999995</v>
      </c>
      <c r="AO340" s="556">
        <v>571794</v>
      </c>
      <c r="AP340" s="556">
        <v>238.358</v>
      </c>
      <c r="AQ340" s="556">
        <v>144933.58189999999</v>
      </c>
      <c r="AR340" s="556">
        <v>2.0522999999999998</v>
      </c>
    </row>
    <row r="341" spans="39:44">
      <c r="AM341" s="555">
        <v>45582</v>
      </c>
      <c r="AN341" s="556">
        <v>605.54</v>
      </c>
      <c r="AO341" s="556">
        <v>1102382</v>
      </c>
      <c r="AP341" s="556">
        <v>238.358</v>
      </c>
      <c r="AQ341" s="556">
        <v>144335.30332000001</v>
      </c>
      <c r="AR341" s="556">
        <v>2.0438000000000001</v>
      </c>
    </row>
    <row r="342" spans="39:44">
      <c r="AM342" s="555">
        <v>45581</v>
      </c>
      <c r="AN342" s="556">
        <v>605.13</v>
      </c>
      <c r="AO342" s="556">
        <v>560051</v>
      </c>
      <c r="AP342" s="556">
        <v>238.358</v>
      </c>
      <c r="AQ342" s="556">
        <v>144237.57654000001</v>
      </c>
      <c r="AR342" s="556">
        <v>2.0424000000000002</v>
      </c>
    </row>
    <row r="343" spans="39:44">
      <c r="AM343" s="555">
        <v>45580</v>
      </c>
      <c r="AN343" s="556">
        <v>605.13</v>
      </c>
      <c r="AO343" s="556">
        <v>560051</v>
      </c>
      <c r="AP343" s="556">
        <v>238.358</v>
      </c>
      <c r="AQ343" s="556">
        <v>144237.57654000001</v>
      </c>
      <c r="AR343" s="556">
        <v>2.0424000000000002</v>
      </c>
    </row>
    <row r="344" spans="39:44">
      <c r="AM344" s="555">
        <v>45579</v>
      </c>
      <c r="AN344" s="556">
        <v>605.13</v>
      </c>
      <c r="AO344" s="556">
        <v>560051</v>
      </c>
      <c r="AP344" s="556">
        <v>238.358</v>
      </c>
      <c r="AQ344" s="556">
        <v>144237.57654000001</v>
      </c>
      <c r="AR344" s="556">
        <v>2.0424000000000002</v>
      </c>
    </row>
    <row r="345" spans="39:44">
      <c r="AM345" s="555">
        <v>45578</v>
      </c>
      <c r="AN345" s="556">
        <v>605.82000000000005</v>
      </c>
      <c r="AO345" s="556">
        <v>856577</v>
      </c>
      <c r="AP345" s="556">
        <v>238.358</v>
      </c>
      <c r="AQ345" s="556">
        <v>144402.04356000002</v>
      </c>
      <c r="AR345" s="556">
        <v>2.0447000000000002</v>
      </c>
    </row>
    <row r="346" spans="39:44">
      <c r="AM346" s="555">
        <v>45577</v>
      </c>
      <c r="AN346" s="556">
        <v>603.20000000000005</v>
      </c>
      <c r="AO346" s="556">
        <v>1192488</v>
      </c>
      <c r="AP346" s="556">
        <v>238.358</v>
      </c>
      <c r="AQ346" s="556">
        <v>143777.54560000001</v>
      </c>
      <c r="AR346" s="556">
        <v>2.0358999999999998</v>
      </c>
    </row>
    <row r="347" spans="39:44">
      <c r="AM347" s="555">
        <v>45576</v>
      </c>
      <c r="AN347" s="556">
        <v>605.86</v>
      </c>
      <c r="AO347" s="556">
        <v>2356212</v>
      </c>
      <c r="AP347" s="556">
        <v>238.358</v>
      </c>
      <c r="AQ347" s="556">
        <v>144411.57788</v>
      </c>
      <c r="AR347" s="556">
        <v>2.0449000000000002</v>
      </c>
    </row>
    <row r="348" spans="39:44">
      <c r="AM348" s="555">
        <v>45575</v>
      </c>
      <c r="AN348" s="556">
        <v>584.55999999999995</v>
      </c>
      <c r="AO348" s="556">
        <v>975501</v>
      </c>
      <c r="AP348" s="556">
        <v>238.358</v>
      </c>
      <c r="AQ348" s="556">
        <v>139334.55247999998</v>
      </c>
      <c r="AR348" s="556">
        <v>1.9730000000000001</v>
      </c>
    </row>
    <row r="349" spans="39:44">
      <c r="AM349" s="555">
        <v>45574</v>
      </c>
      <c r="AN349" s="556">
        <v>582.36</v>
      </c>
      <c r="AO349" s="556">
        <v>848122</v>
      </c>
      <c r="AP349" s="556">
        <v>238.358</v>
      </c>
      <c r="AQ349" s="556">
        <v>138810.16488</v>
      </c>
      <c r="AR349" s="556">
        <v>1.9945999999999999</v>
      </c>
    </row>
    <row r="350" spans="39:44">
      <c r="AM350" s="555">
        <v>45573</v>
      </c>
      <c r="AN350" s="556">
        <v>582.36</v>
      </c>
      <c r="AO350" s="556">
        <v>848122</v>
      </c>
      <c r="AP350" s="556">
        <v>238.358</v>
      </c>
      <c r="AQ350" s="556">
        <v>138810.16488</v>
      </c>
      <c r="AR350" s="556">
        <v>1.9945999999999999</v>
      </c>
    </row>
    <row r="351" spans="39:44">
      <c r="AM351" s="555">
        <v>45572</v>
      </c>
      <c r="AN351" s="556">
        <v>582.36</v>
      </c>
      <c r="AO351" s="556">
        <v>848122</v>
      </c>
      <c r="AP351" s="556">
        <v>238.358</v>
      </c>
      <c r="AQ351" s="556">
        <v>138810.16488</v>
      </c>
      <c r="AR351" s="556">
        <v>1.9945999999999999</v>
      </c>
    </row>
    <row r="352" spans="39:44">
      <c r="AM352" s="555">
        <v>45571</v>
      </c>
      <c r="AN352" s="556">
        <v>577.4</v>
      </c>
      <c r="AO352" s="556">
        <v>746294</v>
      </c>
      <c r="AP352" s="556">
        <v>238.358</v>
      </c>
      <c r="AQ352" s="556">
        <v>137627.90919999999</v>
      </c>
      <c r="AR352" s="556">
        <v>1.9776</v>
      </c>
    </row>
    <row r="353" spans="39:44">
      <c r="AM353" s="555">
        <v>45570</v>
      </c>
      <c r="AN353" s="556">
        <v>577.94000000000005</v>
      </c>
      <c r="AO353" s="556">
        <v>844517</v>
      </c>
      <c r="AP353" s="556">
        <v>238.358</v>
      </c>
      <c r="AQ353" s="556">
        <v>137756.62252</v>
      </c>
      <c r="AR353" s="556">
        <v>1.9795</v>
      </c>
    </row>
    <row r="354" spans="39:44">
      <c r="AM354" s="555">
        <v>45569</v>
      </c>
      <c r="AN354" s="556">
        <v>578.63</v>
      </c>
      <c r="AO354" s="556">
        <v>690123</v>
      </c>
      <c r="AP354" s="556">
        <v>238.358</v>
      </c>
      <c r="AQ354" s="556">
        <v>137921.08954000002</v>
      </c>
      <c r="AR354" s="556">
        <v>1.9818</v>
      </c>
    </row>
    <row r="355" spans="39:44">
      <c r="AM355" s="555">
        <v>45568</v>
      </c>
      <c r="AN355" s="556">
        <v>580.51</v>
      </c>
      <c r="AO355" s="556">
        <v>884699</v>
      </c>
      <c r="AP355" s="556">
        <v>238.358</v>
      </c>
      <c r="AQ355" s="556">
        <v>138369.20258000001</v>
      </c>
      <c r="AR355" s="556">
        <v>1.9883</v>
      </c>
    </row>
    <row r="356" spans="39:44">
      <c r="AM356" s="555">
        <v>45567</v>
      </c>
      <c r="AN356" s="556">
        <v>571.91999999999996</v>
      </c>
      <c r="AO356" s="556">
        <v>3794353</v>
      </c>
      <c r="AP356" s="556">
        <v>238.358</v>
      </c>
      <c r="AQ356" s="556">
        <v>136321.70736</v>
      </c>
      <c r="AR356" s="556">
        <v>1.9588000000000001</v>
      </c>
    </row>
    <row r="357" spans="39:44">
      <c r="AM357" s="555">
        <v>45566</v>
      </c>
      <c r="AN357" s="556">
        <v>571.91999999999996</v>
      </c>
      <c r="AO357" s="556">
        <v>3794353</v>
      </c>
      <c r="AP357" s="556">
        <v>238.358</v>
      </c>
      <c r="AQ357" s="556">
        <v>136321.70736</v>
      </c>
      <c r="AR357" s="556">
        <v>1.9588000000000001</v>
      </c>
    </row>
    <row r="358" spans="39:44">
      <c r="AM358" s="555">
        <v>45565</v>
      </c>
      <c r="AN358" s="556">
        <v>571.91999999999996</v>
      </c>
      <c r="AO358" s="556">
        <v>3794353</v>
      </c>
      <c r="AP358" s="556">
        <v>238.358</v>
      </c>
      <c r="AQ358" s="556">
        <v>136321.70736</v>
      </c>
      <c r="AR358" s="556">
        <v>1.9588000000000001</v>
      </c>
    </row>
    <row r="359" spans="39:44">
      <c r="AM359" s="555">
        <v>45564</v>
      </c>
      <c r="AN359" s="556">
        <v>565.17999999999995</v>
      </c>
      <c r="AO359" s="556">
        <v>917669</v>
      </c>
      <c r="AP359" s="556">
        <v>238.358</v>
      </c>
      <c r="AQ359" s="556">
        <v>134715.17444</v>
      </c>
      <c r="AR359" s="556">
        <v>1.9358</v>
      </c>
    </row>
    <row r="360" spans="39:44">
      <c r="AM360" s="555">
        <v>45563</v>
      </c>
      <c r="AN360" s="556">
        <v>565.49</v>
      </c>
      <c r="AO360" s="556">
        <v>731817</v>
      </c>
      <c r="AP360" s="556">
        <v>238.358</v>
      </c>
      <c r="AQ360" s="556">
        <v>134789.06542</v>
      </c>
      <c r="AR360" s="556">
        <v>1.9368000000000001</v>
      </c>
    </row>
    <row r="361" spans="39:44">
      <c r="AM361" s="555">
        <v>45562</v>
      </c>
      <c r="AN361" s="556">
        <v>567.01</v>
      </c>
      <c r="AO361" s="556">
        <v>739890</v>
      </c>
      <c r="AP361" s="556">
        <v>238.358</v>
      </c>
      <c r="AQ361" s="556">
        <v>135151.36958</v>
      </c>
      <c r="AR361" s="556">
        <v>1.9419999999999999</v>
      </c>
    </row>
    <row r="362" spans="39:44">
      <c r="AM362" s="555">
        <v>45561</v>
      </c>
      <c r="AN362" s="556">
        <v>572.91999999999996</v>
      </c>
      <c r="AO362" s="556">
        <v>597813</v>
      </c>
      <c r="AP362" s="556">
        <v>238.358</v>
      </c>
      <c r="AQ362" s="556">
        <v>136560.06535999998</v>
      </c>
      <c r="AR362" s="556">
        <v>1.9622999999999999</v>
      </c>
    </row>
    <row r="363" spans="39:44">
      <c r="AM363" s="555">
        <v>45560</v>
      </c>
      <c r="AN363" s="556">
        <v>569.91</v>
      </c>
      <c r="AO363" s="556">
        <v>638809</v>
      </c>
      <c r="AP363" s="556">
        <v>238.358</v>
      </c>
      <c r="AQ363" s="556">
        <v>135842.60777999999</v>
      </c>
      <c r="AR363" s="556">
        <v>1.952</v>
      </c>
    </row>
    <row r="364" spans="39:44">
      <c r="AM364" s="555">
        <v>45559</v>
      </c>
      <c r="AN364" s="556">
        <v>569.91</v>
      </c>
      <c r="AO364" s="556">
        <v>638809</v>
      </c>
      <c r="AP364" s="556">
        <v>238.358</v>
      </c>
      <c r="AQ364" s="556">
        <v>135842.60777999999</v>
      </c>
      <c r="AR364" s="556">
        <v>1.952</v>
      </c>
    </row>
    <row r="365" spans="39:44">
      <c r="AM365" s="555">
        <v>45558</v>
      </c>
      <c r="AN365" s="556">
        <v>569.91</v>
      </c>
      <c r="AO365" s="556">
        <v>638809</v>
      </c>
      <c r="AP365" s="556">
        <v>238.358</v>
      </c>
      <c r="AQ365" s="556">
        <v>135842.60777999999</v>
      </c>
      <c r="AR365" s="556">
        <v>1.952</v>
      </c>
    </row>
    <row r="366" spans="39:44">
      <c r="AM366" s="555">
        <v>45557</v>
      </c>
      <c r="AN366" s="556">
        <v>568.27</v>
      </c>
      <c r="AO366" s="556">
        <v>739418</v>
      </c>
      <c r="AP366" s="556">
        <v>238.358</v>
      </c>
      <c r="AQ366" s="556">
        <v>135451.70066</v>
      </c>
      <c r="AR366" s="556">
        <v>1.9462999999999999</v>
      </c>
    </row>
    <row r="367" spans="39:44">
      <c r="AM367" s="555">
        <v>45556</v>
      </c>
      <c r="AN367" s="556">
        <v>566.96</v>
      </c>
      <c r="AO367" s="556">
        <v>809242</v>
      </c>
      <c r="AP367" s="556">
        <v>238.358</v>
      </c>
      <c r="AQ367" s="556">
        <v>135139.45168</v>
      </c>
      <c r="AR367" s="556">
        <v>1.9419</v>
      </c>
    </row>
    <row r="368" spans="39:44">
      <c r="AM368" s="555">
        <v>45555</v>
      </c>
      <c r="AN368" s="556">
        <v>572.19000000000005</v>
      </c>
      <c r="AO368" s="556">
        <v>756528</v>
      </c>
      <c r="AP368" s="556">
        <v>238.358</v>
      </c>
      <c r="AQ368" s="556">
        <v>136386.06402000002</v>
      </c>
      <c r="AR368" s="556">
        <v>1.9598</v>
      </c>
    </row>
    <row r="369" spans="39:44">
      <c r="AM369" s="555">
        <v>45554</v>
      </c>
      <c r="AN369" s="556">
        <v>576.57000000000005</v>
      </c>
      <c r="AO369" s="556">
        <v>810168</v>
      </c>
      <c r="AP369" s="556">
        <v>238.358</v>
      </c>
      <c r="AQ369" s="556">
        <v>137430.07206000001</v>
      </c>
      <c r="AR369" s="556">
        <v>1.9748000000000001</v>
      </c>
    </row>
    <row r="370" spans="39:44">
      <c r="AM370" s="555">
        <v>45553</v>
      </c>
      <c r="AN370" s="556">
        <v>566.63</v>
      </c>
      <c r="AO370" s="556">
        <v>976688</v>
      </c>
      <c r="AP370" s="556">
        <v>238.358</v>
      </c>
      <c r="AQ370" s="556">
        <v>135060.79354000001</v>
      </c>
      <c r="AR370" s="556">
        <v>1.9407000000000001</v>
      </c>
    </row>
    <row r="371" spans="39:44">
      <c r="AM371" s="555">
        <v>45552</v>
      </c>
      <c r="AN371" s="556">
        <v>566.63</v>
      </c>
      <c r="AO371" s="556">
        <v>976688</v>
      </c>
      <c r="AP371" s="556">
        <v>238.358</v>
      </c>
      <c r="AQ371" s="556">
        <v>135060.79354000001</v>
      </c>
      <c r="AR371" s="556">
        <v>1.9407000000000001</v>
      </c>
    </row>
    <row r="372" spans="39:44">
      <c r="AM372" s="555">
        <v>45551</v>
      </c>
      <c r="AN372" s="556">
        <v>566.63</v>
      </c>
      <c r="AO372" s="556">
        <v>976688</v>
      </c>
      <c r="AP372" s="556">
        <v>238.358</v>
      </c>
      <c r="AQ372" s="556">
        <v>135060.79354000001</v>
      </c>
      <c r="AR372" s="556">
        <v>1.9407000000000001</v>
      </c>
    </row>
    <row r="373" spans="39:44">
      <c r="AM373" s="555">
        <v>45550</v>
      </c>
      <c r="AN373" s="556">
        <v>568.59</v>
      </c>
      <c r="AO373" s="556">
        <v>841029</v>
      </c>
      <c r="AP373" s="556">
        <v>238.358</v>
      </c>
      <c r="AQ373" s="556">
        <v>135527.97522000002</v>
      </c>
      <c r="AR373" s="556">
        <v>1.9474</v>
      </c>
    </row>
    <row r="374" spans="39:44">
      <c r="AM374" s="555">
        <v>45549</v>
      </c>
      <c r="AN374" s="556">
        <v>574.78</v>
      </c>
      <c r="AO374" s="556">
        <v>941774</v>
      </c>
      <c r="AP374" s="556">
        <v>238.358</v>
      </c>
      <c r="AQ374" s="556">
        <v>137003.41123999999</v>
      </c>
      <c r="AR374" s="556">
        <v>1.9685999999999999</v>
      </c>
    </row>
    <row r="375" spans="39:44">
      <c r="AM375" s="555">
        <v>45548</v>
      </c>
      <c r="AN375" s="556">
        <v>567.22</v>
      </c>
      <c r="AO375" s="556">
        <v>1267110</v>
      </c>
      <c r="AP375" s="556">
        <v>238.358</v>
      </c>
      <c r="AQ375" s="556">
        <v>135201.42475999999</v>
      </c>
      <c r="AR375" s="556">
        <v>1.9427000000000001</v>
      </c>
    </row>
    <row r="376" spans="39:44">
      <c r="AM376" s="555">
        <v>45547</v>
      </c>
      <c r="AN376" s="556">
        <v>568.1</v>
      </c>
      <c r="AO376" s="556">
        <v>1082809</v>
      </c>
      <c r="AP376" s="556">
        <v>238.358</v>
      </c>
      <c r="AQ376" s="556">
        <v>135411.17980000001</v>
      </c>
      <c r="AR376" s="556">
        <v>1.9458</v>
      </c>
    </row>
    <row r="377" spans="39:44">
      <c r="AM377" s="555">
        <v>45546</v>
      </c>
      <c r="AN377" s="556">
        <v>568.1</v>
      </c>
      <c r="AO377" s="556">
        <v>1082809</v>
      </c>
      <c r="AP377" s="556">
        <v>238.358</v>
      </c>
      <c r="AQ377" s="556">
        <v>135411.17980000001</v>
      </c>
      <c r="AR377" s="556">
        <v>1.9458</v>
      </c>
    </row>
    <row r="378" spans="39:44">
      <c r="AM378" s="555">
        <v>45545</v>
      </c>
      <c r="AN378" s="556">
        <v>568.1</v>
      </c>
      <c r="AO378" s="556">
        <v>1082809</v>
      </c>
      <c r="AP378" s="556">
        <v>238.358</v>
      </c>
      <c r="AQ378" s="556">
        <v>135411.17980000001</v>
      </c>
      <c r="AR378" s="556">
        <v>1.9458</v>
      </c>
    </row>
    <row r="379" spans="39:44">
      <c r="AM379" s="555">
        <v>45544</v>
      </c>
      <c r="AN379" s="556">
        <v>568.1</v>
      </c>
      <c r="AO379" s="556">
        <v>1082809</v>
      </c>
      <c r="AP379" s="556">
        <v>238.358</v>
      </c>
      <c r="AQ379" s="556">
        <v>135411.17980000001</v>
      </c>
      <c r="AR379" s="556">
        <v>1.9458</v>
      </c>
    </row>
    <row r="380" spans="39:44">
      <c r="AM380" s="555">
        <v>45543</v>
      </c>
      <c r="AN380" s="556">
        <v>566.85</v>
      </c>
      <c r="AO380" s="556">
        <v>662462</v>
      </c>
      <c r="AP380" s="556">
        <v>238.358</v>
      </c>
      <c r="AQ380" s="556">
        <v>135113.2323</v>
      </c>
      <c r="AR380" s="556">
        <v>1.9415</v>
      </c>
    </row>
    <row r="381" spans="39:44">
      <c r="AM381" s="555">
        <v>45542</v>
      </c>
      <c r="AN381" s="556">
        <v>563.98</v>
      </c>
      <c r="AO381" s="556">
        <v>829310</v>
      </c>
      <c r="AP381" s="556">
        <v>238.358</v>
      </c>
      <c r="AQ381" s="556">
        <v>134429.14483999999</v>
      </c>
      <c r="AR381" s="556">
        <v>1.9316</v>
      </c>
    </row>
    <row r="382" spans="39:44">
      <c r="AM382" s="555">
        <v>45541</v>
      </c>
      <c r="AN382" s="556">
        <v>560.41</v>
      </c>
      <c r="AO382" s="556">
        <v>749831</v>
      </c>
      <c r="AP382" s="556">
        <v>238.358</v>
      </c>
      <c r="AQ382" s="556">
        <v>133578.20678000001</v>
      </c>
      <c r="AR382" s="556">
        <v>1.9194</v>
      </c>
    </row>
    <row r="383" spans="39:44">
      <c r="AM383" s="555">
        <v>45540</v>
      </c>
      <c r="AN383" s="556">
        <v>558.1</v>
      </c>
      <c r="AO383" s="556">
        <v>795360</v>
      </c>
      <c r="AP383" s="556">
        <v>238.358</v>
      </c>
      <c r="AQ383" s="556">
        <v>133027.5998</v>
      </c>
      <c r="AR383" s="556">
        <v>1.9115</v>
      </c>
    </row>
    <row r="384" spans="39:44">
      <c r="AM384" s="555">
        <v>45539</v>
      </c>
      <c r="AN384" s="556">
        <v>555.01</v>
      </c>
      <c r="AO384" s="556">
        <v>870355</v>
      </c>
      <c r="AP384" s="556">
        <v>238.358</v>
      </c>
      <c r="AQ384" s="556">
        <v>132291.07358</v>
      </c>
      <c r="AR384" s="556">
        <v>1.9009</v>
      </c>
    </row>
    <row r="385" spans="39:44">
      <c r="AM385" s="555">
        <v>45538</v>
      </c>
      <c r="AN385" s="556">
        <v>555.01</v>
      </c>
      <c r="AO385" s="556">
        <v>870355</v>
      </c>
      <c r="AP385" s="556">
        <v>238.358</v>
      </c>
      <c r="AQ385" s="556">
        <v>132291.07358</v>
      </c>
      <c r="AR385" s="556">
        <v>1.9009</v>
      </c>
    </row>
    <row r="386" spans="39:44">
      <c r="AM386" s="555">
        <v>45537</v>
      </c>
      <c r="AN386" s="556">
        <v>555.01</v>
      </c>
      <c r="AO386" s="556">
        <v>870355</v>
      </c>
      <c r="AP386" s="556">
        <v>238.358</v>
      </c>
      <c r="AQ386" s="556">
        <v>132291.07358</v>
      </c>
      <c r="AR386" s="556">
        <v>1.9009</v>
      </c>
    </row>
    <row r="387" spans="39:44">
      <c r="AM387" s="555">
        <v>45536</v>
      </c>
      <c r="AN387" s="556">
        <v>557.03</v>
      </c>
      <c r="AO387" s="556">
        <v>774578</v>
      </c>
      <c r="AP387" s="556">
        <v>238.358</v>
      </c>
      <c r="AQ387" s="556">
        <v>132772.55674</v>
      </c>
      <c r="AR387" s="556">
        <v>1.9077999999999999</v>
      </c>
    </row>
    <row r="388" spans="39:44">
      <c r="AM388" s="555">
        <v>45535</v>
      </c>
      <c r="AN388" s="556">
        <v>553.76</v>
      </c>
      <c r="AO388" s="556">
        <v>883062</v>
      </c>
      <c r="AP388" s="556">
        <v>238.358</v>
      </c>
      <c r="AQ388" s="556">
        <v>131993.12607999999</v>
      </c>
      <c r="AR388" s="556">
        <v>1.8966000000000001</v>
      </c>
    </row>
    <row r="389" spans="39:44">
      <c r="AM389" s="555">
        <v>45534</v>
      </c>
      <c r="AN389" s="556">
        <v>557.01</v>
      </c>
      <c r="AO389" s="556">
        <v>972254</v>
      </c>
      <c r="AP389" s="556">
        <v>238.358</v>
      </c>
      <c r="AQ389" s="556">
        <v>132767.78958000001</v>
      </c>
      <c r="AR389" s="556">
        <v>1.9077999999999999</v>
      </c>
    </row>
    <row r="390" spans="39:44">
      <c r="AM390" s="555">
        <v>45533</v>
      </c>
      <c r="AN390" s="556">
        <v>558.39</v>
      </c>
      <c r="AO390" s="556">
        <v>709735</v>
      </c>
      <c r="AP390" s="556">
        <v>238.358</v>
      </c>
      <c r="AQ390" s="556">
        <v>133096.72362</v>
      </c>
      <c r="AR390" s="556">
        <v>1.9125000000000001</v>
      </c>
    </row>
    <row r="391" spans="39:44">
      <c r="AM391" s="555">
        <v>45532</v>
      </c>
      <c r="AN391" s="556">
        <v>560.13</v>
      </c>
      <c r="AO391" s="556">
        <v>912022</v>
      </c>
      <c r="AP391" s="556">
        <v>238.358</v>
      </c>
      <c r="AQ391" s="556">
        <v>133511.46653999999</v>
      </c>
      <c r="AR391" s="556">
        <v>1.9185000000000001</v>
      </c>
    </row>
    <row r="392" spans="39:44">
      <c r="AM392" s="555">
        <v>45531</v>
      </c>
      <c r="AN392" s="556">
        <v>560.13</v>
      </c>
      <c r="AO392" s="556">
        <v>912022</v>
      </c>
      <c r="AP392" s="556">
        <v>238.358</v>
      </c>
      <c r="AQ392" s="556">
        <v>133511.46653999999</v>
      </c>
      <c r="AR392" s="556">
        <v>1.9185000000000001</v>
      </c>
    </row>
    <row r="393" spans="39:44">
      <c r="AM393" s="555">
        <v>45530</v>
      </c>
      <c r="AN393" s="556">
        <v>560.13</v>
      </c>
      <c r="AO393" s="556">
        <v>912022</v>
      </c>
      <c r="AP393" s="556">
        <v>238.358</v>
      </c>
      <c r="AQ393" s="556">
        <v>133511.46653999999</v>
      </c>
      <c r="AR393" s="556">
        <v>1.9185000000000001</v>
      </c>
    </row>
    <row r="394" spans="39:44">
      <c r="AM394" s="555">
        <v>45529</v>
      </c>
      <c r="AN394" s="556">
        <v>560.29</v>
      </c>
      <c r="AO394" s="556">
        <v>974590</v>
      </c>
      <c r="AP394" s="556">
        <v>238.358</v>
      </c>
      <c r="AQ394" s="556">
        <v>133549.60381999999</v>
      </c>
      <c r="AR394" s="556">
        <v>1.919</v>
      </c>
    </row>
    <row r="395" spans="39:44">
      <c r="AM395" s="555">
        <v>45528</v>
      </c>
      <c r="AN395" s="556">
        <v>563.22</v>
      </c>
      <c r="AO395" s="556">
        <v>796727</v>
      </c>
      <c r="AP395" s="556">
        <v>238.358</v>
      </c>
      <c r="AQ395" s="556">
        <v>134247.99276000002</v>
      </c>
      <c r="AR395" s="556">
        <v>1.929</v>
      </c>
    </row>
    <row r="396" spans="39:44">
      <c r="AM396" s="555">
        <v>45527</v>
      </c>
      <c r="AN396" s="556">
        <v>559.41999999999996</v>
      </c>
      <c r="AO396" s="556">
        <v>793610</v>
      </c>
      <c r="AP396" s="556">
        <v>238.358</v>
      </c>
      <c r="AQ396" s="556">
        <v>133342.23235999999</v>
      </c>
      <c r="AR396" s="556">
        <v>1.9159999999999999</v>
      </c>
    </row>
    <row r="397" spans="39:44">
      <c r="AM397" s="555">
        <v>45526</v>
      </c>
      <c r="AN397" s="556">
        <v>556.91</v>
      </c>
      <c r="AO397" s="556">
        <v>793920</v>
      </c>
      <c r="AP397" s="556">
        <v>238.358</v>
      </c>
      <c r="AQ397" s="556">
        <v>132743.95377999998</v>
      </c>
      <c r="AR397" s="556">
        <v>1.9074</v>
      </c>
    </row>
    <row r="398" spans="39:44">
      <c r="AM398" s="555">
        <v>45525</v>
      </c>
      <c r="AN398" s="556">
        <v>551.58000000000004</v>
      </c>
      <c r="AO398" s="556">
        <v>825286</v>
      </c>
      <c r="AP398" s="556">
        <v>238.358</v>
      </c>
      <c r="AQ398" s="556">
        <v>131473.50564000002</v>
      </c>
      <c r="AR398" s="556">
        <v>1.8892</v>
      </c>
    </row>
    <row r="399" spans="39:44">
      <c r="AM399" s="555">
        <v>45524</v>
      </c>
      <c r="AN399" s="556">
        <v>551.58000000000004</v>
      </c>
      <c r="AO399" s="556">
        <v>825286</v>
      </c>
      <c r="AP399" s="556">
        <v>238.358</v>
      </c>
      <c r="AQ399" s="556">
        <v>131473.50564000002</v>
      </c>
      <c r="AR399" s="556">
        <v>1.8892</v>
      </c>
    </row>
    <row r="400" spans="39:44">
      <c r="AM400" s="555">
        <v>45523</v>
      </c>
      <c r="AN400" s="556">
        <v>551.58000000000004</v>
      </c>
      <c r="AO400" s="556">
        <v>825286</v>
      </c>
      <c r="AP400" s="556">
        <v>238.358</v>
      </c>
      <c r="AQ400" s="556">
        <v>131473.50564000002</v>
      </c>
      <c r="AR400" s="556">
        <v>1.8892</v>
      </c>
    </row>
    <row r="401" spans="39:44">
      <c r="AM401" s="555">
        <v>45522</v>
      </c>
      <c r="AN401" s="556">
        <v>551.62</v>
      </c>
      <c r="AO401" s="556">
        <v>846337</v>
      </c>
      <c r="AP401" s="556">
        <v>238.358</v>
      </c>
      <c r="AQ401" s="556">
        <v>131483.03995999999</v>
      </c>
      <c r="AR401" s="556">
        <v>1.8893</v>
      </c>
    </row>
    <row r="402" spans="39:44">
      <c r="AM402" s="555">
        <v>45521</v>
      </c>
      <c r="AN402" s="556">
        <v>548.51</v>
      </c>
      <c r="AO402" s="556">
        <v>1306584</v>
      </c>
      <c r="AP402" s="556">
        <v>238.358</v>
      </c>
      <c r="AQ402" s="556">
        <v>130741.74658000001</v>
      </c>
      <c r="AR402" s="556">
        <v>1.8787</v>
      </c>
    </row>
    <row r="403" spans="39:44">
      <c r="AM403" s="555">
        <v>45520</v>
      </c>
      <c r="AN403" s="556">
        <v>541.55999999999995</v>
      </c>
      <c r="AO403" s="556">
        <v>1033745</v>
      </c>
      <c r="AP403" s="556">
        <v>238.358</v>
      </c>
      <c r="AQ403" s="556">
        <v>129085.15847999998</v>
      </c>
      <c r="AR403" s="556">
        <v>1.8549</v>
      </c>
    </row>
    <row r="404" spans="39:44">
      <c r="AM404" s="555">
        <v>45519</v>
      </c>
      <c r="AN404" s="556">
        <v>545.38</v>
      </c>
      <c r="AO404" s="556">
        <v>1683773</v>
      </c>
      <c r="AP404" s="556">
        <v>238.358</v>
      </c>
      <c r="AQ404" s="556">
        <v>129995.68604</v>
      </c>
      <c r="AR404" s="556">
        <v>1.8678999999999999</v>
      </c>
    </row>
    <row r="405" spans="39:44">
      <c r="AM405" s="555">
        <v>45518</v>
      </c>
      <c r="AN405" s="556">
        <v>548.77</v>
      </c>
      <c r="AO405" s="556">
        <v>1484756</v>
      </c>
      <c r="AP405" s="556">
        <v>238.358</v>
      </c>
      <c r="AQ405" s="556">
        <v>130803.71966</v>
      </c>
      <c r="AR405" s="556">
        <v>1.8794999999999999</v>
      </c>
    </row>
    <row r="406" spans="39:44">
      <c r="AM406" s="555">
        <v>45517</v>
      </c>
      <c r="AN406" s="556">
        <v>548.77</v>
      </c>
      <c r="AO406" s="556">
        <v>1484756</v>
      </c>
      <c r="AP406" s="556">
        <v>238.358</v>
      </c>
      <c r="AQ406" s="556">
        <v>130803.71966</v>
      </c>
      <c r="AR406" s="556">
        <v>1.8794999999999999</v>
      </c>
    </row>
    <row r="407" spans="39:44">
      <c r="AM407" s="555">
        <v>45516</v>
      </c>
      <c r="AN407" s="556">
        <v>548.77</v>
      </c>
      <c r="AO407" s="556">
        <v>1484756</v>
      </c>
      <c r="AP407" s="556">
        <v>238.358</v>
      </c>
      <c r="AQ407" s="556">
        <v>130803.71966</v>
      </c>
      <c r="AR407" s="556">
        <v>1.8794999999999999</v>
      </c>
    </row>
    <row r="408" spans="39:44">
      <c r="AM408" s="555">
        <v>45515</v>
      </c>
      <c r="AN408" s="556">
        <v>548.86</v>
      </c>
      <c r="AO408" s="556">
        <v>1271748</v>
      </c>
      <c r="AP408" s="556">
        <v>238.358</v>
      </c>
      <c r="AQ408" s="556">
        <v>130825.17188000001</v>
      </c>
      <c r="AR408" s="556">
        <v>1.8798999999999999</v>
      </c>
    </row>
    <row r="409" spans="39:44">
      <c r="AM409" s="555">
        <v>45514</v>
      </c>
      <c r="AN409" s="556">
        <v>541.91999999999996</v>
      </c>
      <c r="AO409" s="556">
        <v>1481529</v>
      </c>
      <c r="AP409" s="556">
        <v>238.358</v>
      </c>
      <c r="AQ409" s="556">
        <v>129170.96736</v>
      </c>
      <c r="AR409" s="556">
        <v>1.8561000000000001</v>
      </c>
    </row>
    <row r="410" spans="39:44">
      <c r="AM410" s="555">
        <v>45513</v>
      </c>
      <c r="AN410" s="556">
        <v>537.66</v>
      </c>
      <c r="AO410" s="556">
        <v>1234234</v>
      </c>
      <c r="AP410" s="556">
        <v>238.358</v>
      </c>
      <c r="AQ410" s="556">
        <v>128155.56228</v>
      </c>
      <c r="AR410" s="556">
        <v>1.8414999999999999</v>
      </c>
    </row>
    <row r="411" spans="39:44">
      <c r="AM411" s="555">
        <v>45512</v>
      </c>
      <c r="AN411" s="556">
        <v>527.64</v>
      </c>
      <c r="AO411" s="556">
        <v>961345</v>
      </c>
      <c r="AP411" s="556">
        <v>238.358</v>
      </c>
      <c r="AQ411" s="556">
        <v>125767.21511999999</v>
      </c>
      <c r="AR411" s="556">
        <v>1.8071999999999999</v>
      </c>
    </row>
    <row r="412" spans="39:44">
      <c r="AM412" s="555">
        <v>45511</v>
      </c>
      <c r="AN412" s="556">
        <v>524.79999999999995</v>
      </c>
      <c r="AO412" s="556">
        <v>1141310</v>
      </c>
      <c r="AP412" s="556">
        <v>238.358</v>
      </c>
      <c r="AQ412" s="556">
        <v>125090.2784</v>
      </c>
      <c r="AR412" s="556">
        <v>1.7975000000000001</v>
      </c>
    </row>
    <row r="413" spans="39:44">
      <c r="AM413" s="555">
        <v>45510</v>
      </c>
      <c r="AN413" s="556">
        <v>524.79999999999995</v>
      </c>
      <c r="AO413" s="556">
        <v>1141310</v>
      </c>
      <c r="AP413" s="556">
        <v>238.358</v>
      </c>
      <c r="AQ413" s="556">
        <v>125090.2784</v>
      </c>
      <c r="AR413" s="556">
        <v>1.7975000000000001</v>
      </c>
    </row>
    <row r="414" spans="39:44">
      <c r="AM414" s="555">
        <v>45509</v>
      </c>
      <c r="AN414" s="556">
        <v>524.79999999999995</v>
      </c>
      <c r="AO414" s="556">
        <v>1141310</v>
      </c>
      <c r="AP414" s="556">
        <v>238.358</v>
      </c>
      <c r="AQ414" s="556">
        <v>125090.2784</v>
      </c>
      <c r="AR414" s="556">
        <v>1.7975000000000001</v>
      </c>
    </row>
    <row r="415" spans="39:44">
      <c r="AM415" s="555">
        <v>45508</v>
      </c>
      <c r="AN415" s="556">
        <v>521.4</v>
      </c>
      <c r="AO415" s="556">
        <v>1923901</v>
      </c>
      <c r="AP415" s="556">
        <v>238.358</v>
      </c>
      <c r="AQ415" s="556">
        <v>124279.8612</v>
      </c>
      <c r="AR415" s="556">
        <v>1.7858000000000001</v>
      </c>
    </row>
    <row r="416" spans="39:44">
      <c r="AM416" s="555">
        <v>45507</v>
      </c>
      <c r="AN416" s="556">
        <v>515.20000000000005</v>
      </c>
      <c r="AO416" s="556">
        <v>2580066</v>
      </c>
      <c r="AP416" s="556">
        <v>238.358</v>
      </c>
      <c r="AQ416" s="556">
        <v>122802.04160000001</v>
      </c>
      <c r="AR416" s="556">
        <v>1.7645999999999999</v>
      </c>
    </row>
    <row r="417" spans="39:44">
      <c r="AM417" s="555">
        <v>45506</v>
      </c>
      <c r="AN417" s="556">
        <v>501.29</v>
      </c>
      <c r="AO417" s="556">
        <v>2579132</v>
      </c>
      <c r="AP417" s="556">
        <v>238.358</v>
      </c>
      <c r="AQ417" s="556">
        <v>119486.48182</v>
      </c>
      <c r="AR417" s="556">
        <v>1.7169000000000001</v>
      </c>
    </row>
    <row r="418" spans="39:44">
      <c r="AM418" s="555">
        <v>45505</v>
      </c>
      <c r="AN418" s="556">
        <v>474.59</v>
      </c>
      <c r="AO418" s="556">
        <v>881562</v>
      </c>
      <c r="AP418" s="556">
        <v>239.93814</v>
      </c>
      <c r="AQ418" s="556">
        <v>113872.2418626</v>
      </c>
      <c r="AR418" s="556">
        <v>1.6254999999999999</v>
      </c>
    </row>
    <row r="419" spans="39:44">
      <c r="AM419" s="555">
        <v>45504</v>
      </c>
      <c r="AN419" s="556">
        <v>474.92</v>
      </c>
      <c r="AO419" s="556">
        <v>889361</v>
      </c>
      <c r="AP419" s="556">
        <v>239.93814</v>
      </c>
      <c r="AQ419" s="556">
        <v>113951.4214488</v>
      </c>
      <c r="AR419" s="556">
        <v>1.6266</v>
      </c>
    </row>
    <row r="420" spans="39:44">
      <c r="AM420" s="555">
        <v>45503</v>
      </c>
      <c r="AN420" s="556">
        <v>474.92</v>
      </c>
      <c r="AO420" s="556">
        <v>889361</v>
      </c>
      <c r="AP420" s="556">
        <v>239.93814</v>
      </c>
      <c r="AQ420" s="556">
        <v>113951.4214488</v>
      </c>
      <c r="AR420" s="556">
        <v>1.6266</v>
      </c>
    </row>
    <row r="421" spans="39:44">
      <c r="AM421" s="555">
        <v>45502</v>
      </c>
      <c r="AN421" s="556">
        <v>474.92</v>
      </c>
      <c r="AO421" s="556">
        <v>889361</v>
      </c>
      <c r="AP421" s="556">
        <v>239.93814</v>
      </c>
      <c r="AQ421" s="556">
        <v>113951.4214488</v>
      </c>
      <c r="AR421" s="556">
        <v>1.6266</v>
      </c>
    </row>
    <row r="422" spans="39:44">
      <c r="AM422" s="555">
        <v>45501</v>
      </c>
      <c r="AN422" s="556">
        <v>476</v>
      </c>
      <c r="AO422" s="556">
        <v>981061</v>
      </c>
      <c r="AP422" s="556">
        <v>239.93814</v>
      </c>
      <c r="AQ422" s="556">
        <v>114210.55464</v>
      </c>
      <c r="AR422" s="556">
        <v>1.6303000000000001</v>
      </c>
    </row>
    <row r="423" spans="39:44">
      <c r="AM423" s="555">
        <v>45500</v>
      </c>
      <c r="AN423" s="556">
        <v>476.07</v>
      </c>
      <c r="AO423" s="556">
        <v>1123060</v>
      </c>
      <c r="AP423" s="556">
        <v>239.93814</v>
      </c>
      <c r="AQ423" s="556">
        <v>114227.35030980001</v>
      </c>
      <c r="AR423" s="556">
        <v>1.6306</v>
      </c>
    </row>
    <row r="424" spans="39:44">
      <c r="AM424" s="555">
        <v>45499</v>
      </c>
      <c r="AN424" s="556">
        <v>468.58</v>
      </c>
      <c r="AO424" s="556">
        <v>736547</v>
      </c>
      <c r="AP424" s="556">
        <v>239.93814</v>
      </c>
      <c r="AQ424" s="556">
        <v>112430.2136412</v>
      </c>
      <c r="AR424" s="556">
        <v>1.6049</v>
      </c>
    </row>
    <row r="425" spans="39:44">
      <c r="AM425" s="555">
        <v>45498</v>
      </c>
      <c r="AN425" s="556">
        <v>463.88</v>
      </c>
      <c r="AO425" s="556">
        <v>783092</v>
      </c>
      <c r="AP425" s="556">
        <v>239.93814</v>
      </c>
      <c r="AQ425" s="556">
        <v>111302.50438319999</v>
      </c>
      <c r="AR425" s="556">
        <v>1.5888</v>
      </c>
    </row>
    <row r="426" spans="39:44">
      <c r="AM426" s="555">
        <v>45497</v>
      </c>
      <c r="AN426" s="556">
        <v>463.73</v>
      </c>
      <c r="AO426" s="556">
        <v>579436</v>
      </c>
      <c r="AP426" s="556">
        <v>239.93814</v>
      </c>
      <c r="AQ426" s="556">
        <v>111266.5136622</v>
      </c>
      <c r="AR426" s="556">
        <v>1.5883</v>
      </c>
    </row>
    <row r="427" spans="39:44">
      <c r="AM427" s="555">
        <v>45496</v>
      </c>
      <c r="AN427" s="556">
        <v>463.73</v>
      </c>
      <c r="AO427" s="556">
        <v>579436</v>
      </c>
      <c r="AP427" s="556">
        <v>239.93814</v>
      </c>
      <c r="AQ427" s="556">
        <v>111266.5136622</v>
      </c>
      <c r="AR427" s="556">
        <v>1.5883</v>
      </c>
    </row>
    <row r="428" spans="39:44">
      <c r="AM428" s="555">
        <v>45495</v>
      </c>
      <c r="AN428" s="556">
        <v>463.73</v>
      </c>
      <c r="AO428" s="556">
        <v>579436</v>
      </c>
      <c r="AP428" s="556">
        <v>239.93814</v>
      </c>
      <c r="AQ428" s="556">
        <v>111266.5136622</v>
      </c>
      <c r="AR428" s="556">
        <v>1.5883</v>
      </c>
    </row>
    <row r="429" spans="39:44">
      <c r="AM429" s="555">
        <v>45494</v>
      </c>
      <c r="AN429" s="556">
        <v>460.38</v>
      </c>
      <c r="AO429" s="556">
        <v>1132976</v>
      </c>
      <c r="AP429" s="556">
        <v>239.93814</v>
      </c>
      <c r="AQ429" s="556">
        <v>110462.72089320001</v>
      </c>
      <c r="AR429" s="556">
        <v>1.5768</v>
      </c>
    </row>
    <row r="430" spans="39:44">
      <c r="AM430" s="555">
        <v>45493</v>
      </c>
      <c r="AN430" s="556">
        <v>461.01</v>
      </c>
      <c r="AO430" s="556">
        <v>655973</v>
      </c>
      <c r="AP430" s="556">
        <v>239.93814</v>
      </c>
      <c r="AQ430" s="556">
        <v>110613.8819214</v>
      </c>
      <c r="AR430" s="556">
        <v>1.579</v>
      </c>
    </row>
    <row r="431" spans="39:44">
      <c r="AM431" s="555">
        <v>45492</v>
      </c>
      <c r="AN431" s="556">
        <v>460.3</v>
      </c>
      <c r="AO431" s="556">
        <v>537209</v>
      </c>
      <c r="AP431" s="556">
        <v>239.93814</v>
      </c>
      <c r="AQ431" s="556">
        <v>110443.525842</v>
      </c>
      <c r="AR431" s="556">
        <v>1.5765</v>
      </c>
    </row>
    <row r="432" spans="39:44">
      <c r="AM432" s="555">
        <v>45491</v>
      </c>
      <c r="AN432" s="556">
        <v>461.76</v>
      </c>
      <c r="AO432" s="556">
        <v>447867</v>
      </c>
      <c r="AP432" s="556">
        <v>239.93814</v>
      </c>
      <c r="AQ432" s="556">
        <v>110793.8355264</v>
      </c>
      <c r="AR432" s="556">
        <v>1.5814999999999999</v>
      </c>
    </row>
    <row r="433" spans="39:44">
      <c r="AM433" s="555">
        <v>45490</v>
      </c>
      <c r="AN433" s="556">
        <v>462.16</v>
      </c>
      <c r="AO433" s="556">
        <v>631595</v>
      </c>
      <c r="AP433" s="556">
        <v>239.93814</v>
      </c>
      <c r="AQ433" s="556">
        <v>110889.8107824</v>
      </c>
      <c r="AR433" s="556">
        <v>1.5829</v>
      </c>
    </row>
    <row r="434" spans="39:44">
      <c r="AM434" s="555">
        <v>45489</v>
      </c>
      <c r="AN434" s="556">
        <v>462.16</v>
      </c>
      <c r="AO434" s="556">
        <v>631595</v>
      </c>
      <c r="AP434" s="556">
        <v>239.93814</v>
      </c>
      <c r="AQ434" s="556">
        <v>110889.8107824</v>
      </c>
      <c r="AR434" s="556">
        <v>1.5829</v>
      </c>
    </row>
    <row r="435" spans="39:44">
      <c r="AM435" s="555">
        <v>45488</v>
      </c>
      <c r="AN435" s="556">
        <v>462.16</v>
      </c>
      <c r="AO435" s="556">
        <v>631595</v>
      </c>
      <c r="AP435" s="556">
        <v>239.93814</v>
      </c>
      <c r="AQ435" s="556">
        <v>110889.8107824</v>
      </c>
      <c r="AR435" s="556">
        <v>1.5829</v>
      </c>
    </row>
    <row r="436" spans="39:44">
      <c r="AM436" s="555">
        <v>45487</v>
      </c>
      <c r="AN436" s="556">
        <v>466.03</v>
      </c>
      <c r="AO436" s="556">
        <v>313283</v>
      </c>
      <c r="AP436" s="556">
        <v>239.93814</v>
      </c>
      <c r="AQ436" s="556">
        <v>111818.3713842</v>
      </c>
      <c r="AR436" s="556">
        <v>1.5962000000000001</v>
      </c>
    </row>
    <row r="437" spans="39:44">
      <c r="AM437" s="555">
        <v>45486</v>
      </c>
      <c r="AN437" s="556">
        <v>466.03</v>
      </c>
      <c r="AO437" s="556">
        <v>313283</v>
      </c>
      <c r="AP437" s="556">
        <v>239.93814</v>
      </c>
      <c r="AQ437" s="556">
        <v>111818.3713842</v>
      </c>
      <c r="AR437" s="556">
        <v>1.5962000000000001</v>
      </c>
    </row>
    <row r="438" spans="39:44">
      <c r="AM438" s="555">
        <v>45485</v>
      </c>
      <c r="AN438" s="556">
        <v>465.7</v>
      </c>
      <c r="AO438" s="556">
        <v>502492</v>
      </c>
      <c r="AP438" s="556">
        <v>239.93814</v>
      </c>
      <c r="AQ438" s="556">
        <v>111739.191798</v>
      </c>
      <c r="AR438" s="556">
        <v>1.595</v>
      </c>
    </row>
    <row r="439" spans="39:44">
      <c r="AM439" s="555">
        <v>45484</v>
      </c>
      <c r="AN439" s="556">
        <v>466.44</v>
      </c>
      <c r="AO439" s="556">
        <v>562562</v>
      </c>
      <c r="AP439" s="556">
        <v>239.93814</v>
      </c>
      <c r="AQ439" s="556">
        <v>111916.7460216</v>
      </c>
      <c r="AR439" s="556">
        <v>1.5975999999999999</v>
      </c>
    </row>
    <row r="440" spans="39:44">
      <c r="AM440" s="555">
        <v>45483</v>
      </c>
      <c r="AN440" s="556">
        <v>467.1</v>
      </c>
      <c r="AO440" s="556">
        <v>3472549</v>
      </c>
      <c r="AP440" s="556">
        <v>239.93814</v>
      </c>
      <c r="AQ440" s="556">
        <v>112075.105194</v>
      </c>
      <c r="AR440" s="556">
        <v>1.6555</v>
      </c>
    </row>
    <row r="441" spans="39:44">
      <c r="AM441" s="555">
        <v>45482</v>
      </c>
      <c r="AN441" s="556">
        <v>467.1</v>
      </c>
      <c r="AO441" s="556">
        <v>3472549</v>
      </c>
      <c r="AP441" s="556">
        <v>239.93814</v>
      </c>
      <c r="AQ441" s="556">
        <v>112075.105194</v>
      </c>
      <c r="AR441" s="556">
        <v>1.6555</v>
      </c>
    </row>
    <row r="442" spans="39:44">
      <c r="AM442" s="555">
        <v>45481</v>
      </c>
      <c r="AN442" s="556">
        <v>467.1</v>
      </c>
      <c r="AO442" s="556">
        <v>3472549</v>
      </c>
      <c r="AP442" s="556">
        <v>239.93814</v>
      </c>
      <c r="AQ442" s="556">
        <v>112075.105194</v>
      </c>
      <c r="AR442" s="556">
        <v>1.6555</v>
      </c>
    </row>
    <row r="443" spans="39:44">
      <c r="AM443" s="555">
        <v>45480</v>
      </c>
      <c r="AN443" s="556">
        <v>467.13</v>
      </c>
      <c r="AO443" s="556">
        <v>871215</v>
      </c>
      <c r="AP443" s="556">
        <v>239.93814</v>
      </c>
      <c r="AQ443" s="556">
        <v>112082.3033382</v>
      </c>
      <c r="AR443" s="556">
        <v>1.6556</v>
      </c>
    </row>
    <row r="444" spans="39:44">
      <c r="AM444" s="555">
        <v>45479</v>
      </c>
      <c r="AN444" s="556">
        <v>466.99</v>
      </c>
      <c r="AO444" s="556">
        <v>932061</v>
      </c>
      <c r="AP444" s="556">
        <v>239.93814</v>
      </c>
      <c r="AQ444" s="556">
        <v>112048.7119986</v>
      </c>
      <c r="AR444" s="556">
        <v>1.6551</v>
      </c>
    </row>
    <row r="445" spans="39:44">
      <c r="AM445" s="555">
        <v>45478</v>
      </c>
      <c r="AN445" s="556">
        <v>468.07</v>
      </c>
      <c r="AO445" s="556">
        <v>715816</v>
      </c>
      <c r="AP445" s="556">
        <v>239.93814</v>
      </c>
      <c r="AQ445" s="556">
        <v>112307.84518980001</v>
      </c>
      <c r="AR445" s="556">
        <v>1.659</v>
      </c>
    </row>
    <row r="446" spans="39:44">
      <c r="AM446" s="555">
        <v>45477</v>
      </c>
      <c r="AN446" s="556">
        <v>471.51</v>
      </c>
      <c r="AO446" s="556">
        <v>1031607</v>
      </c>
      <c r="AP446" s="556">
        <v>239.93814</v>
      </c>
      <c r="AQ446" s="556">
        <v>113133.2323914</v>
      </c>
      <c r="AR446" s="556">
        <v>1.6712</v>
      </c>
    </row>
    <row r="447" spans="39:44">
      <c r="AM447" s="555">
        <v>45476</v>
      </c>
      <c r="AN447" s="556">
        <v>467.6</v>
      </c>
      <c r="AO447" s="556">
        <v>3365244</v>
      </c>
      <c r="AP447" s="556">
        <v>239.93814</v>
      </c>
      <c r="AQ447" s="556">
        <v>112195.07426400001</v>
      </c>
      <c r="AR447" s="556">
        <v>1.6573</v>
      </c>
    </row>
    <row r="448" spans="39:44">
      <c r="AM448" s="555">
        <v>45475</v>
      </c>
      <c r="AN448" s="556">
        <v>467.6</v>
      </c>
      <c r="AO448" s="556">
        <v>3365244</v>
      </c>
      <c r="AP448" s="556">
        <v>239.93814</v>
      </c>
      <c r="AQ448" s="556">
        <v>112195.07426400001</v>
      </c>
      <c r="AR448" s="556">
        <v>1.6573</v>
      </c>
    </row>
    <row r="449" spans="39:44">
      <c r="AM449" s="555">
        <v>45474</v>
      </c>
      <c r="AN449" s="556">
        <v>467.6</v>
      </c>
      <c r="AO449" s="556">
        <v>3365244</v>
      </c>
      <c r="AP449" s="556">
        <v>239.93814</v>
      </c>
      <c r="AQ449" s="556">
        <v>112195.07426400001</v>
      </c>
      <c r="AR449" s="556">
        <v>1.6573</v>
      </c>
    </row>
    <row r="450" spans="39:44">
      <c r="AM450" s="555">
        <v>45473</v>
      </c>
      <c r="AN450" s="556">
        <v>466.34</v>
      </c>
      <c r="AO450" s="556">
        <v>1041412</v>
      </c>
      <c r="AP450" s="556">
        <v>239.93814</v>
      </c>
      <c r="AQ450" s="556">
        <v>111892.7522076</v>
      </c>
      <c r="AR450" s="556">
        <v>1.6528</v>
      </c>
    </row>
    <row r="451" spans="39:44">
      <c r="AM451" s="555">
        <v>45472</v>
      </c>
      <c r="AN451" s="556">
        <v>460</v>
      </c>
      <c r="AO451" s="556">
        <v>658084</v>
      </c>
      <c r="AP451" s="556">
        <v>239.93814</v>
      </c>
      <c r="AQ451" s="556">
        <v>110371.5444</v>
      </c>
      <c r="AR451" s="556">
        <v>1.6304000000000001</v>
      </c>
    </row>
    <row r="452" spans="39:44">
      <c r="AM452" s="555">
        <v>45471</v>
      </c>
      <c r="AN452" s="556">
        <v>460</v>
      </c>
      <c r="AO452" s="556">
        <v>658084</v>
      </c>
      <c r="AP452" s="556">
        <v>239.93814</v>
      </c>
      <c r="AQ452" s="556">
        <v>110371.5444</v>
      </c>
      <c r="AR452" s="556">
        <v>1.6304000000000001</v>
      </c>
    </row>
    <row r="453" spans="39:44">
      <c r="AM453" s="555">
        <v>45470</v>
      </c>
      <c r="AN453" s="556">
        <v>459.01</v>
      </c>
      <c r="AO453" s="556">
        <v>669784</v>
      </c>
      <c r="AP453" s="556">
        <v>239.93814</v>
      </c>
      <c r="AQ453" s="556">
        <v>110134.0056414</v>
      </c>
      <c r="AR453" s="556">
        <v>1.6269</v>
      </c>
    </row>
    <row r="454" spans="39:44">
      <c r="AM454" s="555">
        <v>45469</v>
      </c>
      <c r="AN454" s="556">
        <v>458.34</v>
      </c>
      <c r="AO454" s="556">
        <v>702880</v>
      </c>
      <c r="AP454" s="556">
        <v>239.93814</v>
      </c>
      <c r="AQ454" s="556">
        <v>109973.2470876</v>
      </c>
      <c r="AR454" s="556">
        <v>1.6245000000000001</v>
      </c>
    </row>
    <row r="455" spans="39:44">
      <c r="AM455" s="555">
        <v>45468</v>
      </c>
      <c r="AN455" s="556">
        <v>458.34</v>
      </c>
      <c r="AO455" s="556">
        <v>702880</v>
      </c>
      <c r="AP455" s="556">
        <v>239.93814</v>
      </c>
      <c r="AQ455" s="556">
        <v>109973.2470876</v>
      </c>
      <c r="AR455" s="556">
        <v>1.6245000000000001</v>
      </c>
    </row>
    <row r="456" spans="39:44">
      <c r="AM456" s="555">
        <v>45467</v>
      </c>
      <c r="AN456" s="556">
        <v>458.34</v>
      </c>
      <c r="AO456" s="556">
        <v>702880</v>
      </c>
      <c r="AP456" s="556">
        <v>239.93814</v>
      </c>
      <c r="AQ456" s="556">
        <v>109973.2470876</v>
      </c>
      <c r="AR456" s="556">
        <v>1.6245000000000001</v>
      </c>
    </row>
    <row r="457" spans="39:44">
      <c r="AM457" s="555">
        <v>45466</v>
      </c>
      <c r="AN457" s="556">
        <v>458.56</v>
      </c>
      <c r="AO457" s="556">
        <v>742025</v>
      </c>
      <c r="AP457" s="556">
        <v>239.93814</v>
      </c>
      <c r="AQ457" s="556">
        <v>110026.0334784</v>
      </c>
      <c r="AR457" s="556">
        <v>1.6253</v>
      </c>
    </row>
    <row r="458" spans="39:44">
      <c r="AM458" s="555">
        <v>45465</v>
      </c>
      <c r="AN458" s="556">
        <v>459.11</v>
      </c>
      <c r="AO458" s="556">
        <v>1026596</v>
      </c>
      <c r="AP458" s="556">
        <v>239.93814</v>
      </c>
      <c r="AQ458" s="556">
        <v>110157.9994554</v>
      </c>
      <c r="AR458" s="556">
        <v>1.6272</v>
      </c>
    </row>
    <row r="459" spans="39:44">
      <c r="AM459" s="555">
        <v>45464</v>
      </c>
      <c r="AN459" s="556">
        <v>462.8</v>
      </c>
      <c r="AO459" s="556">
        <v>908416</v>
      </c>
      <c r="AP459" s="556">
        <v>239.93814</v>
      </c>
      <c r="AQ459" s="556">
        <v>111043.37119200001</v>
      </c>
      <c r="AR459" s="556">
        <v>1.6403000000000001</v>
      </c>
    </row>
    <row r="460" spans="39:44">
      <c r="AM460" s="555">
        <v>45463</v>
      </c>
      <c r="AN460" s="556">
        <v>467.46</v>
      </c>
      <c r="AO460" s="556">
        <v>900460</v>
      </c>
      <c r="AP460" s="556">
        <v>239.93814</v>
      </c>
      <c r="AQ460" s="556">
        <v>112161.4829244</v>
      </c>
      <c r="AR460" s="556">
        <v>1.6568000000000001</v>
      </c>
    </row>
    <row r="461" spans="39:44">
      <c r="AM461" s="555">
        <v>45462</v>
      </c>
      <c r="AN461" s="556">
        <v>470.13</v>
      </c>
      <c r="AO461" s="556">
        <v>1042800</v>
      </c>
      <c r="AP461" s="556">
        <v>239.93814</v>
      </c>
      <c r="AQ461" s="556">
        <v>112802.11775819999</v>
      </c>
      <c r="AR461" s="556">
        <v>1.6662999999999999</v>
      </c>
    </row>
    <row r="462" spans="39:44">
      <c r="AM462" s="555">
        <v>45461</v>
      </c>
      <c r="AN462" s="556">
        <v>470.13</v>
      </c>
      <c r="AO462" s="556">
        <v>1042800</v>
      </c>
      <c r="AP462" s="556">
        <v>239.93814</v>
      </c>
      <c r="AQ462" s="556">
        <v>112802.11775819999</v>
      </c>
      <c r="AR462" s="556">
        <v>1.6662999999999999</v>
      </c>
    </row>
    <row r="463" spans="39:44">
      <c r="AM463" s="555">
        <v>45460</v>
      </c>
      <c r="AN463" s="556">
        <v>470.13</v>
      </c>
      <c r="AO463" s="556">
        <v>1042800</v>
      </c>
      <c r="AP463" s="556">
        <v>239.93814</v>
      </c>
      <c r="AQ463" s="556">
        <v>112802.11775819999</v>
      </c>
      <c r="AR463" s="556">
        <v>1.6662999999999999</v>
      </c>
    </row>
    <row r="464" spans="39:44">
      <c r="AM464" s="555">
        <v>45459</v>
      </c>
      <c r="AN464" s="556">
        <v>468.62</v>
      </c>
      <c r="AO464" s="556">
        <v>768313</v>
      </c>
      <c r="AP464" s="556">
        <v>239.93814</v>
      </c>
      <c r="AQ464" s="556">
        <v>112439.81116680001</v>
      </c>
      <c r="AR464" s="556">
        <v>1.6609</v>
      </c>
    </row>
    <row r="465" spans="39:44">
      <c r="AM465" s="555">
        <v>45458</v>
      </c>
      <c r="AN465" s="556">
        <v>465.23</v>
      </c>
      <c r="AO465" s="556">
        <v>915412</v>
      </c>
      <c r="AP465" s="556">
        <v>239.93814</v>
      </c>
      <c r="AQ465" s="556">
        <v>111626.4208722</v>
      </c>
      <c r="AR465" s="556">
        <v>1.6489</v>
      </c>
    </row>
    <row r="466" spans="39:44">
      <c r="AM466" s="555">
        <v>45457</v>
      </c>
      <c r="AN466" s="556">
        <v>468.89</v>
      </c>
      <c r="AO466" s="556">
        <v>845778</v>
      </c>
      <c r="AP466" s="556">
        <v>239.93814</v>
      </c>
      <c r="AQ466" s="556">
        <v>112504.5944646</v>
      </c>
      <c r="AR466" s="556">
        <v>1.6618999999999999</v>
      </c>
    </row>
    <row r="467" spans="39:44">
      <c r="AM467" s="555">
        <v>45456</v>
      </c>
      <c r="AN467" s="556">
        <v>467.6</v>
      </c>
      <c r="AO467" s="556">
        <v>990132</v>
      </c>
      <c r="AP467" s="556">
        <v>239.93814</v>
      </c>
      <c r="AQ467" s="556">
        <v>112195.07426400001</v>
      </c>
      <c r="AR467" s="556">
        <v>1.6573</v>
      </c>
    </row>
    <row r="468" spans="39:44">
      <c r="AM468" s="555">
        <v>45455</v>
      </c>
      <c r="AN468" s="556">
        <v>470.34</v>
      </c>
      <c r="AO468" s="556">
        <v>1651560</v>
      </c>
      <c r="AP468" s="556">
        <v>239.93814</v>
      </c>
      <c r="AQ468" s="556">
        <v>112852.5047676</v>
      </c>
      <c r="AR468" s="556">
        <v>1.667</v>
      </c>
    </row>
    <row r="469" spans="39:44">
      <c r="AM469" s="555">
        <v>45454</v>
      </c>
      <c r="AN469" s="556">
        <v>470.34</v>
      </c>
      <c r="AO469" s="556">
        <v>1651560</v>
      </c>
      <c r="AP469" s="556">
        <v>239.93814</v>
      </c>
      <c r="AQ469" s="556">
        <v>112852.5047676</v>
      </c>
      <c r="AR469" s="556">
        <v>1.667</v>
      </c>
    </row>
    <row r="470" spans="39:44">
      <c r="AM470" s="555">
        <v>45453</v>
      </c>
      <c r="AN470" s="556">
        <v>470.34</v>
      </c>
      <c r="AO470" s="556">
        <v>1651560</v>
      </c>
      <c r="AP470" s="556">
        <v>239.93814</v>
      </c>
      <c r="AQ470" s="556">
        <v>112852.5047676</v>
      </c>
      <c r="AR470" s="556">
        <v>1.667</v>
      </c>
    </row>
    <row r="471" spans="39:44">
      <c r="AM471" s="555">
        <v>45452</v>
      </c>
      <c r="AN471" s="556">
        <v>460.94</v>
      </c>
      <c r="AO471" s="556">
        <v>1173703</v>
      </c>
      <c r="AP471" s="556">
        <v>239.93814</v>
      </c>
      <c r="AQ471" s="556">
        <v>110597.08625160001</v>
      </c>
      <c r="AR471" s="556">
        <v>1.6336999999999999</v>
      </c>
    </row>
    <row r="472" spans="39:44">
      <c r="AM472" s="555">
        <v>45451</v>
      </c>
      <c r="AN472" s="556">
        <v>452.72</v>
      </c>
      <c r="AO472" s="556">
        <v>1267964</v>
      </c>
      <c r="AP472" s="556">
        <v>239.93814</v>
      </c>
      <c r="AQ472" s="556">
        <v>108624.7947408</v>
      </c>
      <c r="AR472" s="556">
        <v>1.6046</v>
      </c>
    </row>
    <row r="473" spans="39:44">
      <c r="AM473" s="555">
        <v>45450</v>
      </c>
      <c r="AN473" s="556">
        <v>458.48</v>
      </c>
      <c r="AO473" s="556">
        <v>1150758</v>
      </c>
      <c r="AP473" s="556">
        <v>239.93814</v>
      </c>
      <c r="AQ473" s="556">
        <v>110006.83842720001</v>
      </c>
      <c r="AR473" s="556">
        <v>1.625</v>
      </c>
    </row>
    <row r="474" spans="39:44">
      <c r="AM474" s="555">
        <v>45449</v>
      </c>
      <c r="AN474" s="556">
        <v>467.35</v>
      </c>
      <c r="AO474" s="556">
        <v>513802</v>
      </c>
      <c r="AP474" s="556">
        <v>239.93814</v>
      </c>
      <c r="AQ474" s="556">
        <v>112135.08972900001</v>
      </c>
      <c r="AR474" s="556">
        <v>1.6564000000000001</v>
      </c>
    </row>
    <row r="475" spans="39:44">
      <c r="AM475" s="555">
        <v>45448</v>
      </c>
      <c r="AN475" s="556">
        <v>467.35</v>
      </c>
      <c r="AO475" s="556">
        <v>513802</v>
      </c>
      <c r="AP475" s="556">
        <v>239.93814</v>
      </c>
      <c r="AQ475" s="556">
        <v>112135.08972900001</v>
      </c>
      <c r="AR475" s="556">
        <v>1.6564000000000001</v>
      </c>
    </row>
    <row r="476" spans="39:44">
      <c r="AM476" s="555">
        <v>45447</v>
      </c>
      <c r="AN476" s="556">
        <v>467.35</v>
      </c>
      <c r="AO476" s="556">
        <v>513802</v>
      </c>
      <c r="AP476" s="556">
        <v>239.93814</v>
      </c>
      <c r="AQ476" s="556">
        <v>112135.08972900001</v>
      </c>
      <c r="AR476" s="556">
        <v>1.6564000000000001</v>
      </c>
    </row>
    <row r="477" spans="39:44">
      <c r="AM477" s="555">
        <v>45446</v>
      </c>
      <c r="AN477" s="556">
        <v>467.35</v>
      </c>
      <c r="AO477" s="556">
        <v>513802</v>
      </c>
      <c r="AP477" s="556">
        <v>239.93814</v>
      </c>
      <c r="AQ477" s="556">
        <v>112135.08972900001</v>
      </c>
      <c r="AR477" s="556">
        <v>1.6564000000000001</v>
      </c>
    </row>
    <row r="478" spans="39:44">
      <c r="AM478" s="555">
        <v>45445</v>
      </c>
      <c r="AN478" s="556">
        <v>467.08</v>
      </c>
      <c r="AO478" s="556">
        <v>866955</v>
      </c>
      <c r="AP478" s="556">
        <v>239.93814</v>
      </c>
      <c r="AQ478" s="556">
        <v>112070.30643119999</v>
      </c>
      <c r="AR478" s="556">
        <v>1.6555</v>
      </c>
    </row>
    <row r="479" spans="39:44">
      <c r="AM479" s="555">
        <v>45444</v>
      </c>
      <c r="AN479" s="556">
        <v>469.71</v>
      </c>
      <c r="AO479" s="556">
        <v>548809</v>
      </c>
      <c r="AP479" s="556">
        <v>239.93814</v>
      </c>
      <c r="AQ479" s="556">
        <v>112701.34373939999</v>
      </c>
      <c r="AR479" s="556">
        <v>1.6648000000000001</v>
      </c>
    </row>
    <row r="480" spans="39:44">
      <c r="AM480" s="555">
        <v>45443</v>
      </c>
      <c r="AN480" s="556">
        <v>468.31</v>
      </c>
      <c r="AO480" s="556">
        <v>558976</v>
      </c>
      <c r="AP480" s="556">
        <v>239.93814</v>
      </c>
      <c r="AQ480" s="556">
        <v>112365.4303434</v>
      </c>
      <c r="AR480" s="556">
        <v>1.6597999999999999</v>
      </c>
    </row>
    <row r="481" spans="39:44">
      <c r="AM481" s="555">
        <v>45442</v>
      </c>
      <c r="AN481" s="556">
        <v>467.08</v>
      </c>
      <c r="AO481" s="556">
        <v>735291</v>
      </c>
      <c r="AP481" s="556">
        <v>239.93814</v>
      </c>
      <c r="AQ481" s="556">
        <v>112070.30643119999</v>
      </c>
      <c r="AR481" s="556">
        <v>1.6555</v>
      </c>
    </row>
    <row r="482" spans="39:44">
      <c r="AM482" s="555">
        <v>45441</v>
      </c>
      <c r="AN482" s="556">
        <v>466.2</v>
      </c>
      <c r="AO482" s="556">
        <v>677219</v>
      </c>
      <c r="AP482" s="556">
        <v>239.93814</v>
      </c>
      <c r="AQ482" s="556">
        <v>111859.16086800001</v>
      </c>
      <c r="AR482" s="556">
        <v>1.6523000000000001</v>
      </c>
    </row>
    <row r="483" spans="39:44">
      <c r="AM483" s="555">
        <v>45440</v>
      </c>
      <c r="AN483" s="556">
        <v>466.2</v>
      </c>
      <c r="AO483" s="556">
        <v>677219</v>
      </c>
      <c r="AP483" s="556">
        <v>239.93814</v>
      </c>
      <c r="AQ483" s="556">
        <v>111859.16086800001</v>
      </c>
      <c r="AR483" s="556">
        <v>1.6523000000000001</v>
      </c>
    </row>
    <row r="484" spans="39:44">
      <c r="AM484" s="555">
        <v>45439</v>
      </c>
      <c r="AN484" s="556">
        <v>466.2</v>
      </c>
      <c r="AO484" s="556">
        <v>677219</v>
      </c>
      <c r="AP484" s="556">
        <v>239.93814</v>
      </c>
      <c r="AQ484" s="556">
        <v>111859.16086800001</v>
      </c>
      <c r="AR484" s="556">
        <v>1.6523000000000001</v>
      </c>
    </row>
    <row r="485" spans="39:44">
      <c r="AM485" s="555">
        <v>45438</v>
      </c>
      <c r="AN485" s="556">
        <v>464.83</v>
      </c>
      <c r="AO485" s="556">
        <v>1130786</v>
      </c>
      <c r="AP485" s="556">
        <v>239.93814</v>
      </c>
      <c r="AQ485" s="556">
        <v>111530.4456162</v>
      </c>
      <c r="AR485" s="556">
        <v>1.6475</v>
      </c>
    </row>
    <row r="486" spans="39:44">
      <c r="AM486" s="555">
        <v>45437</v>
      </c>
      <c r="AN486" s="556">
        <v>464.08</v>
      </c>
      <c r="AO486" s="556">
        <v>804062</v>
      </c>
      <c r="AP486" s="556">
        <v>239.93814</v>
      </c>
      <c r="AQ486" s="556">
        <v>111350.4920112</v>
      </c>
      <c r="AR486" s="556">
        <v>1.6448</v>
      </c>
    </row>
    <row r="487" spans="39:44">
      <c r="AM487" s="555">
        <v>45436</v>
      </c>
      <c r="AN487" s="556">
        <v>467.18</v>
      </c>
      <c r="AO487" s="556">
        <v>565691</v>
      </c>
      <c r="AP487" s="556">
        <v>239.93814</v>
      </c>
      <c r="AQ487" s="556">
        <v>112094.30024520001</v>
      </c>
      <c r="AR487" s="556">
        <v>1.6557999999999999</v>
      </c>
    </row>
    <row r="488" spans="39:44">
      <c r="AM488" s="555">
        <v>45435</v>
      </c>
      <c r="AN488" s="556">
        <v>470.56</v>
      </c>
      <c r="AO488" s="556">
        <v>634358</v>
      </c>
      <c r="AP488" s="556">
        <v>239.93814</v>
      </c>
      <c r="AQ488" s="556">
        <v>112905.2911584</v>
      </c>
      <c r="AR488" s="556">
        <v>1.6677999999999999</v>
      </c>
    </row>
    <row r="489" spans="39:44">
      <c r="AM489" s="555">
        <v>45434</v>
      </c>
      <c r="AN489" s="556">
        <v>468.88</v>
      </c>
      <c r="AO489" s="556">
        <v>482564</v>
      </c>
      <c r="AP489" s="556">
        <v>239.93814</v>
      </c>
      <c r="AQ489" s="556">
        <v>112502.1950832</v>
      </c>
      <c r="AR489" s="556">
        <v>1.6617999999999999</v>
      </c>
    </row>
    <row r="490" spans="39:44">
      <c r="AM490" s="555">
        <v>45433</v>
      </c>
      <c r="AN490" s="556">
        <v>468.88</v>
      </c>
      <c r="AO490" s="556">
        <v>482564</v>
      </c>
      <c r="AP490" s="556">
        <v>239.93814</v>
      </c>
      <c r="AQ490" s="556">
        <v>112502.1950832</v>
      </c>
      <c r="AR490" s="556">
        <v>1.6617999999999999</v>
      </c>
    </row>
    <row r="491" spans="39:44">
      <c r="AM491" s="555">
        <v>45432</v>
      </c>
      <c r="AN491" s="556">
        <v>468.88</v>
      </c>
      <c r="AO491" s="556">
        <v>482564</v>
      </c>
      <c r="AP491" s="556">
        <v>239.93814</v>
      </c>
      <c r="AQ491" s="556">
        <v>112502.1950832</v>
      </c>
      <c r="AR491" s="556">
        <v>1.6617999999999999</v>
      </c>
    </row>
    <row r="492" spans="39:44">
      <c r="AM492" s="555">
        <v>45431</v>
      </c>
      <c r="AN492" s="556">
        <v>468.39</v>
      </c>
      <c r="AO492" s="556">
        <v>595046</v>
      </c>
      <c r="AP492" s="556">
        <v>239.93814</v>
      </c>
      <c r="AQ492" s="556">
        <v>112384.62539459999</v>
      </c>
      <c r="AR492" s="556">
        <v>1.6600999999999999</v>
      </c>
    </row>
    <row r="493" spans="39:44">
      <c r="AM493" s="555">
        <v>45430</v>
      </c>
      <c r="AN493" s="556">
        <v>466.16</v>
      </c>
      <c r="AO493" s="556">
        <v>599051</v>
      </c>
      <c r="AP493" s="556">
        <v>239.93814</v>
      </c>
      <c r="AQ493" s="556">
        <v>111849.56334240001</v>
      </c>
      <c r="AR493" s="556">
        <v>1.6521999999999999</v>
      </c>
    </row>
    <row r="494" spans="39:44">
      <c r="AM494" s="555">
        <v>45429</v>
      </c>
      <c r="AN494" s="556">
        <v>466.68</v>
      </c>
      <c r="AO494" s="556">
        <v>723436</v>
      </c>
      <c r="AP494" s="556">
        <v>239.93814</v>
      </c>
      <c r="AQ494" s="556">
        <v>111974.3311752</v>
      </c>
      <c r="AR494" s="556">
        <v>1.6539999999999999</v>
      </c>
    </row>
    <row r="495" spans="39:44">
      <c r="AM495" s="555">
        <v>45428</v>
      </c>
      <c r="AN495" s="556">
        <v>462.78</v>
      </c>
      <c r="AO495" s="556">
        <v>796391</v>
      </c>
      <c r="AP495" s="556">
        <v>239.93814</v>
      </c>
      <c r="AQ495" s="556">
        <v>111038.57242919999</v>
      </c>
      <c r="AR495" s="556">
        <v>1.6402000000000001</v>
      </c>
    </row>
    <row r="496" spans="39:44">
      <c r="AM496" s="555">
        <v>45427</v>
      </c>
      <c r="AN496" s="556">
        <v>461.91</v>
      </c>
      <c r="AO496" s="556">
        <v>910781</v>
      </c>
      <c r="AP496" s="556">
        <v>239.93814</v>
      </c>
      <c r="AQ496" s="556">
        <v>110829.82624740001</v>
      </c>
      <c r="AR496" s="556">
        <v>1.6371</v>
      </c>
    </row>
    <row r="497" spans="39:44">
      <c r="AM497" s="555">
        <v>45426</v>
      </c>
      <c r="AN497" s="556">
        <v>461.91</v>
      </c>
      <c r="AO497" s="556">
        <v>910781</v>
      </c>
      <c r="AP497" s="556">
        <v>239.93814</v>
      </c>
      <c r="AQ497" s="556">
        <v>110829.82624740001</v>
      </c>
      <c r="AR497" s="556">
        <v>1.6371</v>
      </c>
    </row>
    <row r="498" spans="39:44">
      <c r="AM498" s="555">
        <v>45425</v>
      </c>
      <c r="AN498" s="556">
        <v>461.91</v>
      </c>
      <c r="AO498" s="556">
        <v>910781</v>
      </c>
      <c r="AP498" s="556">
        <v>239.93814</v>
      </c>
      <c r="AQ498" s="556">
        <v>110829.82624740001</v>
      </c>
      <c r="AR498" s="556">
        <v>1.6371</v>
      </c>
    </row>
    <row r="499" spans="39:44">
      <c r="AM499" s="555">
        <v>45424</v>
      </c>
      <c r="AN499" s="556">
        <v>463.2</v>
      </c>
      <c r="AO499" s="556">
        <v>1011394</v>
      </c>
      <c r="AP499" s="556">
        <v>239.93814</v>
      </c>
      <c r="AQ499" s="556">
        <v>111139.346448</v>
      </c>
      <c r="AR499" s="556">
        <v>1.6416999999999999</v>
      </c>
    </row>
    <row r="500" spans="39:44">
      <c r="AM500" s="555">
        <v>45423</v>
      </c>
      <c r="AN500" s="556">
        <v>461.73</v>
      </c>
      <c r="AO500" s="556">
        <v>995050</v>
      </c>
      <c r="AP500" s="556">
        <v>239.93814</v>
      </c>
      <c r="AQ500" s="556">
        <v>110786.6373822</v>
      </c>
      <c r="AR500" s="556">
        <v>1.6365000000000001</v>
      </c>
    </row>
    <row r="501" spans="39:44">
      <c r="AM501" s="555">
        <v>45422</v>
      </c>
      <c r="AN501" s="556">
        <v>464.93</v>
      </c>
      <c r="AO501" s="556">
        <v>711757</v>
      </c>
      <c r="AP501" s="556">
        <v>239.93814</v>
      </c>
      <c r="AQ501" s="556">
        <v>111554.4394302</v>
      </c>
      <c r="AR501" s="556">
        <v>1.6477999999999999</v>
      </c>
    </row>
    <row r="502" spans="39:44">
      <c r="AM502" s="555">
        <v>45421</v>
      </c>
      <c r="AN502" s="556">
        <v>467.55</v>
      </c>
      <c r="AO502" s="556">
        <v>951555</v>
      </c>
      <c r="AP502" s="556">
        <v>239.93814</v>
      </c>
      <c r="AQ502" s="556">
        <v>112183.077357</v>
      </c>
      <c r="AR502" s="556">
        <v>1.6571</v>
      </c>
    </row>
    <row r="503" spans="39:44">
      <c r="AM503" s="555">
        <v>45420</v>
      </c>
      <c r="AN503" s="556">
        <v>461.29</v>
      </c>
      <c r="AO503" s="556">
        <v>857964</v>
      </c>
      <c r="AP503" s="556">
        <v>239.93814</v>
      </c>
      <c r="AQ503" s="556">
        <v>110681.0646006</v>
      </c>
      <c r="AR503" s="556">
        <v>1.6349</v>
      </c>
    </row>
    <row r="504" spans="39:44">
      <c r="AM504" s="555">
        <v>45419</v>
      </c>
      <c r="AN504" s="556">
        <v>461.29</v>
      </c>
      <c r="AO504" s="556">
        <v>857964</v>
      </c>
      <c r="AP504" s="556">
        <v>239.93814</v>
      </c>
      <c r="AQ504" s="556">
        <v>110681.0646006</v>
      </c>
      <c r="AR504" s="556">
        <v>1.6349</v>
      </c>
    </row>
    <row r="505" spans="39:44">
      <c r="AM505" s="555">
        <v>45418</v>
      </c>
      <c r="AN505" s="556">
        <v>461.29</v>
      </c>
      <c r="AO505" s="556">
        <v>857964</v>
      </c>
      <c r="AP505" s="556">
        <v>239.93814</v>
      </c>
      <c r="AQ505" s="556">
        <v>110681.0646006</v>
      </c>
      <c r="AR505" s="556">
        <v>1.6349</v>
      </c>
    </row>
    <row r="506" spans="39:44">
      <c r="AM506" s="555">
        <v>45417</v>
      </c>
      <c r="AN506" s="556">
        <v>464.78</v>
      </c>
      <c r="AO506" s="556">
        <v>927710</v>
      </c>
      <c r="AP506" s="556">
        <v>239.93814</v>
      </c>
      <c r="AQ506" s="556">
        <v>111518.44870919999</v>
      </c>
      <c r="AR506" s="556">
        <v>1.6473</v>
      </c>
    </row>
    <row r="507" spans="39:44">
      <c r="AM507" s="555">
        <v>45416</v>
      </c>
      <c r="AN507" s="556">
        <v>459.14</v>
      </c>
      <c r="AO507" s="556">
        <v>1018853</v>
      </c>
      <c r="AP507" s="556">
        <v>239.93814</v>
      </c>
      <c r="AQ507" s="556">
        <v>110165.1975996</v>
      </c>
      <c r="AR507" s="556">
        <v>1.6273</v>
      </c>
    </row>
    <row r="508" spans="39:44">
      <c r="AM508" s="555">
        <v>45415</v>
      </c>
      <c r="AN508" s="556">
        <v>460.08</v>
      </c>
      <c r="AO508" s="556">
        <v>1789487</v>
      </c>
      <c r="AP508" s="556">
        <v>239.93814</v>
      </c>
      <c r="AQ508" s="556">
        <v>110390.7394512</v>
      </c>
      <c r="AR508" s="556">
        <v>1.6306</v>
      </c>
    </row>
    <row r="509" spans="39:44">
      <c r="AM509" s="555">
        <v>45414</v>
      </c>
      <c r="AN509" s="556">
        <v>461.33</v>
      </c>
      <c r="AO509" s="556">
        <v>1820925</v>
      </c>
      <c r="AP509" s="556">
        <v>240.49545000000001</v>
      </c>
      <c r="AQ509" s="556">
        <v>110947.7659485</v>
      </c>
      <c r="AR509" s="556">
        <v>1.6351</v>
      </c>
    </row>
    <row r="510" spans="39:44">
      <c r="AM510" s="555">
        <v>45413</v>
      </c>
      <c r="AN510" s="556">
        <v>463.87</v>
      </c>
      <c r="AO510" s="556">
        <v>1388020</v>
      </c>
      <c r="AP510" s="556">
        <v>240.49545000000001</v>
      </c>
      <c r="AQ510" s="556">
        <v>111558.62439150001</v>
      </c>
      <c r="AR510" s="556">
        <v>1.6440999999999999</v>
      </c>
    </row>
    <row r="511" spans="39:44">
      <c r="AM511" s="555">
        <v>45412</v>
      </c>
      <c r="AN511" s="556">
        <v>463.87</v>
      </c>
      <c r="AO511" s="556">
        <v>1388020</v>
      </c>
      <c r="AP511" s="556">
        <v>240.49545000000001</v>
      </c>
      <c r="AQ511" s="556">
        <v>111558.62439150001</v>
      </c>
      <c r="AR511" s="556">
        <v>1.6440999999999999</v>
      </c>
    </row>
    <row r="512" spans="39:44">
      <c r="AM512" s="555">
        <v>45411</v>
      </c>
      <c r="AN512" s="556">
        <v>463.87</v>
      </c>
      <c r="AO512" s="556">
        <v>1388020</v>
      </c>
      <c r="AP512" s="556">
        <v>240.49545000000001</v>
      </c>
      <c r="AQ512" s="556">
        <v>111558.62439150001</v>
      </c>
      <c r="AR512" s="556">
        <v>1.6440999999999999</v>
      </c>
    </row>
    <row r="513" spans="39:44">
      <c r="AM513" s="555">
        <v>45410</v>
      </c>
      <c r="AN513" s="556">
        <v>456.09</v>
      </c>
      <c r="AO513" s="556">
        <v>715044</v>
      </c>
      <c r="AP513" s="556">
        <v>240.49545000000001</v>
      </c>
      <c r="AQ513" s="556">
        <v>109687.5697905</v>
      </c>
      <c r="AR513" s="556">
        <v>1.6165</v>
      </c>
    </row>
    <row r="514" spans="39:44">
      <c r="AM514" s="555">
        <v>45409</v>
      </c>
      <c r="AN514" s="556">
        <v>456.05</v>
      </c>
      <c r="AO514" s="556">
        <v>848290</v>
      </c>
      <c r="AP514" s="556">
        <v>240.49545000000001</v>
      </c>
      <c r="AQ514" s="556">
        <v>109677.94997250001</v>
      </c>
      <c r="AR514" s="556">
        <v>1.6164000000000001</v>
      </c>
    </row>
    <row r="515" spans="39:44">
      <c r="AM515" s="555">
        <v>45408</v>
      </c>
      <c r="AN515" s="556">
        <v>454.31</v>
      </c>
      <c r="AO515" s="556">
        <v>1452309</v>
      </c>
      <c r="AP515" s="556">
        <v>240.49545000000001</v>
      </c>
      <c r="AQ515" s="556">
        <v>109259.4878895</v>
      </c>
      <c r="AR515" s="556">
        <v>1.6102000000000001</v>
      </c>
    </row>
    <row r="516" spans="39:44">
      <c r="AM516" s="555">
        <v>45407</v>
      </c>
      <c r="AN516" s="556">
        <v>453.08</v>
      </c>
      <c r="AO516" s="556">
        <v>2442119</v>
      </c>
      <c r="AP516" s="556">
        <v>240.49545000000001</v>
      </c>
      <c r="AQ516" s="556">
        <v>108963.678486</v>
      </c>
      <c r="AR516" s="556">
        <v>1.6057999999999999</v>
      </c>
    </row>
    <row r="517" spans="39:44">
      <c r="AM517" s="555">
        <v>45406</v>
      </c>
      <c r="AN517" s="556">
        <v>450.4</v>
      </c>
      <c r="AO517" s="556">
        <v>1251154</v>
      </c>
      <c r="AP517" s="556">
        <v>240.49545000000001</v>
      </c>
      <c r="AQ517" s="556">
        <v>108319.15067999999</v>
      </c>
      <c r="AR517" s="556">
        <v>1.5963000000000001</v>
      </c>
    </row>
    <row r="518" spans="39:44">
      <c r="AM518" s="555">
        <v>45405</v>
      </c>
      <c r="AN518" s="556">
        <v>450.4</v>
      </c>
      <c r="AO518" s="556">
        <v>1251154</v>
      </c>
      <c r="AP518" s="556">
        <v>240.49545000000001</v>
      </c>
      <c r="AQ518" s="556">
        <v>108319.15067999999</v>
      </c>
      <c r="AR518" s="556">
        <v>1.5963000000000001</v>
      </c>
    </row>
    <row r="519" spans="39:44">
      <c r="AM519" s="555">
        <v>45404</v>
      </c>
      <c r="AN519" s="556">
        <v>450.4</v>
      </c>
      <c r="AO519" s="556">
        <v>1251154</v>
      </c>
      <c r="AP519" s="556">
        <v>240.49545000000001</v>
      </c>
      <c r="AQ519" s="556">
        <v>108319.15067999999</v>
      </c>
      <c r="AR519" s="556">
        <v>1.5963000000000001</v>
      </c>
    </row>
    <row r="520" spans="39:44">
      <c r="AM520" s="555">
        <v>45403</v>
      </c>
      <c r="AN520" s="556">
        <v>452.32</v>
      </c>
      <c r="AO520" s="556">
        <v>942782</v>
      </c>
      <c r="AP520" s="556">
        <v>240.49545000000001</v>
      </c>
      <c r="AQ520" s="556">
        <v>108780.901944</v>
      </c>
      <c r="AR520" s="556">
        <v>1.6031</v>
      </c>
    </row>
    <row r="521" spans="39:44">
      <c r="AM521" s="555">
        <v>45402</v>
      </c>
      <c r="AN521" s="556">
        <v>451.71</v>
      </c>
      <c r="AO521" s="556">
        <v>1247755</v>
      </c>
      <c r="AP521" s="556">
        <v>240.49545000000001</v>
      </c>
      <c r="AQ521" s="556">
        <v>108634.1997195</v>
      </c>
      <c r="AR521" s="556">
        <v>1.601</v>
      </c>
    </row>
    <row r="522" spans="39:44">
      <c r="AM522" s="555">
        <v>45401</v>
      </c>
      <c r="AN522" s="556">
        <v>447.57</v>
      </c>
      <c r="AO522" s="556">
        <v>842962</v>
      </c>
      <c r="AP522" s="556">
        <v>240.49545000000001</v>
      </c>
      <c r="AQ522" s="556">
        <v>107638.5485565</v>
      </c>
      <c r="AR522" s="556">
        <v>1.5863</v>
      </c>
    </row>
    <row r="523" spans="39:44">
      <c r="AM523" s="555">
        <v>45400</v>
      </c>
      <c r="AN523" s="556">
        <v>452.38</v>
      </c>
      <c r="AO523" s="556">
        <v>751180</v>
      </c>
      <c r="AP523" s="556">
        <v>240.49545000000001</v>
      </c>
      <c r="AQ523" s="556">
        <v>108795.33167100001</v>
      </c>
      <c r="AR523" s="556">
        <v>1.6033999999999999</v>
      </c>
    </row>
    <row r="524" spans="39:44">
      <c r="AM524" s="555">
        <v>45399</v>
      </c>
      <c r="AN524" s="556">
        <v>455.38</v>
      </c>
      <c r="AO524" s="556">
        <v>892120</v>
      </c>
      <c r="AP524" s="556">
        <v>240.49545000000001</v>
      </c>
      <c r="AQ524" s="556">
        <v>109516.818021</v>
      </c>
      <c r="AR524" s="556">
        <v>1.6140000000000001</v>
      </c>
    </row>
    <row r="525" spans="39:44">
      <c r="AM525" s="555">
        <v>45398</v>
      </c>
      <c r="AN525" s="556">
        <v>455.38</v>
      </c>
      <c r="AO525" s="556">
        <v>892120</v>
      </c>
      <c r="AP525" s="556">
        <v>240.49545000000001</v>
      </c>
      <c r="AQ525" s="556">
        <v>109516.818021</v>
      </c>
      <c r="AR525" s="556">
        <v>1.6140000000000001</v>
      </c>
    </row>
    <row r="526" spans="39:44">
      <c r="AM526" s="555">
        <v>45397</v>
      </c>
      <c r="AN526" s="556">
        <v>455.38</v>
      </c>
      <c r="AO526" s="556">
        <v>892120</v>
      </c>
      <c r="AP526" s="556">
        <v>240.49545000000001</v>
      </c>
      <c r="AQ526" s="556">
        <v>109516.818021</v>
      </c>
      <c r="AR526" s="556">
        <v>1.6140000000000001</v>
      </c>
    </row>
    <row r="527" spans="39:44">
      <c r="AM527" s="555">
        <v>45396</v>
      </c>
      <c r="AN527" s="556">
        <v>454.04</v>
      </c>
      <c r="AO527" s="556">
        <v>1398347</v>
      </c>
      <c r="AP527" s="556">
        <v>240.49545000000001</v>
      </c>
      <c r="AQ527" s="556">
        <v>109194.55411800001</v>
      </c>
      <c r="AR527" s="556">
        <v>1.6092</v>
      </c>
    </row>
    <row r="528" spans="39:44">
      <c r="AM528" s="555">
        <v>45395</v>
      </c>
      <c r="AN528" s="556">
        <v>447.9</v>
      </c>
      <c r="AO528" s="556">
        <v>758767</v>
      </c>
      <c r="AP528" s="556">
        <v>240.49545000000001</v>
      </c>
      <c r="AQ528" s="556">
        <v>107717.91205499999</v>
      </c>
      <c r="AR528" s="556">
        <v>1.5874999999999999</v>
      </c>
    </row>
    <row r="529" spans="39:44">
      <c r="AM529" s="555">
        <v>45394</v>
      </c>
      <c r="AN529" s="556">
        <v>453.24</v>
      </c>
      <c r="AO529" s="556">
        <v>837966</v>
      </c>
      <c r="AP529" s="556">
        <v>240.49545000000001</v>
      </c>
      <c r="AQ529" s="556">
        <v>109002.157758</v>
      </c>
      <c r="AR529" s="556">
        <v>1.6064000000000001</v>
      </c>
    </row>
    <row r="530" spans="39:44">
      <c r="AM530" s="555">
        <v>45393</v>
      </c>
      <c r="AN530" s="556">
        <v>452.79</v>
      </c>
      <c r="AO530" s="556">
        <v>717234</v>
      </c>
      <c r="AP530" s="556">
        <v>240.49545000000001</v>
      </c>
      <c r="AQ530" s="556">
        <v>108893.9348055</v>
      </c>
      <c r="AR530" s="556">
        <v>1.6048</v>
      </c>
    </row>
    <row r="531" spans="39:44">
      <c r="AM531" s="555">
        <v>45392</v>
      </c>
      <c r="AN531" s="556">
        <v>454.87</v>
      </c>
      <c r="AO531" s="556">
        <v>1119541</v>
      </c>
      <c r="AP531" s="556">
        <v>240.49545000000001</v>
      </c>
      <c r="AQ531" s="556">
        <v>109394.1653415</v>
      </c>
      <c r="AR531" s="556">
        <v>1.6840999999999999</v>
      </c>
    </row>
    <row r="532" spans="39:44">
      <c r="AM532" s="555">
        <v>45391</v>
      </c>
      <c r="AN532" s="556">
        <v>454.87</v>
      </c>
      <c r="AO532" s="556">
        <v>1119541</v>
      </c>
      <c r="AP532" s="556">
        <v>240.49545000000001</v>
      </c>
      <c r="AQ532" s="556">
        <v>109394.1653415</v>
      </c>
      <c r="AR532" s="556">
        <v>1.6840999999999999</v>
      </c>
    </row>
    <row r="533" spans="39:44">
      <c r="AM533" s="555">
        <v>45390</v>
      </c>
      <c r="AN533" s="556">
        <v>454.87</v>
      </c>
      <c r="AO533" s="556">
        <v>1119541</v>
      </c>
      <c r="AP533" s="556">
        <v>240.49545000000001</v>
      </c>
      <c r="AQ533" s="556">
        <v>109394.1653415</v>
      </c>
      <c r="AR533" s="556">
        <v>1.6840999999999999</v>
      </c>
    </row>
    <row r="534" spans="39:44">
      <c r="AM534" s="555">
        <v>45389</v>
      </c>
      <c r="AN534" s="556">
        <v>454.87</v>
      </c>
      <c r="AO534" s="556">
        <v>1119541</v>
      </c>
      <c r="AP534" s="556">
        <v>240.49545000000001</v>
      </c>
      <c r="AQ534" s="556">
        <v>109394.1653415</v>
      </c>
      <c r="AR534" s="556">
        <v>1.6840999999999999</v>
      </c>
    </row>
    <row r="535" spans="39:44">
      <c r="AM535" s="555">
        <v>45388</v>
      </c>
      <c r="AN535" s="556">
        <v>456.78</v>
      </c>
      <c r="AO535" s="556">
        <v>1277694</v>
      </c>
      <c r="AP535" s="556">
        <v>240.49545000000001</v>
      </c>
      <c r="AQ535" s="556">
        <v>109853.51165099999</v>
      </c>
      <c r="AR535" s="556">
        <v>1.6912</v>
      </c>
    </row>
    <row r="536" spans="39:44">
      <c r="AM536" s="555">
        <v>45387</v>
      </c>
      <c r="AN536" s="556">
        <v>445.99</v>
      </c>
      <c r="AO536" s="556">
        <v>766716</v>
      </c>
      <c r="AP536" s="556">
        <v>240.49545000000001</v>
      </c>
      <c r="AQ536" s="556">
        <v>107258.5657455</v>
      </c>
      <c r="AR536" s="556">
        <v>1.6512</v>
      </c>
    </row>
    <row r="537" spans="39:44">
      <c r="AM537" s="555">
        <v>45386</v>
      </c>
      <c r="AN537" s="556">
        <v>446.31</v>
      </c>
      <c r="AO537" s="556">
        <v>775124</v>
      </c>
      <c r="AP537" s="556">
        <v>240.49545000000001</v>
      </c>
      <c r="AQ537" s="556">
        <v>107335.5242895</v>
      </c>
      <c r="AR537" s="556">
        <v>1.6524000000000001</v>
      </c>
    </row>
    <row r="538" spans="39:44">
      <c r="AM538" s="555">
        <v>45385</v>
      </c>
      <c r="AN538" s="556">
        <v>445.88</v>
      </c>
      <c r="AO538" s="556">
        <v>1008295</v>
      </c>
      <c r="AP538" s="556">
        <v>240.49545000000001</v>
      </c>
      <c r="AQ538" s="556">
        <v>107232.111246</v>
      </c>
      <c r="AR538" s="556">
        <v>1.6508</v>
      </c>
    </row>
    <row r="539" spans="39:44">
      <c r="AM539" s="555">
        <v>45384</v>
      </c>
      <c r="AN539" s="556">
        <v>445.88</v>
      </c>
      <c r="AO539" s="556">
        <v>1008295</v>
      </c>
      <c r="AP539" s="556">
        <v>240.49545000000001</v>
      </c>
      <c r="AQ539" s="556">
        <v>107232.111246</v>
      </c>
      <c r="AR539" s="556">
        <v>1.6508</v>
      </c>
    </row>
    <row r="540" spans="39:44">
      <c r="AM540" s="555">
        <v>45383</v>
      </c>
      <c r="AN540" s="556">
        <v>445.88</v>
      </c>
      <c r="AO540" s="556">
        <v>1008295</v>
      </c>
      <c r="AP540" s="556">
        <v>240.49545000000001</v>
      </c>
      <c r="AQ540" s="556">
        <v>107232.111246</v>
      </c>
      <c r="AR540" s="556">
        <v>1.6508</v>
      </c>
    </row>
    <row r="541" spans="39:44">
      <c r="AM541" s="555">
        <v>45382</v>
      </c>
      <c r="AN541" s="556">
        <v>443.16</v>
      </c>
      <c r="AO541" s="556">
        <v>912244</v>
      </c>
      <c r="AP541" s="556">
        <v>240.49545000000001</v>
      </c>
      <c r="AQ541" s="556">
        <v>106577.96362200001</v>
      </c>
      <c r="AR541" s="556">
        <v>1.6408</v>
      </c>
    </row>
    <row r="542" spans="39:44">
      <c r="AM542" s="555">
        <v>45381</v>
      </c>
      <c r="AN542" s="556">
        <v>440.41</v>
      </c>
      <c r="AO542" s="556">
        <v>844995</v>
      </c>
      <c r="AP542" s="556">
        <v>240.49545000000001</v>
      </c>
      <c r="AQ542" s="556">
        <v>105916.60113450002</v>
      </c>
      <c r="AR542" s="556">
        <v>1.6306</v>
      </c>
    </row>
    <row r="543" spans="39:44">
      <c r="AM543" s="555">
        <v>45380</v>
      </c>
      <c r="AN543" s="556">
        <v>437.19</v>
      </c>
      <c r="AO543" s="556">
        <v>898856</v>
      </c>
      <c r="AP543" s="556">
        <v>240.49545000000001</v>
      </c>
      <c r="AQ543" s="556">
        <v>105142.2057855</v>
      </c>
      <c r="AR543" s="556">
        <v>1.6187</v>
      </c>
    </row>
    <row r="544" spans="39:44">
      <c r="AM544" s="555">
        <v>45379</v>
      </c>
      <c r="AN544" s="556">
        <v>433.2</v>
      </c>
      <c r="AO544" s="556">
        <v>965427</v>
      </c>
      <c r="AP544" s="556">
        <v>240.49545000000001</v>
      </c>
      <c r="AQ544" s="556">
        <v>104182.62894</v>
      </c>
      <c r="AR544" s="556">
        <v>1.6039000000000001</v>
      </c>
    </row>
    <row r="545" spans="39:44">
      <c r="AM545" s="555">
        <v>45378</v>
      </c>
      <c r="AN545" s="556">
        <v>435.82</v>
      </c>
      <c r="AO545" s="556">
        <v>5151336</v>
      </c>
      <c r="AP545" s="556">
        <v>241.64330000000001</v>
      </c>
      <c r="AQ545" s="556">
        <v>105312.98300600001</v>
      </c>
      <c r="AR545" s="556">
        <v>1.6135999999999999</v>
      </c>
    </row>
    <row r="546" spans="39:44">
      <c r="AM546" s="555">
        <v>45377</v>
      </c>
      <c r="AN546" s="556">
        <v>435.82</v>
      </c>
      <c r="AO546" s="556">
        <v>5151336</v>
      </c>
      <c r="AP546" s="556">
        <v>241.64330000000001</v>
      </c>
      <c r="AQ546" s="556">
        <v>105312.98300600001</v>
      </c>
      <c r="AR546" s="556">
        <v>1.6135999999999999</v>
      </c>
    </row>
    <row r="547" spans="39:44">
      <c r="AM547" s="555">
        <v>45376</v>
      </c>
      <c r="AN547" s="556">
        <v>435.82</v>
      </c>
      <c r="AO547" s="556">
        <v>5151336</v>
      </c>
      <c r="AP547" s="556">
        <v>241.64330000000001</v>
      </c>
      <c r="AQ547" s="556">
        <v>105312.98300600001</v>
      </c>
      <c r="AR547" s="556">
        <v>1.6135999999999999</v>
      </c>
    </row>
    <row r="548" spans="39:44">
      <c r="AM548" s="555">
        <v>45375</v>
      </c>
      <c r="AN548" s="556">
        <v>435.77</v>
      </c>
      <c r="AO548" s="556">
        <v>1153598</v>
      </c>
      <c r="AP548" s="556">
        <v>241.64330000000001</v>
      </c>
      <c r="AQ548" s="556">
        <v>105300.900841</v>
      </c>
      <c r="AR548" s="556">
        <v>1.6133999999999999</v>
      </c>
    </row>
    <row r="549" spans="39:44">
      <c r="AM549" s="555">
        <v>45374</v>
      </c>
      <c r="AN549" s="556">
        <v>434.6</v>
      </c>
      <c r="AO549" s="556">
        <v>987112</v>
      </c>
      <c r="AP549" s="556">
        <v>241.64330000000001</v>
      </c>
      <c r="AQ549" s="556">
        <v>105018.17818000002</v>
      </c>
      <c r="AR549" s="556">
        <v>1.6091</v>
      </c>
    </row>
    <row r="550" spans="39:44">
      <c r="AM550" s="555">
        <v>45373</v>
      </c>
      <c r="AN550" s="556">
        <v>434.91</v>
      </c>
      <c r="AO550" s="556">
        <v>825086</v>
      </c>
      <c r="AP550" s="556">
        <v>241.64330000000001</v>
      </c>
      <c r="AQ550" s="556">
        <v>105093.08760300001</v>
      </c>
      <c r="AR550" s="556">
        <v>1.6102000000000001</v>
      </c>
    </row>
    <row r="551" spans="39:44">
      <c r="AM551" s="555">
        <v>45372</v>
      </c>
      <c r="AN551" s="556">
        <v>434.75</v>
      </c>
      <c r="AO551" s="556">
        <v>950995</v>
      </c>
      <c r="AP551" s="556">
        <v>241.64330000000001</v>
      </c>
      <c r="AQ551" s="556">
        <v>105054.424675</v>
      </c>
      <c r="AR551" s="556">
        <v>1.6095999999999999</v>
      </c>
    </row>
    <row r="552" spans="39:44">
      <c r="AM552" s="555">
        <v>45371</v>
      </c>
      <c r="AN552" s="556">
        <v>432.9</v>
      </c>
      <c r="AO552" s="556">
        <v>763168</v>
      </c>
      <c r="AP552" s="556">
        <v>241.64330000000001</v>
      </c>
      <c r="AQ552" s="556">
        <v>104607.38456999999</v>
      </c>
      <c r="AR552" s="556">
        <v>1.6028</v>
      </c>
    </row>
    <row r="553" spans="39:44">
      <c r="AM553" s="555">
        <v>45370</v>
      </c>
      <c r="AN553" s="556">
        <v>432.9</v>
      </c>
      <c r="AO553" s="556">
        <v>763168</v>
      </c>
      <c r="AP553" s="556">
        <v>241.64330000000001</v>
      </c>
      <c r="AQ553" s="556">
        <v>104607.38456999999</v>
      </c>
      <c r="AR553" s="556">
        <v>1.6028</v>
      </c>
    </row>
    <row r="554" spans="39:44">
      <c r="AM554" s="555">
        <v>45369</v>
      </c>
      <c r="AN554" s="556">
        <v>432.9</v>
      </c>
      <c r="AO554" s="556">
        <v>763168</v>
      </c>
      <c r="AP554" s="556">
        <v>241.64330000000001</v>
      </c>
      <c r="AQ554" s="556">
        <v>104607.38456999999</v>
      </c>
      <c r="AR554" s="556">
        <v>1.6028</v>
      </c>
    </row>
    <row r="555" spans="39:44">
      <c r="AM555" s="555">
        <v>45368</v>
      </c>
      <c r="AN555" s="556">
        <v>429.99</v>
      </c>
      <c r="AO555" s="556">
        <v>1086001</v>
      </c>
      <c r="AP555" s="556">
        <v>241.64330000000001</v>
      </c>
      <c r="AQ555" s="556">
        <v>103904.202567</v>
      </c>
      <c r="AR555" s="556">
        <v>1.5920000000000001</v>
      </c>
    </row>
    <row r="556" spans="39:44">
      <c r="AM556" s="555">
        <v>45367</v>
      </c>
      <c r="AN556" s="556">
        <v>433.48</v>
      </c>
      <c r="AO556" s="556">
        <v>775393</v>
      </c>
      <c r="AP556" s="556">
        <v>241.64330000000001</v>
      </c>
      <c r="AQ556" s="556">
        <v>104747.53768400001</v>
      </c>
      <c r="AR556" s="556">
        <v>1.6049</v>
      </c>
    </row>
    <row r="557" spans="39:44">
      <c r="AM557" s="555">
        <v>45366</v>
      </c>
      <c r="AN557" s="556">
        <v>431.98</v>
      </c>
      <c r="AO557" s="556">
        <v>1038169</v>
      </c>
      <c r="AP557" s="556">
        <v>241.64330000000001</v>
      </c>
      <c r="AQ557" s="556">
        <v>104385.07273400002</v>
      </c>
      <c r="AR557" s="556">
        <v>1.5993999999999999</v>
      </c>
    </row>
    <row r="558" spans="39:44">
      <c r="AM558" s="555">
        <v>45365</v>
      </c>
      <c r="AN558" s="556">
        <v>431.94</v>
      </c>
      <c r="AO558" s="556">
        <v>1271868</v>
      </c>
      <c r="AP558" s="556">
        <v>241.64330000000001</v>
      </c>
      <c r="AQ558" s="556">
        <v>104375.40700200001</v>
      </c>
      <c r="AR558" s="556">
        <v>1.5992</v>
      </c>
    </row>
    <row r="559" spans="39:44">
      <c r="AM559" s="555">
        <v>45364</v>
      </c>
      <c r="AN559" s="556">
        <v>426.46</v>
      </c>
      <c r="AO559" s="556">
        <v>1059046</v>
      </c>
      <c r="AP559" s="556">
        <v>241.64330000000001</v>
      </c>
      <c r="AQ559" s="556">
        <v>103051.201718</v>
      </c>
      <c r="AR559" s="556">
        <v>1.5789</v>
      </c>
    </row>
    <row r="560" spans="39:44">
      <c r="AM560" s="555">
        <v>45363</v>
      </c>
      <c r="AN560" s="556">
        <v>426.46</v>
      </c>
      <c r="AO560" s="556">
        <v>1059046</v>
      </c>
      <c r="AP560" s="556">
        <v>241.64330000000001</v>
      </c>
      <c r="AQ560" s="556">
        <v>103051.201718</v>
      </c>
      <c r="AR560" s="556">
        <v>1.5789</v>
      </c>
    </row>
    <row r="561" spans="39:44">
      <c r="AM561" s="555">
        <v>45362</v>
      </c>
      <c r="AN561" s="556">
        <v>426.46</v>
      </c>
      <c r="AO561" s="556">
        <v>1059046</v>
      </c>
      <c r="AP561" s="556">
        <v>241.64330000000001</v>
      </c>
      <c r="AQ561" s="556">
        <v>103051.201718</v>
      </c>
      <c r="AR561" s="556">
        <v>1.5789</v>
      </c>
    </row>
    <row r="562" spans="39:44">
      <c r="AM562" s="555">
        <v>45361</v>
      </c>
      <c r="AN562" s="556">
        <v>428.24</v>
      </c>
      <c r="AO562" s="556">
        <v>1503319</v>
      </c>
      <c r="AP562" s="556">
        <v>241.64330000000001</v>
      </c>
      <c r="AQ562" s="556">
        <v>103481.32679200001</v>
      </c>
      <c r="AR562" s="556">
        <v>1.5854999999999999</v>
      </c>
    </row>
    <row r="563" spans="39:44">
      <c r="AM563" s="555">
        <v>45360</v>
      </c>
      <c r="AN563" s="556">
        <v>432.48</v>
      </c>
      <c r="AO563" s="556">
        <v>1029529</v>
      </c>
      <c r="AP563" s="556">
        <v>241.64330000000001</v>
      </c>
      <c r="AQ563" s="556">
        <v>104505.89438400001</v>
      </c>
      <c r="AR563" s="556">
        <v>1.6012</v>
      </c>
    </row>
    <row r="564" spans="39:44">
      <c r="AM564" s="555">
        <v>45359</v>
      </c>
      <c r="AN564" s="556">
        <v>430.43</v>
      </c>
      <c r="AO564" s="556">
        <v>886991</v>
      </c>
      <c r="AP564" s="556">
        <v>241.64330000000001</v>
      </c>
      <c r="AQ564" s="556">
        <v>104010.52561900001</v>
      </c>
      <c r="AR564" s="556">
        <v>1.5935999999999999</v>
      </c>
    </row>
    <row r="565" spans="39:44">
      <c r="AM565" s="555">
        <v>45358</v>
      </c>
      <c r="AN565" s="556">
        <v>429.18</v>
      </c>
      <c r="AO565" s="556">
        <v>980642</v>
      </c>
      <c r="AP565" s="556">
        <v>241.64330000000001</v>
      </c>
      <c r="AQ565" s="556">
        <v>103708.47149400001</v>
      </c>
      <c r="AR565" s="556">
        <v>1.589</v>
      </c>
    </row>
    <row r="566" spans="39:44">
      <c r="AM566" s="555">
        <v>45357</v>
      </c>
      <c r="AN566" s="556">
        <v>431.12</v>
      </c>
      <c r="AO566" s="556">
        <v>842229</v>
      </c>
      <c r="AP566" s="556">
        <v>241.64330000000001</v>
      </c>
      <c r="AQ566" s="556">
        <v>104177.259496</v>
      </c>
      <c r="AR566" s="556">
        <v>1.5962000000000001</v>
      </c>
    </row>
    <row r="567" spans="39:44">
      <c r="AM567" s="555">
        <v>45356</v>
      </c>
      <c r="AN567" s="556">
        <v>431.12</v>
      </c>
      <c r="AO567" s="556">
        <v>842229</v>
      </c>
      <c r="AP567" s="556">
        <v>241.64330000000001</v>
      </c>
      <c r="AQ567" s="556">
        <v>104177.259496</v>
      </c>
      <c r="AR567" s="556">
        <v>1.5962000000000001</v>
      </c>
    </row>
    <row r="568" spans="39:44">
      <c r="AM568" s="555">
        <v>45355</v>
      </c>
      <c r="AN568" s="556">
        <v>431.12</v>
      </c>
      <c r="AO568" s="556">
        <v>842229</v>
      </c>
      <c r="AP568" s="556">
        <v>241.64330000000001</v>
      </c>
      <c r="AQ568" s="556">
        <v>104177.259496</v>
      </c>
      <c r="AR568" s="556">
        <v>1.5962000000000001</v>
      </c>
    </row>
    <row r="569" spans="39:44">
      <c r="AM569" s="555">
        <v>45354</v>
      </c>
      <c r="AN569" s="556">
        <v>428.89</v>
      </c>
      <c r="AO569" s="556">
        <v>1236978</v>
      </c>
      <c r="AP569" s="556">
        <v>241.64330000000001</v>
      </c>
      <c r="AQ569" s="556">
        <v>103638.394937</v>
      </c>
      <c r="AR569" s="556">
        <v>1.5879000000000001</v>
      </c>
    </row>
    <row r="570" spans="39:44">
      <c r="AM570" s="555">
        <v>45353</v>
      </c>
      <c r="AN570" s="556">
        <v>427.55</v>
      </c>
      <c r="AO570" s="556">
        <v>970022</v>
      </c>
      <c r="AP570" s="556">
        <v>241.64330000000001</v>
      </c>
      <c r="AQ570" s="556">
        <v>103314.592915</v>
      </c>
      <c r="AR570" s="556">
        <v>1.583</v>
      </c>
    </row>
    <row r="571" spans="39:44">
      <c r="AM571" s="555">
        <v>45352</v>
      </c>
      <c r="AN571" s="556">
        <v>424.27</v>
      </c>
      <c r="AO571" s="556">
        <v>1364125</v>
      </c>
      <c r="AP571" s="556">
        <v>241.64330000000001</v>
      </c>
      <c r="AQ571" s="556">
        <v>102522.002891</v>
      </c>
      <c r="AR571" s="556">
        <v>1.5708</v>
      </c>
    </row>
    <row r="572" spans="39:44">
      <c r="AM572" s="555">
        <v>45351</v>
      </c>
      <c r="AN572" s="556">
        <v>424.07</v>
      </c>
      <c r="AO572" s="556">
        <v>805983</v>
      </c>
      <c r="AP572" s="556">
        <v>241.64330000000001</v>
      </c>
      <c r="AQ572" s="556">
        <v>102473.674231</v>
      </c>
      <c r="AR572" s="556">
        <v>1.5701000000000001</v>
      </c>
    </row>
    <row r="573" spans="39:44">
      <c r="AM573" s="555">
        <v>45350</v>
      </c>
      <c r="AN573" s="556">
        <v>424.07</v>
      </c>
      <c r="AO573" s="556">
        <v>805983</v>
      </c>
      <c r="AP573" s="556">
        <v>241.64330000000001</v>
      </c>
      <c r="AQ573" s="556">
        <v>102473.674231</v>
      </c>
      <c r="AR573" s="556">
        <v>1.5701000000000001</v>
      </c>
    </row>
    <row r="574" spans="39:44">
      <c r="AM574" s="555">
        <v>45349</v>
      </c>
      <c r="AN574" s="556">
        <v>424.07</v>
      </c>
      <c r="AO574" s="556">
        <v>805983</v>
      </c>
      <c r="AP574" s="556">
        <v>241.64330000000001</v>
      </c>
      <c r="AQ574" s="556">
        <v>102473.674231</v>
      </c>
      <c r="AR574" s="556">
        <v>1.5701000000000001</v>
      </c>
    </row>
    <row r="575" spans="39:44">
      <c r="AM575" s="555">
        <v>45348</v>
      </c>
      <c r="AN575" s="556">
        <v>424.07</v>
      </c>
      <c r="AO575" s="556">
        <v>805983</v>
      </c>
      <c r="AP575" s="556">
        <v>241.64330000000001</v>
      </c>
      <c r="AQ575" s="556">
        <v>102473.674231</v>
      </c>
      <c r="AR575" s="556">
        <v>1.5701000000000001</v>
      </c>
    </row>
    <row r="576" spans="39:44">
      <c r="AM576" s="555">
        <v>45347</v>
      </c>
      <c r="AN576" s="556">
        <v>423.12</v>
      </c>
      <c r="AO576" s="556">
        <v>1136780</v>
      </c>
      <c r="AP576" s="556">
        <v>241.64330000000001</v>
      </c>
      <c r="AQ576" s="556">
        <v>102244.113096</v>
      </c>
      <c r="AR576" s="556">
        <v>1.5666</v>
      </c>
    </row>
    <row r="577" spans="39:44">
      <c r="AM577" s="555">
        <v>45346</v>
      </c>
      <c r="AN577" s="556">
        <v>418.19</v>
      </c>
      <c r="AO577" s="556">
        <v>2503797</v>
      </c>
      <c r="AP577" s="556">
        <v>241.64330000000001</v>
      </c>
      <c r="AQ577" s="556">
        <v>101052.811627</v>
      </c>
      <c r="AR577" s="556">
        <v>1.5483</v>
      </c>
    </row>
    <row r="578" spans="39:44">
      <c r="AM578" s="555">
        <v>45345</v>
      </c>
      <c r="AN578" s="556">
        <v>426.52</v>
      </c>
      <c r="AO578" s="556">
        <v>1089533</v>
      </c>
      <c r="AP578" s="556">
        <v>241.64330000000001</v>
      </c>
      <c r="AQ578" s="556">
        <v>103065.700316</v>
      </c>
      <c r="AR578" s="556">
        <v>1.5790999999999999</v>
      </c>
    </row>
    <row r="579" spans="39:44">
      <c r="AM579" s="555">
        <v>45344</v>
      </c>
      <c r="AN579" s="556">
        <v>428.07</v>
      </c>
      <c r="AO579" s="556">
        <v>1007277</v>
      </c>
      <c r="AP579" s="556">
        <v>241.64330000000001</v>
      </c>
      <c r="AQ579" s="556">
        <v>103440.247431</v>
      </c>
      <c r="AR579" s="556">
        <v>1.5849</v>
      </c>
    </row>
    <row r="580" spans="39:44">
      <c r="AM580" s="555">
        <v>45343</v>
      </c>
      <c r="AN580" s="556">
        <v>426.5</v>
      </c>
      <c r="AO580" s="556">
        <v>1038785</v>
      </c>
      <c r="AP580" s="556">
        <v>241.64330000000001</v>
      </c>
      <c r="AQ580" s="556">
        <v>103060.86745000001</v>
      </c>
      <c r="AR580" s="556">
        <v>1.5790999999999999</v>
      </c>
    </row>
    <row r="581" spans="39:44">
      <c r="AM581" s="555">
        <v>45342</v>
      </c>
      <c r="AN581" s="556">
        <v>426.5</v>
      </c>
      <c r="AO581" s="556">
        <v>1038785</v>
      </c>
      <c r="AP581" s="556">
        <v>241.64330000000001</v>
      </c>
      <c r="AQ581" s="556">
        <v>103060.86745000001</v>
      </c>
      <c r="AR581" s="556">
        <v>1.5790999999999999</v>
      </c>
    </row>
    <row r="582" spans="39:44">
      <c r="AM582" s="555">
        <v>45341</v>
      </c>
      <c r="AN582" s="556">
        <v>426.5</v>
      </c>
      <c r="AO582" s="556">
        <v>1038785</v>
      </c>
      <c r="AP582" s="556">
        <v>241.64330000000001</v>
      </c>
      <c r="AQ582" s="556">
        <v>103060.86745000001</v>
      </c>
      <c r="AR582" s="556">
        <v>1.5790999999999999</v>
      </c>
    </row>
    <row r="583" spans="39:44">
      <c r="AM583" s="555">
        <v>45340</v>
      </c>
      <c r="AN583" s="556">
        <v>427</v>
      </c>
      <c r="AO583" s="556">
        <v>972223</v>
      </c>
      <c r="AP583" s="556">
        <v>241.64330000000001</v>
      </c>
      <c r="AQ583" s="556">
        <v>103181.6891</v>
      </c>
      <c r="AR583" s="556">
        <v>1.5809</v>
      </c>
    </row>
    <row r="584" spans="39:44">
      <c r="AM584" s="555">
        <v>45339</v>
      </c>
      <c r="AN584" s="556">
        <v>430.1</v>
      </c>
      <c r="AO584" s="556">
        <v>980872</v>
      </c>
      <c r="AP584" s="556">
        <v>241.64330000000001</v>
      </c>
      <c r="AQ584" s="556">
        <v>103930.78333000001</v>
      </c>
      <c r="AR584" s="556">
        <v>1.5924</v>
      </c>
    </row>
    <row r="585" spans="39:44">
      <c r="AM585" s="555">
        <v>45338</v>
      </c>
      <c r="AN585" s="556">
        <v>426.95</v>
      </c>
      <c r="AO585" s="556">
        <v>1065843</v>
      </c>
      <c r="AP585" s="556">
        <v>241.64330000000001</v>
      </c>
      <c r="AQ585" s="556">
        <v>103169.606935</v>
      </c>
      <c r="AR585" s="556">
        <v>1.5807</v>
      </c>
    </row>
    <row r="586" spans="39:44">
      <c r="AM586" s="555">
        <v>45337</v>
      </c>
      <c r="AN586" s="556">
        <v>421.7</v>
      </c>
      <c r="AO586" s="556">
        <v>1379621</v>
      </c>
      <c r="AP586" s="556">
        <v>241.64330000000001</v>
      </c>
      <c r="AQ586" s="556">
        <v>101900.97960999999</v>
      </c>
      <c r="AR586" s="556">
        <v>1.5612999999999999</v>
      </c>
    </row>
    <row r="587" spans="39:44">
      <c r="AM587" s="555">
        <v>45336</v>
      </c>
      <c r="AN587" s="556">
        <v>425.97</v>
      </c>
      <c r="AO587" s="556">
        <v>973880</v>
      </c>
      <c r="AP587" s="556">
        <v>241.64330000000001</v>
      </c>
      <c r="AQ587" s="556">
        <v>102932.796501</v>
      </c>
      <c r="AR587" s="556">
        <v>1.5770999999999999</v>
      </c>
    </row>
    <row r="588" spans="39:44">
      <c r="AM588" s="555">
        <v>45335</v>
      </c>
      <c r="AN588" s="556">
        <v>425.97</v>
      </c>
      <c r="AO588" s="556">
        <v>973880</v>
      </c>
      <c r="AP588" s="556">
        <v>241.64330000000001</v>
      </c>
      <c r="AQ588" s="556">
        <v>102932.796501</v>
      </c>
      <c r="AR588" s="556">
        <v>1.5770999999999999</v>
      </c>
    </row>
    <row r="589" spans="39:44">
      <c r="AM589" s="555">
        <v>45334</v>
      </c>
      <c r="AN589" s="556">
        <v>425.97</v>
      </c>
      <c r="AO589" s="556">
        <v>973880</v>
      </c>
      <c r="AP589" s="556">
        <v>241.64330000000001</v>
      </c>
      <c r="AQ589" s="556">
        <v>102932.796501</v>
      </c>
      <c r="AR589" s="556">
        <v>1.5770999999999999</v>
      </c>
    </row>
    <row r="590" spans="39:44">
      <c r="AM590" s="555">
        <v>45333</v>
      </c>
      <c r="AN590" s="556">
        <v>429.77</v>
      </c>
      <c r="AO590" s="556">
        <v>1175196</v>
      </c>
      <c r="AP590" s="556">
        <v>241.64330000000001</v>
      </c>
      <c r="AQ590" s="556">
        <v>103851.041041</v>
      </c>
      <c r="AR590" s="556">
        <v>1.5911999999999999</v>
      </c>
    </row>
    <row r="591" spans="39:44">
      <c r="AM591" s="555">
        <v>45332</v>
      </c>
      <c r="AN591" s="556">
        <v>429.41</v>
      </c>
      <c r="AO591" s="556">
        <v>1120062</v>
      </c>
      <c r="AP591" s="556">
        <v>241.64330000000001</v>
      </c>
      <c r="AQ591" s="556">
        <v>103764.04945300001</v>
      </c>
      <c r="AR591" s="556">
        <v>1.5898000000000001</v>
      </c>
    </row>
    <row r="592" spans="39:44">
      <c r="AM592" s="555">
        <v>45331</v>
      </c>
      <c r="AN592" s="556">
        <v>431.68</v>
      </c>
      <c r="AO592" s="556">
        <v>1016375</v>
      </c>
      <c r="AP592" s="556">
        <v>241.64330000000001</v>
      </c>
      <c r="AQ592" s="556">
        <v>104312.579744</v>
      </c>
      <c r="AR592" s="556">
        <v>1.5983000000000001</v>
      </c>
    </row>
    <row r="593" spans="39:44">
      <c r="AM593" s="555">
        <v>45330</v>
      </c>
      <c r="AN593" s="556">
        <v>428.01</v>
      </c>
      <c r="AO593" s="556">
        <v>1903320</v>
      </c>
      <c r="AP593" s="556">
        <v>241.64330000000001</v>
      </c>
      <c r="AQ593" s="556">
        <v>103425.74883300001</v>
      </c>
      <c r="AR593" s="556">
        <v>1.5847</v>
      </c>
    </row>
    <row r="594" spans="39:44">
      <c r="AM594" s="555">
        <v>45329</v>
      </c>
      <c r="AN594" s="556">
        <v>429.91</v>
      </c>
      <c r="AO594" s="556">
        <v>1260544</v>
      </c>
      <c r="AP594" s="556">
        <v>241.64330000000001</v>
      </c>
      <c r="AQ594" s="556">
        <v>103884.87110300001</v>
      </c>
      <c r="AR594" s="556">
        <v>1.5916999999999999</v>
      </c>
    </row>
    <row r="595" spans="39:44">
      <c r="AM595" s="555">
        <v>45328</v>
      </c>
      <c r="AN595" s="556">
        <v>429.91</v>
      </c>
      <c r="AO595" s="556">
        <v>1260544</v>
      </c>
      <c r="AP595" s="556">
        <v>241.64330000000001</v>
      </c>
      <c r="AQ595" s="556">
        <v>103884.87110300001</v>
      </c>
      <c r="AR595" s="556">
        <v>1.5916999999999999</v>
      </c>
    </row>
    <row r="596" spans="39:44">
      <c r="AM596" s="555">
        <v>45327</v>
      </c>
      <c r="AN596" s="556">
        <v>429.91</v>
      </c>
      <c r="AO596" s="556">
        <v>1260544</v>
      </c>
      <c r="AP596" s="556">
        <v>241.64330000000001</v>
      </c>
      <c r="AQ596" s="556">
        <v>103884.87110300001</v>
      </c>
      <c r="AR596" s="556">
        <v>1.5916999999999999</v>
      </c>
    </row>
    <row r="597" spans="39:44">
      <c r="AM597" s="555">
        <v>45326</v>
      </c>
      <c r="AN597" s="556">
        <v>431.04</v>
      </c>
      <c r="AO597" s="556">
        <v>1813860</v>
      </c>
      <c r="AP597" s="556">
        <v>241.64330000000001</v>
      </c>
      <c r="AQ597" s="556">
        <v>104157.92803200001</v>
      </c>
      <c r="AR597" s="556">
        <v>1.5959000000000001</v>
      </c>
    </row>
    <row r="598" spans="39:44">
      <c r="AM598" s="555">
        <v>45325</v>
      </c>
      <c r="AN598" s="556">
        <v>431.65</v>
      </c>
      <c r="AO598" s="556">
        <v>1768872</v>
      </c>
      <c r="AP598" s="556">
        <v>241.64330000000001</v>
      </c>
      <c r="AQ598" s="556">
        <v>104305.330445</v>
      </c>
      <c r="AR598" s="556">
        <v>1.5981000000000001</v>
      </c>
    </row>
    <row r="599" spans="39:44">
      <c r="AM599" s="555">
        <v>45324</v>
      </c>
      <c r="AN599" s="556">
        <v>439.67</v>
      </c>
      <c r="AO599" s="556">
        <v>3613453</v>
      </c>
      <c r="AP599" s="556">
        <v>241.64330000000001</v>
      </c>
      <c r="AQ599" s="556">
        <v>106243.30971100001</v>
      </c>
      <c r="AR599" s="556">
        <v>1.6277999999999999</v>
      </c>
    </row>
    <row r="600" spans="39:44">
      <c r="AM600" s="555">
        <v>45323</v>
      </c>
      <c r="AN600" s="556">
        <v>458.76</v>
      </c>
      <c r="AO600" s="556">
        <v>1216791</v>
      </c>
      <c r="AP600" s="556">
        <v>248.09871999999999</v>
      </c>
      <c r="AQ600" s="556">
        <v>113817.7687872</v>
      </c>
      <c r="AR600" s="556">
        <v>1.6984999999999999</v>
      </c>
    </row>
    <row r="601" spans="39:44">
      <c r="AM601" s="555">
        <v>45322</v>
      </c>
      <c r="AN601" s="556">
        <v>457.76</v>
      </c>
      <c r="AO601" s="556">
        <v>866575</v>
      </c>
      <c r="AP601" s="556">
        <v>248.09871999999999</v>
      </c>
      <c r="AQ601" s="556">
        <v>113569.67006719999</v>
      </c>
      <c r="AR601" s="556">
        <v>1.6948000000000001</v>
      </c>
    </row>
    <row r="602" spans="39:44">
      <c r="AM602" s="555">
        <v>45321</v>
      </c>
      <c r="AN602" s="556">
        <v>457.76</v>
      </c>
      <c r="AO602" s="556">
        <v>866575</v>
      </c>
      <c r="AP602" s="556">
        <v>248.09871999999999</v>
      </c>
      <c r="AQ602" s="556">
        <v>113569.67006719999</v>
      </c>
      <c r="AR602" s="556">
        <v>1.6948000000000001</v>
      </c>
    </row>
    <row r="603" spans="39:44">
      <c r="AM603" s="555">
        <v>45320</v>
      </c>
      <c r="AN603" s="556">
        <v>457.76</v>
      </c>
      <c r="AO603" s="556">
        <v>866575</v>
      </c>
      <c r="AP603" s="556">
        <v>248.09871999999999</v>
      </c>
      <c r="AQ603" s="556">
        <v>113569.67006719999</v>
      </c>
      <c r="AR603" s="556">
        <v>1.6948000000000001</v>
      </c>
    </row>
    <row r="604" spans="39:44">
      <c r="AM604" s="555">
        <v>45319</v>
      </c>
      <c r="AN604" s="556">
        <v>459.57</v>
      </c>
      <c r="AO604" s="556">
        <v>780470</v>
      </c>
      <c r="AP604" s="556">
        <v>248.09871999999999</v>
      </c>
      <c r="AQ604" s="556">
        <v>114018.7287504</v>
      </c>
      <c r="AR604" s="556">
        <v>1.7015</v>
      </c>
    </row>
    <row r="605" spans="39:44">
      <c r="AM605" s="555">
        <v>45318</v>
      </c>
      <c r="AN605" s="556">
        <v>456.47</v>
      </c>
      <c r="AO605" s="556">
        <v>920830</v>
      </c>
      <c r="AP605" s="556">
        <v>248.09871999999999</v>
      </c>
      <c r="AQ605" s="556">
        <v>113249.6227184</v>
      </c>
      <c r="AR605" s="556">
        <v>1.69</v>
      </c>
    </row>
    <row r="606" spans="39:44">
      <c r="AM606" s="555">
        <v>45317</v>
      </c>
      <c r="AN606" s="556">
        <v>457.84</v>
      </c>
      <c r="AO606" s="556">
        <v>814920</v>
      </c>
      <c r="AP606" s="556">
        <v>248.09871999999999</v>
      </c>
      <c r="AQ606" s="556">
        <v>113589.51796479999</v>
      </c>
      <c r="AR606" s="556">
        <v>1.6951000000000001</v>
      </c>
    </row>
    <row r="607" spans="39:44">
      <c r="AM607" s="555">
        <v>45316</v>
      </c>
      <c r="AN607" s="556">
        <v>463.18</v>
      </c>
      <c r="AO607" s="556">
        <v>966475</v>
      </c>
      <c r="AP607" s="556">
        <v>248.09871999999999</v>
      </c>
      <c r="AQ607" s="556">
        <v>114914.36512959999</v>
      </c>
      <c r="AR607" s="556">
        <v>1.7149000000000001</v>
      </c>
    </row>
    <row r="608" spans="39:44">
      <c r="AM608" s="555">
        <v>45315</v>
      </c>
      <c r="AN608" s="556">
        <v>463.18</v>
      </c>
      <c r="AO608" s="556">
        <v>966475</v>
      </c>
      <c r="AP608" s="556">
        <v>248.09871999999999</v>
      </c>
      <c r="AQ608" s="556">
        <v>114914.36512959999</v>
      </c>
      <c r="AR608" s="556">
        <v>1.7149000000000001</v>
      </c>
    </row>
    <row r="609" spans="39:44">
      <c r="AM609" s="555">
        <v>45314</v>
      </c>
      <c r="AN609" s="556">
        <v>463.18</v>
      </c>
      <c r="AO609" s="556">
        <v>966475</v>
      </c>
      <c r="AP609" s="556">
        <v>248.09871999999999</v>
      </c>
      <c r="AQ609" s="556">
        <v>114914.36512959999</v>
      </c>
      <c r="AR609" s="556">
        <v>1.7149000000000001</v>
      </c>
    </row>
    <row r="610" spans="39:44">
      <c r="AM610" s="555">
        <v>45313</v>
      </c>
      <c r="AN610" s="556">
        <v>463.18</v>
      </c>
      <c r="AO610" s="556">
        <v>966475</v>
      </c>
      <c r="AP610" s="556">
        <v>248.09871999999999</v>
      </c>
      <c r="AQ610" s="556">
        <v>114914.36512959999</v>
      </c>
      <c r="AR610" s="556">
        <v>1.7149000000000001</v>
      </c>
    </row>
    <row r="611" spans="39:44">
      <c r="AM611" s="555">
        <v>45312</v>
      </c>
      <c r="AN611" s="556">
        <v>453.13</v>
      </c>
      <c r="AO611" s="556">
        <v>784784</v>
      </c>
      <c r="AP611" s="556">
        <v>248.09871999999999</v>
      </c>
      <c r="AQ611" s="556">
        <v>112420.97299359999</v>
      </c>
      <c r="AR611" s="556">
        <v>1.6777</v>
      </c>
    </row>
    <row r="612" spans="39:44">
      <c r="AM612" s="555">
        <v>45311</v>
      </c>
      <c r="AN612" s="556">
        <v>455.4</v>
      </c>
      <c r="AO612" s="556">
        <v>666085</v>
      </c>
      <c r="AP612" s="556">
        <v>248.09871999999999</v>
      </c>
      <c r="AQ612" s="556">
        <v>112984.15708799999</v>
      </c>
      <c r="AR612" s="556">
        <v>1.6860999999999999</v>
      </c>
    </row>
    <row r="613" spans="39:44">
      <c r="AM613" s="555">
        <v>45310</v>
      </c>
      <c r="AN613" s="556">
        <v>456.29</v>
      </c>
      <c r="AO613" s="556">
        <v>733045</v>
      </c>
      <c r="AP613" s="556">
        <v>248.09871999999999</v>
      </c>
      <c r="AQ613" s="556">
        <v>113204.9649488</v>
      </c>
      <c r="AR613" s="556">
        <v>1.6894</v>
      </c>
    </row>
    <row r="614" spans="39:44">
      <c r="AM614" s="555">
        <v>45309</v>
      </c>
      <c r="AN614" s="556">
        <v>458.6</v>
      </c>
      <c r="AO614" s="556">
        <v>716216</v>
      </c>
      <c r="AP614" s="556">
        <v>248.09871999999999</v>
      </c>
      <c r="AQ614" s="556">
        <v>113778.072992</v>
      </c>
      <c r="AR614" s="556">
        <v>1.6979</v>
      </c>
    </row>
    <row r="615" spans="39:44">
      <c r="AM615" s="555">
        <v>45308</v>
      </c>
      <c r="AN615" s="556">
        <v>456.5</v>
      </c>
      <c r="AO615" s="556">
        <v>705324</v>
      </c>
      <c r="AP615" s="556">
        <v>248.09871999999999</v>
      </c>
      <c r="AQ615" s="556">
        <v>113257.06568</v>
      </c>
      <c r="AR615" s="556">
        <v>1.6900999999999999</v>
      </c>
    </row>
    <row r="616" spans="39:44">
      <c r="AM616" s="555">
        <v>45307</v>
      </c>
      <c r="AN616" s="556">
        <v>456.5</v>
      </c>
      <c r="AO616" s="556">
        <v>705324</v>
      </c>
      <c r="AP616" s="556">
        <v>248.09871999999999</v>
      </c>
      <c r="AQ616" s="556">
        <v>113257.06568</v>
      </c>
      <c r="AR616" s="556">
        <v>1.6900999999999999</v>
      </c>
    </row>
    <row r="617" spans="39:44">
      <c r="AM617" s="555">
        <v>45306</v>
      </c>
      <c r="AN617" s="556">
        <v>456.5</v>
      </c>
      <c r="AO617" s="556">
        <v>705324</v>
      </c>
      <c r="AP617" s="556">
        <v>248.09871999999999</v>
      </c>
      <c r="AQ617" s="556">
        <v>113257.06568</v>
      </c>
      <c r="AR617" s="556">
        <v>1.6900999999999999</v>
      </c>
    </row>
    <row r="618" spans="39:44">
      <c r="AM618" s="555">
        <v>45305</v>
      </c>
      <c r="AN618" s="556">
        <v>457.87</v>
      </c>
      <c r="AO618" s="556">
        <v>1087809</v>
      </c>
      <c r="AP618" s="556">
        <v>248.09871999999999</v>
      </c>
      <c r="AQ618" s="556">
        <v>113596.96092639999</v>
      </c>
      <c r="AR618" s="556">
        <v>1.6952</v>
      </c>
    </row>
    <row r="619" spans="39:44">
      <c r="AM619" s="555">
        <v>45304</v>
      </c>
      <c r="AN619" s="556">
        <v>459.12</v>
      </c>
      <c r="AO619" s="556">
        <v>1174302</v>
      </c>
      <c r="AP619" s="556">
        <v>248.09871999999999</v>
      </c>
      <c r="AQ619" s="556">
        <v>113907.0843264</v>
      </c>
      <c r="AR619" s="556">
        <v>1.6998</v>
      </c>
    </row>
    <row r="620" spans="39:44">
      <c r="AM620" s="555">
        <v>45303</v>
      </c>
      <c r="AN620" s="556">
        <v>456.12</v>
      </c>
      <c r="AO620" s="556">
        <v>1206678</v>
      </c>
      <c r="AP620" s="556">
        <v>248.09871999999999</v>
      </c>
      <c r="AQ620" s="556">
        <v>113162.7881664</v>
      </c>
      <c r="AR620" s="556">
        <v>1.6887000000000001</v>
      </c>
    </row>
    <row r="621" spans="39:44">
      <c r="AM621" s="555">
        <v>45302</v>
      </c>
      <c r="AN621" s="556">
        <v>453.24</v>
      </c>
      <c r="AO621" s="556">
        <v>832537</v>
      </c>
      <c r="AP621" s="556">
        <v>248.09871999999999</v>
      </c>
      <c r="AQ621" s="556">
        <v>112448.2638528</v>
      </c>
      <c r="AR621" s="556">
        <v>1.6976</v>
      </c>
    </row>
    <row r="622" spans="39:44">
      <c r="AM622" s="555">
        <v>45301</v>
      </c>
      <c r="AN622" s="556">
        <v>453.24</v>
      </c>
      <c r="AO622" s="556">
        <v>832537</v>
      </c>
      <c r="AP622" s="556">
        <v>248.09871999999999</v>
      </c>
      <c r="AQ622" s="556">
        <v>112448.2638528</v>
      </c>
      <c r="AR622" s="556">
        <v>1.6976</v>
      </c>
    </row>
    <row r="623" spans="39:44">
      <c r="AM623" s="555">
        <v>45300</v>
      </c>
      <c r="AN623" s="556">
        <v>453.24</v>
      </c>
      <c r="AO623" s="556">
        <v>832537</v>
      </c>
      <c r="AP623" s="556">
        <v>248.09871999999999</v>
      </c>
      <c r="AQ623" s="556">
        <v>112448.2638528</v>
      </c>
      <c r="AR623" s="556">
        <v>1.6976</v>
      </c>
    </row>
    <row r="624" spans="39:44">
      <c r="AM624" s="555">
        <v>45299</v>
      </c>
      <c r="AN624" s="556">
        <v>453.24</v>
      </c>
      <c r="AO624" s="556">
        <v>832537</v>
      </c>
      <c r="AP624" s="556">
        <v>248.09871999999999</v>
      </c>
      <c r="AQ624" s="556">
        <v>112448.2638528</v>
      </c>
      <c r="AR624" s="556">
        <v>1.6976</v>
      </c>
    </row>
    <row r="625" spans="39:44">
      <c r="AM625" s="555">
        <v>45298</v>
      </c>
      <c r="AN625" s="556">
        <v>451.23</v>
      </c>
      <c r="AO625" s="556">
        <v>741854</v>
      </c>
      <c r="AP625" s="556">
        <v>248.09871999999999</v>
      </c>
      <c r="AQ625" s="556">
        <v>111949.5854256</v>
      </c>
      <c r="AR625" s="556">
        <v>1.6900999999999999</v>
      </c>
    </row>
    <row r="626" spans="39:44">
      <c r="AM626" s="555">
        <v>45297</v>
      </c>
      <c r="AN626" s="556">
        <v>448.97</v>
      </c>
      <c r="AO626" s="556">
        <v>699955</v>
      </c>
      <c r="AP626" s="556">
        <v>248.09871999999999</v>
      </c>
      <c r="AQ626" s="556">
        <v>111388.88231840001</v>
      </c>
      <c r="AR626" s="556">
        <v>1.6816</v>
      </c>
    </row>
    <row r="627" spans="39:44">
      <c r="AM627" s="555">
        <v>45296</v>
      </c>
      <c r="AN627" s="556">
        <v>450.18</v>
      </c>
      <c r="AO627" s="556">
        <v>516985</v>
      </c>
      <c r="AP627" s="556">
        <v>248.09871999999999</v>
      </c>
      <c r="AQ627" s="556">
        <v>111689.0817696</v>
      </c>
      <c r="AR627" s="556">
        <v>1.6860999999999999</v>
      </c>
    </row>
    <row r="628" spans="39:44">
      <c r="AM628" s="555">
        <v>45295</v>
      </c>
      <c r="AN628" s="556">
        <v>448.22</v>
      </c>
      <c r="AO628" s="556">
        <v>623775</v>
      </c>
      <c r="AP628" s="556">
        <v>248.09871999999999</v>
      </c>
      <c r="AQ628" s="556">
        <v>111202.8082784</v>
      </c>
      <c r="AR628" s="556">
        <v>1.6788000000000001</v>
      </c>
    </row>
    <row r="629" spans="39:44">
      <c r="AM629" s="555">
        <v>45294</v>
      </c>
      <c r="AN629" s="556">
        <v>448.22</v>
      </c>
      <c r="AO629" s="556">
        <v>623775</v>
      </c>
      <c r="AP629" s="556">
        <v>248.09871999999999</v>
      </c>
      <c r="AQ629" s="556">
        <v>111202.8082784</v>
      </c>
      <c r="AR629" s="556">
        <v>1.6788000000000001</v>
      </c>
    </row>
    <row r="630" spans="39:44">
      <c r="AM630" s="555">
        <v>45293</v>
      </c>
      <c r="AN630" s="556">
        <v>448.22</v>
      </c>
      <c r="AO630" s="556">
        <v>623775</v>
      </c>
      <c r="AP630" s="556">
        <v>248.09871999999999</v>
      </c>
      <c r="AQ630" s="556">
        <v>111202.8082784</v>
      </c>
      <c r="AR630" s="556">
        <v>1.6788000000000001</v>
      </c>
    </row>
    <row r="631" spans="39:44">
      <c r="AM631" s="555">
        <v>45292</v>
      </c>
      <c r="AN631" s="556">
        <v>448.22</v>
      </c>
      <c r="AO631" s="556">
        <v>623775</v>
      </c>
      <c r="AP631" s="556">
        <v>248.09871999999999</v>
      </c>
      <c r="AQ631" s="556">
        <v>111202.8082784</v>
      </c>
      <c r="AR631" s="556">
        <v>1.6788000000000001</v>
      </c>
    </row>
    <row r="632" spans="39:44">
      <c r="AM632" s="555">
        <v>45291</v>
      </c>
      <c r="AN632" s="556">
        <v>448.02</v>
      </c>
      <c r="AO632" s="556">
        <v>637239</v>
      </c>
      <c r="AP632" s="556">
        <v>248.09871999999999</v>
      </c>
      <c r="AQ632" s="556">
        <v>111153.18853439999</v>
      </c>
      <c r="AR632" s="556">
        <v>1.6780999999999999</v>
      </c>
    </row>
    <row r="633" spans="39:44">
      <c r="AM633" s="555">
        <v>45290</v>
      </c>
      <c r="AN633" s="556">
        <v>442.6</v>
      </c>
      <c r="AO633" s="556">
        <v>1306864</v>
      </c>
      <c r="AP633" s="556">
        <v>248.09871999999999</v>
      </c>
      <c r="AQ633" s="556">
        <v>109808.493472</v>
      </c>
      <c r="AR633" s="556">
        <v>1.6577999999999999</v>
      </c>
    </row>
    <row r="634" spans="39:44">
      <c r="AM634" s="555">
        <v>45289</v>
      </c>
      <c r="AN634" s="556">
        <v>447.79</v>
      </c>
      <c r="AO634" s="556">
        <v>695031</v>
      </c>
      <c r="AP634" s="556">
        <v>248.09871999999999</v>
      </c>
      <c r="AQ634" s="556">
        <v>111096.1258288</v>
      </c>
      <c r="AR634" s="556">
        <v>1.6772</v>
      </c>
    </row>
    <row r="635" spans="39:44">
      <c r="AM635" s="555">
        <v>45288</v>
      </c>
      <c r="AN635" s="556">
        <v>446.91</v>
      </c>
      <c r="AO635" s="556">
        <v>1197385</v>
      </c>
      <c r="AP635" s="556">
        <v>248.09871999999999</v>
      </c>
      <c r="AQ635" s="556">
        <v>110877.79895520001</v>
      </c>
      <c r="AR635" s="556">
        <v>1.6738999999999999</v>
      </c>
    </row>
    <row r="636" spans="39:44">
      <c r="AM636" s="555">
        <v>45287</v>
      </c>
      <c r="AN636" s="556">
        <v>441.81</v>
      </c>
      <c r="AO636" s="556">
        <v>3973469</v>
      </c>
      <c r="AP636" s="556">
        <v>248.09871999999999</v>
      </c>
      <c r="AQ636" s="556">
        <v>109612.49548319999</v>
      </c>
      <c r="AR636" s="556">
        <v>1.6548</v>
      </c>
    </row>
    <row r="637" spans="39:44">
      <c r="AM637" s="555">
        <v>45286</v>
      </c>
      <c r="AN637" s="556">
        <v>441.81</v>
      </c>
      <c r="AO637" s="556">
        <v>3973469</v>
      </c>
      <c r="AP637" s="556">
        <v>248.09871999999999</v>
      </c>
      <c r="AQ637" s="556">
        <v>109612.49548319999</v>
      </c>
      <c r="AR637" s="556">
        <v>1.6548</v>
      </c>
    </row>
    <row r="638" spans="39:44">
      <c r="AM638" s="555">
        <v>45285</v>
      </c>
      <c r="AN638" s="556">
        <v>441.81</v>
      </c>
      <c r="AO638" s="556">
        <v>3973469</v>
      </c>
      <c r="AP638" s="556">
        <v>248.09871999999999</v>
      </c>
      <c r="AQ638" s="556">
        <v>109612.49548319999</v>
      </c>
      <c r="AR638" s="556">
        <v>1.6548</v>
      </c>
    </row>
    <row r="639" spans="39:44">
      <c r="AM639" s="555">
        <v>45284</v>
      </c>
      <c r="AN639" s="556">
        <v>445.27</v>
      </c>
      <c r="AO639" s="556">
        <v>1891203</v>
      </c>
      <c r="AP639" s="556">
        <v>248.09871999999999</v>
      </c>
      <c r="AQ639" s="556">
        <v>110470.91705439999</v>
      </c>
      <c r="AR639" s="556">
        <v>1.6677999999999999</v>
      </c>
    </row>
    <row r="640" spans="39:44">
      <c r="AM640" s="555">
        <v>45283</v>
      </c>
      <c r="AN640" s="556">
        <v>451.44</v>
      </c>
      <c r="AO640" s="556">
        <v>1300265</v>
      </c>
      <c r="AP640" s="556">
        <v>248.09871999999999</v>
      </c>
      <c r="AQ640" s="556">
        <v>112001.68615679999</v>
      </c>
      <c r="AR640" s="556">
        <v>1.6909000000000001</v>
      </c>
    </row>
    <row r="641" spans="39:44">
      <c r="AM641" s="555">
        <v>45282</v>
      </c>
      <c r="AN641" s="556">
        <v>451.63</v>
      </c>
      <c r="AO641" s="556">
        <v>1008242</v>
      </c>
      <c r="AP641" s="556">
        <v>248.09871999999999</v>
      </c>
      <c r="AQ641" s="556">
        <v>112048.82491359999</v>
      </c>
      <c r="AR641" s="556">
        <v>1.6916</v>
      </c>
    </row>
    <row r="642" spans="39:44">
      <c r="AM642" s="555">
        <v>45281</v>
      </c>
      <c r="AN642" s="556">
        <v>451.26</v>
      </c>
      <c r="AO642" s="556">
        <v>1021581</v>
      </c>
      <c r="AP642" s="556">
        <v>248.09871999999999</v>
      </c>
      <c r="AQ642" s="556">
        <v>111957.02838719999</v>
      </c>
      <c r="AR642" s="556">
        <v>1.6901999999999999</v>
      </c>
    </row>
    <row r="643" spans="39:44">
      <c r="AM643" s="555">
        <v>45280</v>
      </c>
      <c r="AN643" s="556">
        <v>448.02</v>
      </c>
      <c r="AO643" s="556">
        <v>761176</v>
      </c>
      <c r="AP643" s="556">
        <v>248.09871999999999</v>
      </c>
      <c r="AQ643" s="556">
        <v>111153.18853439999</v>
      </c>
      <c r="AR643" s="556">
        <v>1.6780999999999999</v>
      </c>
    </row>
    <row r="644" spans="39:44">
      <c r="AM644" s="555">
        <v>45279</v>
      </c>
      <c r="AN644" s="556">
        <v>448.02</v>
      </c>
      <c r="AO644" s="556">
        <v>761176</v>
      </c>
      <c r="AP644" s="556">
        <v>248.09871999999999</v>
      </c>
      <c r="AQ644" s="556">
        <v>111153.18853439999</v>
      </c>
      <c r="AR644" s="556">
        <v>1.6780999999999999</v>
      </c>
    </row>
    <row r="645" spans="39:44">
      <c r="AM645" s="555">
        <v>45278</v>
      </c>
      <c r="AN645" s="556">
        <v>448.02</v>
      </c>
      <c r="AO645" s="556">
        <v>761176</v>
      </c>
      <c r="AP645" s="556">
        <v>248.09871999999999</v>
      </c>
      <c r="AQ645" s="556">
        <v>111153.18853439999</v>
      </c>
      <c r="AR645" s="556">
        <v>1.6780999999999999</v>
      </c>
    </row>
    <row r="646" spans="39:44">
      <c r="AM646" s="555">
        <v>45277</v>
      </c>
      <c r="AN646" s="556">
        <v>447.11</v>
      </c>
      <c r="AO646" s="556">
        <v>861191</v>
      </c>
      <c r="AP646" s="556">
        <v>248.09871999999999</v>
      </c>
      <c r="AQ646" s="556">
        <v>110927.4186992</v>
      </c>
      <c r="AR646" s="556">
        <v>1.6746000000000001</v>
      </c>
    </row>
    <row r="647" spans="39:44">
      <c r="AM647" s="555">
        <v>45276</v>
      </c>
      <c r="AN647" s="556">
        <v>449.41</v>
      </c>
      <c r="AO647" s="556">
        <v>864227</v>
      </c>
      <c r="AP647" s="556">
        <v>248.09871999999999</v>
      </c>
      <c r="AQ647" s="556">
        <v>111498.0457552</v>
      </c>
      <c r="AR647" s="556">
        <v>1.6833</v>
      </c>
    </row>
    <row r="648" spans="39:44">
      <c r="AM648" s="555">
        <v>45275</v>
      </c>
      <c r="AN648" s="556">
        <v>446.24</v>
      </c>
      <c r="AO648" s="556">
        <v>1055774</v>
      </c>
      <c r="AP648" s="556">
        <v>248.09871999999999</v>
      </c>
      <c r="AQ648" s="556">
        <v>110711.57281279999</v>
      </c>
      <c r="AR648" s="556">
        <v>1.6714</v>
      </c>
    </row>
    <row r="649" spans="39:44">
      <c r="AM649" s="555">
        <v>45274</v>
      </c>
      <c r="AN649" s="556">
        <v>450.69</v>
      </c>
      <c r="AO649" s="556">
        <v>1265775</v>
      </c>
      <c r="AP649" s="556">
        <v>248.09871999999999</v>
      </c>
      <c r="AQ649" s="556">
        <v>111815.6121168</v>
      </c>
      <c r="AR649" s="556">
        <v>1.6880999999999999</v>
      </c>
    </row>
    <row r="650" spans="39:44">
      <c r="AM650" s="555">
        <v>45273</v>
      </c>
      <c r="AN650" s="556">
        <v>449.41</v>
      </c>
      <c r="AO650" s="556">
        <v>856928</v>
      </c>
      <c r="AP650" s="556">
        <v>248.09871999999999</v>
      </c>
      <c r="AQ650" s="556">
        <v>111498.0457552</v>
      </c>
      <c r="AR650" s="556">
        <v>1.6833</v>
      </c>
    </row>
    <row r="651" spans="39:44">
      <c r="AM651" s="555">
        <v>45272</v>
      </c>
      <c r="AN651" s="556">
        <v>449.41</v>
      </c>
      <c r="AO651" s="556">
        <v>856928</v>
      </c>
      <c r="AP651" s="556">
        <v>248.09871999999999</v>
      </c>
      <c r="AQ651" s="556">
        <v>111498.0457552</v>
      </c>
      <c r="AR651" s="556">
        <v>1.6833</v>
      </c>
    </row>
    <row r="652" spans="39:44">
      <c r="AM652" s="555">
        <v>45271</v>
      </c>
      <c r="AN652" s="556">
        <v>449.41</v>
      </c>
      <c r="AO652" s="556">
        <v>856928</v>
      </c>
      <c r="AP652" s="556">
        <v>248.09871999999999</v>
      </c>
      <c r="AQ652" s="556">
        <v>111498.0457552</v>
      </c>
      <c r="AR652" s="556">
        <v>1.6833</v>
      </c>
    </row>
    <row r="653" spans="39:44">
      <c r="AM653" s="555">
        <v>45270</v>
      </c>
      <c r="AN653" s="556">
        <v>447.77</v>
      </c>
      <c r="AO653" s="556">
        <v>1514694</v>
      </c>
      <c r="AP653" s="556">
        <v>248.09871999999999</v>
      </c>
      <c r="AQ653" s="556">
        <v>111091.16385439999</v>
      </c>
      <c r="AR653" s="556">
        <v>1.6771</v>
      </c>
    </row>
    <row r="654" spans="39:44">
      <c r="AM654" s="555">
        <v>45269</v>
      </c>
      <c r="AN654" s="556">
        <v>445.01</v>
      </c>
      <c r="AO654" s="556">
        <v>1272912</v>
      </c>
      <c r="AP654" s="556">
        <v>248.09871999999999</v>
      </c>
      <c r="AQ654" s="556">
        <v>110406.41138719999</v>
      </c>
      <c r="AR654" s="556">
        <v>1.6668000000000001</v>
      </c>
    </row>
    <row r="655" spans="39:44">
      <c r="AM655" s="555">
        <v>45268</v>
      </c>
      <c r="AN655" s="556">
        <v>448.27</v>
      </c>
      <c r="AO655" s="556">
        <v>1124950</v>
      </c>
      <c r="AP655" s="556">
        <v>248.09871999999999</v>
      </c>
      <c r="AQ655" s="556">
        <v>111215.21321439999</v>
      </c>
      <c r="AR655" s="556">
        <v>1.679</v>
      </c>
    </row>
    <row r="656" spans="39:44">
      <c r="AM656" s="555">
        <v>45267</v>
      </c>
      <c r="AN656" s="556">
        <v>445.49</v>
      </c>
      <c r="AO656" s="556">
        <v>1497004</v>
      </c>
      <c r="AP656" s="556">
        <v>248.09871999999999</v>
      </c>
      <c r="AQ656" s="556">
        <v>110525.4987728</v>
      </c>
      <c r="AR656" s="556">
        <v>1.6686000000000001</v>
      </c>
    </row>
    <row r="657" spans="39:44">
      <c r="AM657" s="555">
        <v>45266</v>
      </c>
      <c r="AN657" s="556">
        <v>452.01</v>
      </c>
      <c r="AO657" s="556">
        <v>326644</v>
      </c>
      <c r="AP657" s="556">
        <v>248.09871999999999</v>
      </c>
      <c r="AQ657" s="556">
        <v>112143.10242719999</v>
      </c>
      <c r="AR657" s="556">
        <v>1.6930000000000001</v>
      </c>
    </row>
    <row r="658" spans="39:44">
      <c r="AM658" s="555">
        <v>45265</v>
      </c>
      <c r="AN658" s="556">
        <v>452.01</v>
      </c>
      <c r="AO658" s="556">
        <v>326644</v>
      </c>
      <c r="AP658" s="556">
        <v>248.09871999999999</v>
      </c>
      <c r="AQ658" s="556">
        <v>112143.10242719999</v>
      </c>
      <c r="AR658" s="556">
        <v>1.6930000000000001</v>
      </c>
    </row>
    <row r="659" spans="39:44">
      <c r="AM659" s="555">
        <v>45264</v>
      </c>
      <c r="AN659" s="556">
        <v>452.01</v>
      </c>
      <c r="AO659" s="556">
        <v>326644</v>
      </c>
      <c r="AP659" s="556">
        <v>248.09871999999999</v>
      </c>
      <c r="AQ659" s="556">
        <v>112143.10242719999</v>
      </c>
      <c r="AR659" s="556">
        <v>1.6930000000000001</v>
      </c>
    </row>
    <row r="660" spans="39:44">
      <c r="AM660" s="555">
        <v>45263</v>
      </c>
      <c r="AN660" s="556">
        <v>450.4</v>
      </c>
      <c r="AO660" s="556">
        <v>833765</v>
      </c>
      <c r="AP660" s="556">
        <v>248.09871999999999</v>
      </c>
      <c r="AQ660" s="556">
        <v>111743.66348799999</v>
      </c>
      <c r="AR660" s="556">
        <v>1.6870000000000001</v>
      </c>
    </row>
    <row r="661" spans="39:44">
      <c r="AM661" s="555">
        <v>45262</v>
      </c>
      <c r="AN661" s="556">
        <v>450.4</v>
      </c>
      <c r="AO661" s="556">
        <v>833765</v>
      </c>
      <c r="AP661" s="556">
        <v>248.09871999999999</v>
      </c>
      <c r="AQ661" s="556">
        <v>111743.66348799999</v>
      </c>
      <c r="AR661" s="556">
        <v>1.6870000000000001</v>
      </c>
    </row>
    <row r="662" spans="39:44">
      <c r="AM662" s="555">
        <v>45261</v>
      </c>
      <c r="AN662" s="556">
        <v>448.15</v>
      </c>
      <c r="AO662" s="556">
        <v>1177877</v>
      </c>
      <c r="AP662" s="556">
        <v>248.09871999999999</v>
      </c>
      <c r="AQ662" s="556">
        <v>111185.44136799999</v>
      </c>
      <c r="AR662" s="556">
        <v>1.6785000000000001</v>
      </c>
    </row>
    <row r="663" spans="39:44">
      <c r="AM663" s="555">
        <v>45260</v>
      </c>
      <c r="AN663" s="556">
        <v>443.81</v>
      </c>
      <c r="AO663" s="556">
        <v>982113</v>
      </c>
      <c r="AP663" s="556">
        <v>248.09871999999999</v>
      </c>
      <c r="AQ663" s="556">
        <v>110108.6929232</v>
      </c>
      <c r="AR663" s="556">
        <v>1.6623000000000001</v>
      </c>
    </row>
    <row r="664" spans="39:44">
      <c r="AM664" s="555">
        <v>45259</v>
      </c>
      <c r="AN664" s="556">
        <v>444.68</v>
      </c>
      <c r="AO664" s="556">
        <v>898624</v>
      </c>
      <c r="AP664" s="556">
        <v>248.09871999999999</v>
      </c>
      <c r="AQ664" s="556">
        <v>110324.5388096</v>
      </c>
      <c r="AR664" s="556">
        <v>1.6655</v>
      </c>
    </row>
    <row r="665" spans="39:44">
      <c r="AM665" s="555">
        <v>45258</v>
      </c>
      <c r="AN665" s="556">
        <v>444.68</v>
      </c>
      <c r="AO665" s="556">
        <v>898624</v>
      </c>
      <c r="AP665" s="556">
        <v>248.09871999999999</v>
      </c>
      <c r="AQ665" s="556">
        <v>110324.5388096</v>
      </c>
      <c r="AR665" s="556">
        <v>1.6655</v>
      </c>
    </row>
    <row r="666" spans="39:44">
      <c r="AM666" s="555">
        <v>45257</v>
      </c>
      <c r="AN666" s="556">
        <v>444.68</v>
      </c>
      <c r="AO666" s="556">
        <v>898624</v>
      </c>
      <c r="AP666" s="556">
        <v>248.09871999999999</v>
      </c>
      <c r="AQ666" s="556">
        <v>110324.5388096</v>
      </c>
      <c r="AR666" s="556">
        <v>1.6655</v>
      </c>
    </row>
    <row r="667" spans="39:44">
      <c r="AM667" s="555">
        <v>45256</v>
      </c>
      <c r="AN667" s="556">
        <v>445.59</v>
      </c>
      <c r="AO667" s="556">
        <v>912979</v>
      </c>
      <c r="AP667" s="556">
        <v>248.09871999999999</v>
      </c>
      <c r="AQ667" s="556">
        <v>110550.30864479998</v>
      </c>
      <c r="AR667" s="556">
        <v>1.669</v>
      </c>
    </row>
    <row r="668" spans="39:44">
      <c r="AM668" s="555">
        <v>45255</v>
      </c>
      <c r="AN668" s="556">
        <v>445.14</v>
      </c>
      <c r="AO668" s="556">
        <v>1098462</v>
      </c>
      <c r="AP668" s="556">
        <v>248.09871999999999</v>
      </c>
      <c r="AQ668" s="556">
        <v>110438.6642208</v>
      </c>
      <c r="AR668" s="556">
        <v>1.6673</v>
      </c>
    </row>
    <row r="669" spans="39:44">
      <c r="AM669" s="555">
        <v>45254</v>
      </c>
      <c r="AN669" s="556">
        <v>444.22</v>
      </c>
      <c r="AO669" s="556">
        <v>1336811</v>
      </c>
      <c r="AP669" s="556">
        <v>248.09871999999999</v>
      </c>
      <c r="AQ669" s="556">
        <v>110210.41339840001</v>
      </c>
      <c r="AR669" s="556">
        <v>1.6637999999999999</v>
      </c>
    </row>
    <row r="670" spans="39:44">
      <c r="AM670" s="555">
        <v>45253</v>
      </c>
      <c r="AN670" s="556">
        <v>445.03</v>
      </c>
      <c r="AO670" s="556">
        <v>1003947</v>
      </c>
      <c r="AP670" s="556">
        <v>248.09871999999999</v>
      </c>
      <c r="AQ670" s="556">
        <v>110411.37336159998</v>
      </c>
      <c r="AR670" s="556">
        <v>1.6669</v>
      </c>
    </row>
    <row r="671" spans="39:44">
      <c r="AM671" s="555">
        <v>45252</v>
      </c>
      <c r="AN671" s="556">
        <v>444.87</v>
      </c>
      <c r="AO671" s="556">
        <v>1525619</v>
      </c>
      <c r="AP671" s="556">
        <v>248.09871999999999</v>
      </c>
      <c r="AQ671" s="556">
        <v>110371.6775664</v>
      </c>
      <c r="AR671" s="556">
        <v>1.6662999999999999</v>
      </c>
    </row>
    <row r="672" spans="39:44">
      <c r="AM672" s="555">
        <v>45251</v>
      </c>
      <c r="AN672" s="556">
        <v>444.87</v>
      </c>
      <c r="AO672" s="556">
        <v>1525619</v>
      </c>
      <c r="AP672" s="556">
        <v>248.09871999999999</v>
      </c>
      <c r="AQ672" s="556">
        <v>110371.6775664</v>
      </c>
      <c r="AR672" s="556">
        <v>1.6662999999999999</v>
      </c>
    </row>
    <row r="673" spans="39:44">
      <c r="AM673" s="555">
        <v>45250</v>
      </c>
      <c r="AN673" s="556">
        <v>444.87</v>
      </c>
      <c r="AO673" s="556">
        <v>1525619</v>
      </c>
      <c r="AP673" s="556">
        <v>248.09871999999999</v>
      </c>
      <c r="AQ673" s="556">
        <v>110371.6775664</v>
      </c>
      <c r="AR673" s="556">
        <v>1.6662999999999999</v>
      </c>
    </row>
    <row r="674" spans="39:44">
      <c r="AM674" s="555">
        <v>45249</v>
      </c>
      <c r="AN674" s="556">
        <v>442.46</v>
      </c>
      <c r="AO674" s="556">
        <v>1775623</v>
      </c>
      <c r="AP674" s="556">
        <v>248.09871999999999</v>
      </c>
      <c r="AQ674" s="556">
        <v>109773.75965119999</v>
      </c>
      <c r="AR674" s="556">
        <v>1.6572</v>
      </c>
    </row>
    <row r="675" spans="39:44">
      <c r="AM675" s="555">
        <v>45248</v>
      </c>
      <c r="AN675" s="556">
        <v>444.66</v>
      </c>
      <c r="AO675" s="556">
        <v>1386408</v>
      </c>
      <c r="AP675" s="556">
        <v>248.09871999999999</v>
      </c>
      <c r="AQ675" s="556">
        <v>110319.5768352</v>
      </c>
      <c r="AR675" s="556">
        <v>1.6655</v>
      </c>
    </row>
    <row r="676" spans="39:44">
      <c r="AM676" s="555">
        <v>45247</v>
      </c>
      <c r="AN676" s="556">
        <v>450.15</v>
      </c>
      <c r="AO676" s="556">
        <v>1220143</v>
      </c>
      <c r="AP676" s="556">
        <v>248.09871999999999</v>
      </c>
      <c r="AQ676" s="556">
        <v>111681.63880799999</v>
      </c>
      <c r="AR676" s="556">
        <v>1.6859999999999999</v>
      </c>
    </row>
    <row r="677" spans="39:44">
      <c r="AM677" s="555">
        <v>45246</v>
      </c>
      <c r="AN677" s="556">
        <v>451.16</v>
      </c>
      <c r="AO677" s="556">
        <v>1440995</v>
      </c>
      <c r="AP677" s="556">
        <v>248.09871999999999</v>
      </c>
      <c r="AQ677" s="556">
        <v>111932.2185152</v>
      </c>
      <c r="AR677" s="556">
        <v>1.6898</v>
      </c>
    </row>
    <row r="678" spans="39:44">
      <c r="AM678" s="555">
        <v>45245</v>
      </c>
      <c r="AN678" s="556">
        <v>453.34</v>
      </c>
      <c r="AO678" s="556">
        <v>1365625</v>
      </c>
      <c r="AP678" s="556">
        <v>248.09871999999999</v>
      </c>
      <c r="AQ678" s="556">
        <v>112473.07372479999</v>
      </c>
      <c r="AR678" s="556">
        <v>1.698</v>
      </c>
    </row>
    <row r="679" spans="39:44">
      <c r="AM679" s="555">
        <v>45244</v>
      </c>
      <c r="AN679" s="556">
        <v>453.34</v>
      </c>
      <c r="AO679" s="556">
        <v>1365625</v>
      </c>
      <c r="AP679" s="556">
        <v>248.09871999999999</v>
      </c>
      <c r="AQ679" s="556">
        <v>112473.07372479999</v>
      </c>
      <c r="AR679" s="556">
        <v>1.698</v>
      </c>
    </row>
    <row r="680" spans="39:44">
      <c r="AM680" s="555">
        <v>45243</v>
      </c>
      <c r="AN680" s="556">
        <v>453.34</v>
      </c>
      <c r="AO680" s="556">
        <v>1365625</v>
      </c>
      <c r="AP680" s="556">
        <v>248.09871999999999</v>
      </c>
      <c r="AQ680" s="556">
        <v>112473.07372479999</v>
      </c>
      <c r="AR680" s="556">
        <v>1.698</v>
      </c>
    </row>
    <row r="681" spans="39:44">
      <c r="AM681" s="555">
        <v>45242</v>
      </c>
      <c r="AN681" s="556">
        <v>458.04</v>
      </c>
      <c r="AO681" s="556">
        <v>1242239</v>
      </c>
      <c r="AP681" s="556">
        <v>248.09871999999999</v>
      </c>
      <c r="AQ681" s="556">
        <v>113639.1377088</v>
      </c>
      <c r="AR681" s="556">
        <v>1.7156</v>
      </c>
    </row>
    <row r="682" spans="39:44">
      <c r="AM682" s="555">
        <v>45241</v>
      </c>
      <c r="AN682" s="556">
        <v>452.38</v>
      </c>
      <c r="AO682" s="556">
        <v>1267032</v>
      </c>
      <c r="AP682" s="556">
        <v>248.09871999999999</v>
      </c>
      <c r="AQ682" s="556">
        <v>112234.89895359999</v>
      </c>
      <c r="AR682" s="556">
        <v>1.6943999999999999</v>
      </c>
    </row>
    <row r="683" spans="39:44">
      <c r="AM683" s="555">
        <v>45240</v>
      </c>
      <c r="AN683" s="556">
        <v>454.64</v>
      </c>
      <c r="AO683" s="556">
        <v>1418804</v>
      </c>
      <c r="AP683" s="556">
        <v>248.09871999999999</v>
      </c>
      <c r="AQ683" s="556">
        <v>112795.6020608</v>
      </c>
      <c r="AR683" s="556">
        <v>1.7028000000000001</v>
      </c>
    </row>
    <row r="684" spans="39:44">
      <c r="AM684" s="555">
        <v>45239</v>
      </c>
      <c r="AN684" s="556">
        <v>445.84</v>
      </c>
      <c r="AO684" s="556">
        <v>948802</v>
      </c>
      <c r="AP684" s="556">
        <v>248.09871999999999</v>
      </c>
      <c r="AQ684" s="556">
        <v>110612.33332479998</v>
      </c>
      <c r="AR684" s="556">
        <v>1.6698999999999999</v>
      </c>
    </row>
    <row r="685" spans="39:44">
      <c r="AM685" s="555">
        <v>45238</v>
      </c>
      <c r="AN685" s="556">
        <v>443.39</v>
      </c>
      <c r="AO685" s="556">
        <v>1288649</v>
      </c>
      <c r="AP685" s="556">
        <v>248.09871999999999</v>
      </c>
      <c r="AQ685" s="556">
        <v>110004.4914608</v>
      </c>
      <c r="AR685" s="556">
        <v>1.6607000000000001</v>
      </c>
    </row>
    <row r="686" spans="39:44">
      <c r="AM686" s="555">
        <v>45237</v>
      </c>
      <c r="AN686" s="556">
        <v>443.39</v>
      </c>
      <c r="AO686" s="556">
        <v>1288649</v>
      </c>
      <c r="AP686" s="556">
        <v>248.09871999999999</v>
      </c>
      <c r="AQ686" s="556">
        <v>110004.4914608</v>
      </c>
      <c r="AR686" s="556">
        <v>1.6607000000000001</v>
      </c>
    </row>
    <row r="687" spans="39:44">
      <c r="AM687" s="555">
        <v>45236</v>
      </c>
      <c r="AN687" s="556">
        <v>443.39</v>
      </c>
      <c r="AO687" s="556">
        <v>1288649</v>
      </c>
      <c r="AP687" s="556">
        <v>248.09871999999999</v>
      </c>
      <c r="AQ687" s="556">
        <v>110004.4914608</v>
      </c>
      <c r="AR687" s="556">
        <v>1.6607000000000001</v>
      </c>
    </row>
    <row r="688" spans="39:44">
      <c r="AM688" s="555">
        <v>45235</v>
      </c>
      <c r="AN688" s="556">
        <v>445.97</v>
      </c>
      <c r="AO688" s="556">
        <v>1432131</v>
      </c>
      <c r="AP688" s="556">
        <v>248.09871999999999</v>
      </c>
      <c r="AQ688" s="556">
        <v>110644.58615839999</v>
      </c>
      <c r="AR688" s="556">
        <v>1.6704000000000001</v>
      </c>
    </row>
    <row r="689" spans="39:44">
      <c r="AM689" s="555">
        <v>45234</v>
      </c>
      <c r="AN689" s="556">
        <v>447.69</v>
      </c>
      <c r="AO689" s="556">
        <v>1228868</v>
      </c>
      <c r="AP689" s="556">
        <v>248.09871999999999</v>
      </c>
      <c r="AQ689" s="556">
        <v>111071.3159568</v>
      </c>
      <c r="AR689" s="556">
        <v>1.6768000000000001</v>
      </c>
    </row>
    <row r="690" spans="39:44">
      <c r="AM690" s="555">
        <v>45233</v>
      </c>
      <c r="AN690" s="556">
        <v>440.9</v>
      </c>
      <c r="AO690" s="556">
        <v>1367136</v>
      </c>
      <c r="AP690" s="556">
        <v>248.09871999999999</v>
      </c>
      <c r="AQ690" s="556">
        <v>109386.72564799999</v>
      </c>
      <c r="AR690" s="556">
        <v>1.6514</v>
      </c>
    </row>
    <row r="691" spans="39:44">
      <c r="AM691" s="555">
        <v>45232</v>
      </c>
      <c r="AN691" s="556">
        <v>446.16</v>
      </c>
      <c r="AO691" s="556">
        <v>1502365</v>
      </c>
      <c r="AP691" s="556">
        <v>248.09871999999999</v>
      </c>
      <c r="AQ691" s="556">
        <v>110691.7249152</v>
      </c>
      <c r="AR691" s="556">
        <v>1.6711</v>
      </c>
    </row>
    <row r="692" spans="39:44">
      <c r="AM692" s="555">
        <v>45231</v>
      </c>
      <c r="AN692" s="556">
        <v>444.17</v>
      </c>
      <c r="AO692" s="556">
        <v>1715061</v>
      </c>
      <c r="AP692" s="556">
        <v>248.09871999999999</v>
      </c>
      <c r="AQ692" s="556">
        <v>110198.0084624</v>
      </c>
      <c r="AR692" s="556">
        <v>1.6636</v>
      </c>
    </row>
    <row r="693" spans="39:44">
      <c r="AM693" s="555">
        <v>45230</v>
      </c>
      <c r="AN693" s="556">
        <v>444.17</v>
      </c>
      <c r="AO693" s="556">
        <v>1715061</v>
      </c>
      <c r="AP693" s="556">
        <v>248.09871999999999</v>
      </c>
      <c r="AQ693" s="556">
        <v>110198.0084624</v>
      </c>
      <c r="AR693" s="556">
        <v>1.6636</v>
      </c>
    </row>
    <row r="694" spans="39:44">
      <c r="AM694" s="555">
        <v>45229</v>
      </c>
      <c r="AN694" s="556">
        <v>444.17</v>
      </c>
      <c r="AO694" s="556">
        <v>1715061</v>
      </c>
      <c r="AP694" s="556">
        <v>248.09871999999999</v>
      </c>
      <c r="AQ694" s="556">
        <v>110198.0084624</v>
      </c>
      <c r="AR694" s="556">
        <v>1.6636</v>
      </c>
    </row>
    <row r="695" spans="39:44">
      <c r="AM695" s="555">
        <v>45228</v>
      </c>
      <c r="AN695" s="556">
        <v>449.18</v>
      </c>
      <c r="AO695" s="556">
        <v>2012401</v>
      </c>
      <c r="AP695" s="556">
        <v>248.09871999999999</v>
      </c>
      <c r="AQ695" s="556">
        <v>111440.98304959999</v>
      </c>
      <c r="AR695" s="556">
        <v>1.6823999999999999</v>
      </c>
    </row>
    <row r="696" spans="39:44">
      <c r="AM696" s="555">
        <v>45227</v>
      </c>
      <c r="AN696" s="556">
        <v>446.07</v>
      </c>
      <c r="AO696" s="556">
        <v>2024122</v>
      </c>
      <c r="AP696" s="556">
        <v>248.09871999999999</v>
      </c>
      <c r="AQ696" s="556">
        <v>110669.39603039999</v>
      </c>
      <c r="AR696" s="556">
        <v>1.6708000000000001</v>
      </c>
    </row>
    <row r="697" spans="39:44">
      <c r="AM697" s="555">
        <v>45226</v>
      </c>
      <c r="AN697" s="556">
        <v>441.13</v>
      </c>
      <c r="AO697" s="556">
        <v>3103947</v>
      </c>
      <c r="AP697" s="556">
        <v>248.09871999999999</v>
      </c>
      <c r="AQ697" s="556">
        <v>109443.78835359999</v>
      </c>
      <c r="AR697" s="556">
        <v>1.6521999999999999</v>
      </c>
    </row>
    <row r="698" spans="39:44">
      <c r="AM698" s="555">
        <v>45225</v>
      </c>
      <c r="AN698" s="556">
        <v>440.41</v>
      </c>
      <c r="AO698" s="556">
        <v>1931317</v>
      </c>
      <c r="AP698" s="556">
        <v>251.83145999999999</v>
      </c>
      <c r="AQ698" s="556">
        <v>110909.0932986</v>
      </c>
      <c r="AR698" s="556">
        <v>1.6496</v>
      </c>
    </row>
    <row r="699" spans="39:44">
      <c r="AM699" s="555">
        <v>45224</v>
      </c>
      <c r="AN699" s="556">
        <v>441.06</v>
      </c>
      <c r="AO699" s="556">
        <v>1520907</v>
      </c>
      <c r="AP699" s="556">
        <v>251.83145999999999</v>
      </c>
      <c r="AQ699" s="556">
        <v>111072.7837476</v>
      </c>
      <c r="AR699" s="556">
        <v>1.6519999999999999</v>
      </c>
    </row>
    <row r="700" spans="39:44">
      <c r="AM700" s="555">
        <v>45223</v>
      </c>
      <c r="AN700" s="556">
        <v>441.06</v>
      </c>
      <c r="AO700" s="556">
        <v>1520907</v>
      </c>
      <c r="AP700" s="556">
        <v>251.83145999999999</v>
      </c>
      <c r="AQ700" s="556">
        <v>111072.7837476</v>
      </c>
      <c r="AR700" s="556">
        <v>1.6519999999999999</v>
      </c>
    </row>
    <row r="701" spans="39:44">
      <c r="AM701" s="555">
        <v>45222</v>
      </c>
      <c r="AN701" s="556">
        <v>441.06</v>
      </c>
      <c r="AO701" s="556">
        <v>1520907</v>
      </c>
      <c r="AP701" s="556">
        <v>251.83145999999999</v>
      </c>
      <c r="AQ701" s="556">
        <v>111072.7837476</v>
      </c>
      <c r="AR701" s="556">
        <v>1.6519999999999999</v>
      </c>
    </row>
    <row r="702" spans="39:44">
      <c r="AM702" s="555">
        <v>45221</v>
      </c>
      <c r="AN702" s="556">
        <v>434.14</v>
      </c>
      <c r="AO702" s="556">
        <v>1122110</v>
      </c>
      <c r="AP702" s="556">
        <v>251.83145999999999</v>
      </c>
      <c r="AQ702" s="556">
        <v>109330.11004439999</v>
      </c>
      <c r="AR702" s="556">
        <v>1.6261000000000001</v>
      </c>
    </row>
    <row r="703" spans="39:44">
      <c r="AM703" s="555">
        <v>45220</v>
      </c>
      <c r="AN703" s="556">
        <v>436.65</v>
      </c>
      <c r="AO703" s="556">
        <v>1419534</v>
      </c>
      <c r="AP703" s="556">
        <v>251.83145999999999</v>
      </c>
      <c r="AQ703" s="556">
        <v>109962.20700899999</v>
      </c>
      <c r="AR703" s="556">
        <v>1.6355</v>
      </c>
    </row>
    <row r="704" spans="39:44">
      <c r="AM704" s="555">
        <v>45219</v>
      </c>
      <c r="AN704" s="556">
        <v>435.1</v>
      </c>
      <c r="AO704" s="556">
        <v>2626166</v>
      </c>
      <c r="AP704" s="556">
        <v>251.83145999999999</v>
      </c>
      <c r="AQ704" s="556">
        <v>109571.868246</v>
      </c>
      <c r="AR704" s="556">
        <v>1.6296999999999999</v>
      </c>
    </row>
    <row r="705" spans="39:44">
      <c r="AM705" s="555">
        <v>45218</v>
      </c>
      <c r="AN705" s="556">
        <v>436.53</v>
      </c>
      <c r="AO705" s="556">
        <v>5343747</v>
      </c>
      <c r="AP705" s="556">
        <v>251.83145999999999</v>
      </c>
      <c r="AQ705" s="556">
        <v>109931.98723379998</v>
      </c>
      <c r="AR705" s="556">
        <v>1.635</v>
      </c>
    </row>
    <row r="706" spans="39:44">
      <c r="AM706" s="555">
        <v>45217</v>
      </c>
      <c r="AN706" s="556">
        <v>400.73</v>
      </c>
      <c r="AO706" s="556">
        <v>1135594</v>
      </c>
      <c r="AP706" s="556">
        <v>251.83145999999999</v>
      </c>
      <c r="AQ706" s="556">
        <v>100916.4209658</v>
      </c>
      <c r="AR706" s="556">
        <v>1.5008999999999999</v>
      </c>
    </row>
    <row r="707" spans="39:44">
      <c r="AM707" s="555">
        <v>45216</v>
      </c>
      <c r="AN707" s="556">
        <v>400.73</v>
      </c>
      <c r="AO707" s="556">
        <v>1135594</v>
      </c>
      <c r="AP707" s="556">
        <v>251.83145999999999</v>
      </c>
      <c r="AQ707" s="556">
        <v>100916.4209658</v>
      </c>
      <c r="AR707" s="556">
        <v>1.5008999999999999</v>
      </c>
    </row>
    <row r="708" spans="39:44">
      <c r="AM708" s="555">
        <v>45215</v>
      </c>
      <c r="AN708" s="556">
        <v>400.73</v>
      </c>
      <c r="AO708" s="556">
        <v>1135594</v>
      </c>
      <c r="AP708" s="556">
        <v>251.83145999999999</v>
      </c>
      <c r="AQ708" s="556">
        <v>100916.4209658</v>
      </c>
      <c r="AR708" s="556">
        <v>1.5008999999999999</v>
      </c>
    </row>
    <row r="709" spans="39:44">
      <c r="AM709" s="555">
        <v>45214</v>
      </c>
      <c r="AN709" s="556">
        <v>397.35</v>
      </c>
      <c r="AO709" s="556">
        <v>1162794</v>
      </c>
      <c r="AP709" s="556">
        <v>251.83145999999999</v>
      </c>
      <c r="AQ709" s="556">
        <v>100065.230631</v>
      </c>
      <c r="AR709" s="556">
        <v>1.4883</v>
      </c>
    </row>
    <row r="710" spans="39:44">
      <c r="AM710" s="555">
        <v>45213</v>
      </c>
      <c r="AN710" s="556">
        <v>401.33</v>
      </c>
      <c r="AO710" s="556">
        <v>1243459</v>
      </c>
      <c r="AP710" s="556">
        <v>251.83145999999999</v>
      </c>
      <c r="AQ710" s="556">
        <v>101067.51984179999</v>
      </c>
      <c r="AR710" s="556">
        <v>1.5032000000000001</v>
      </c>
    </row>
    <row r="711" spans="39:44">
      <c r="AM711" s="555">
        <v>45212</v>
      </c>
      <c r="AN711" s="556">
        <v>403.83</v>
      </c>
      <c r="AO711" s="556">
        <v>899181</v>
      </c>
      <c r="AP711" s="556">
        <v>251.83145999999999</v>
      </c>
      <c r="AQ711" s="556">
        <v>101697.09849179999</v>
      </c>
      <c r="AR711" s="556">
        <v>1.5125</v>
      </c>
    </row>
    <row r="712" spans="39:44">
      <c r="AM712" s="555">
        <v>45211</v>
      </c>
      <c r="AN712" s="556">
        <v>407.82</v>
      </c>
      <c r="AO712" s="556">
        <v>733257</v>
      </c>
      <c r="AP712" s="556">
        <v>251.83145999999999</v>
      </c>
      <c r="AQ712" s="556">
        <v>102701.90601719999</v>
      </c>
      <c r="AR712" s="556">
        <v>1.5275000000000001</v>
      </c>
    </row>
    <row r="713" spans="39:44">
      <c r="AM713" s="555">
        <v>45210</v>
      </c>
      <c r="AN713" s="556">
        <v>408.96</v>
      </c>
      <c r="AO713" s="556">
        <v>764063</v>
      </c>
      <c r="AP713" s="556">
        <v>251.83145999999999</v>
      </c>
      <c r="AQ713" s="556">
        <v>102988.99388159999</v>
      </c>
      <c r="AR713" s="556">
        <v>1.5318000000000001</v>
      </c>
    </row>
    <row r="714" spans="39:44">
      <c r="AM714" s="555">
        <v>45209</v>
      </c>
      <c r="AN714" s="556">
        <v>408.96</v>
      </c>
      <c r="AO714" s="556">
        <v>764063</v>
      </c>
      <c r="AP714" s="556">
        <v>251.83145999999999</v>
      </c>
      <c r="AQ714" s="556">
        <v>102988.99388159999</v>
      </c>
      <c r="AR714" s="556">
        <v>1.5318000000000001</v>
      </c>
    </row>
    <row r="715" spans="39:44">
      <c r="AM715" s="555">
        <v>45208</v>
      </c>
      <c r="AN715" s="556">
        <v>408.96</v>
      </c>
      <c r="AO715" s="556">
        <v>764063</v>
      </c>
      <c r="AP715" s="556">
        <v>251.83145999999999</v>
      </c>
      <c r="AQ715" s="556">
        <v>102988.99388159999</v>
      </c>
      <c r="AR715" s="556">
        <v>1.5318000000000001</v>
      </c>
    </row>
    <row r="716" spans="39:44">
      <c r="AM716" s="555">
        <v>45207</v>
      </c>
      <c r="AN716" s="556">
        <v>410.96</v>
      </c>
      <c r="AO716" s="556">
        <v>819809</v>
      </c>
      <c r="AP716" s="556">
        <v>251.83145999999999</v>
      </c>
      <c r="AQ716" s="556">
        <v>103492.65680159999</v>
      </c>
      <c r="AR716" s="556">
        <v>1.5391999999999999</v>
      </c>
    </row>
    <row r="717" spans="39:44">
      <c r="AM717" s="555">
        <v>45206</v>
      </c>
      <c r="AN717" s="556">
        <v>408.72</v>
      </c>
      <c r="AO717" s="556">
        <v>1317558</v>
      </c>
      <c r="AP717" s="556">
        <v>251.83145999999999</v>
      </c>
      <c r="AQ717" s="556">
        <v>102928.55433120001</v>
      </c>
      <c r="AR717" s="556">
        <v>1.5308999999999999</v>
      </c>
    </row>
    <row r="718" spans="39:44">
      <c r="AM718" s="555">
        <v>45205</v>
      </c>
      <c r="AN718" s="556">
        <v>408.75</v>
      </c>
      <c r="AO718" s="556">
        <v>1107966</v>
      </c>
      <c r="AP718" s="556">
        <v>251.83145999999999</v>
      </c>
      <c r="AQ718" s="556">
        <v>102936.109275</v>
      </c>
      <c r="AR718" s="556">
        <v>1.5309999999999999</v>
      </c>
    </row>
    <row r="719" spans="39:44">
      <c r="AM719" s="555">
        <v>45204</v>
      </c>
      <c r="AN719" s="556">
        <v>412.9</v>
      </c>
      <c r="AO719" s="556">
        <v>748376</v>
      </c>
      <c r="AP719" s="556">
        <v>251.83145999999999</v>
      </c>
      <c r="AQ719" s="556">
        <v>103981.20983399999</v>
      </c>
      <c r="AR719" s="556">
        <v>1.5465</v>
      </c>
    </row>
    <row r="720" spans="39:44">
      <c r="AM720" s="555">
        <v>45203</v>
      </c>
      <c r="AN720" s="556">
        <v>413.65</v>
      </c>
      <c r="AO720" s="556">
        <v>1453371</v>
      </c>
      <c r="AP720" s="556">
        <v>251.83145999999999</v>
      </c>
      <c r="AQ720" s="556">
        <v>104170.08342899999</v>
      </c>
      <c r="AR720" s="556">
        <v>1.5784</v>
      </c>
    </row>
    <row r="721" spans="39:44">
      <c r="AM721" s="555">
        <v>45202</v>
      </c>
      <c r="AN721" s="556">
        <v>413.65</v>
      </c>
      <c r="AO721" s="556">
        <v>1453371</v>
      </c>
      <c r="AP721" s="556">
        <v>251.83145999999999</v>
      </c>
      <c r="AQ721" s="556">
        <v>104170.08342899999</v>
      </c>
      <c r="AR721" s="556">
        <v>1.5784</v>
      </c>
    </row>
    <row r="722" spans="39:44">
      <c r="AM722" s="555">
        <v>45201</v>
      </c>
      <c r="AN722" s="556">
        <v>413.65</v>
      </c>
      <c r="AO722" s="556">
        <v>1453371</v>
      </c>
      <c r="AP722" s="556">
        <v>251.83145999999999</v>
      </c>
      <c r="AQ722" s="556">
        <v>104170.08342899999</v>
      </c>
      <c r="AR722" s="556">
        <v>1.5784</v>
      </c>
    </row>
    <row r="723" spans="39:44">
      <c r="AM723" s="555">
        <v>45200</v>
      </c>
      <c r="AN723" s="556">
        <v>417.54</v>
      </c>
      <c r="AO723" s="556">
        <v>1669759</v>
      </c>
      <c r="AP723" s="556">
        <v>251.83145999999999</v>
      </c>
      <c r="AQ723" s="556">
        <v>105149.70780839999</v>
      </c>
      <c r="AR723" s="556">
        <v>1.5931999999999999</v>
      </c>
    </row>
    <row r="724" spans="39:44">
      <c r="AM724" s="555">
        <v>45199</v>
      </c>
      <c r="AN724" s="556">
        <v>426.95</v>
      </c>
      <c r="AO724" s="556">
        <v>1044263</v>
      </c>
      <c r="AP724" s="556">
        <v>251.83145999999999</v>
      </c>
      <c r="AQ724" s="556">
        <v>107519.44184699999</v>
      </c>
      <c r="AR724" s="556">
        <v>1.6291</v>
      </c>
    </row>
    <row r="725" spans="39:44">
      <c r="AM725" s="555">
        <v>45198</v>
      </c>
      <c r="AN725" s="556">
        <v>425.31</v>
      </c>
      <c r="AO725" s="556">
        <v>862437</v>
      </c>
      <c r="AP725" s="556">
        <v>251.83145999999999</v>
      </c>
      <c r="AQ725" s="556">
        <v>107106.4382526</v>
      </c>
      <c r="AR725" s="556">
        <v>1.6228</v>
      </c>
    </row>
    <row r="726" spans="39:44">
      <c r="AM726" s="555">
        <v>45197</v>
      </c>
      <c r="AN726" s="556">
        <v>429.86</v>
      </c>
      <c r="AO726" s="556">
        <v>951207</v>
      </c>
      <c r="AP726" s="556">
        <v>251.83145999999999</v>
      </c>
      <c r="AQ726" s="556">
        <v>108252.27139559999</v>
      </c>
      <c r="AR726" s="556">
        <v>1.6402000000000001</v>
      </c>
    </row>
    <row r="727" spans="39:44">
      <c r="AM727" s="555">
        <v>45196</v>
      </c>
      <c r="AN727" s="556">
        <v>424.05</v>
      </c>
      <c r="AO727" s="556">
        <v>1681583</v>
      </c>
      <c r="AP727" s="556">
        <v>251.83145999999999</v>
      </c>
      <c r="AQ727" s="556">
        <v>106789.130613</v>
      </c>
      <c r="AR727" s="556">
        <v>1.6180000000000001</v>
      </c>
    </row>
    <row r="728" spans="39:44">
      <c r="AM728" s="555">
        <v>45195</v>
      </c>
      <c r="AN728" s="556">
        <v>424.05</v>
      </c>
      <c r="AO728" s="556">
        <v>1681583</v>
      </c>
      <c r="AP728" s="556">
        <v>251.83145999999999</v>
      </c>
      <c r="AQ728" s="556">
        <v>106789.130613</v>
      </c>
      <c r="AR728" s="556">
        <v>1.6180000000000001</v>
      </c>
    </row>
    <row r="729" spans="39:44">
      <c r="AM729" s="555">
        <v>45194</v>
      </c>
      <c r="AN729" s="556">
        <v>424.05</v>
      </c>
      <c r="AO729" s="556">
        <v>1681583</v>
      </c>
      <c r="AP729" s="556">
        <v>251.83145999999999</v>
      </c>
      <c r="AQ729" s="556">
        <v>106789.130613</v>
      </c>
      <c r="AR729" s="556">
        <v>1.6180000000000001</v>
      </c>
    </row>
    <row r="730" spans="39:44">
      <c r="AM730" s="555">
        <v>45193</v>
      </c>
      <c r="AN730" s="556">
        <v>425.89</v>
      </c>
      <c r="AO730" s="556">
        <v>992409</v>
      </c>
      <c r="AP730" s="556">
        <v>251.83145999999999</v>
      </c>
      <c r="AQ730" s="556">
        <v>107252.50049939999</v>
      </c>
      <c r="AR730" s="556">
        <v>1.6251</v>
      </c>
    </row>
    <row r="731" spans="39:44">
      <c r="AM731" s="555">
        <v>45192</v>
      </c>
      <c r="AN731" s="556">
        <v>420.99</v>
      </c>
      <c r="AO731" s="556">
        <v>971568</v>
      </c>
      <c r="AP731" s="556">
        <v>251.83145999999999</v>
      </c>
      <c r="AQ731" s="556">
        <v>106018.52634539999</v>
      </c>
      <c r="AR731" s="556">
        <v>1.6064000000000001</v>
      </c>
    </row>
    <row r="732" spans="39:44">
      <c r="AM732" s="555">
        <v>45191</v>
      </c>
      <c r="AN732" s="556">
        <v>417.83</v>
      </c>
      <c r="AO732" s="556">
        <v>1307739</v>
      </c>
      <c r="AP732" s="556">
        <v>251.83145999999999</v>
      </c>
      <c r="AQ732" s="556">
        <v>105222.73893179999</v>
      </c>
      <c r="AR732" s="556">
        <v>1.5943000000000001</v>
      </c>
    </row>
    <row r="733" spans="39:44">
      <c r="AM733" s="555">
        <v>45190</v>
      </c>
      <c r="AN733" s="556">
        <v>420.66</v>
      </c>
      <c r="AO733" s="556">
        <v>1618480</v>
      </c>
      <c r="AP733" s="556">
        <v>251.83145999999999</v>
      </c>
      <c r="AQ733" s="556">
        <v>105935.42196360001</v>
      </c>
      <c r="AR733" s="556">
        <v>1.6051</v>
      </c>
    </row>
    <row r="734" spans="39:44">
      <c r="AM734" s="555">
        <v>45189</v>
      </c>
      <c r="AN734" s="556">
        <v>423.09</v>
      </c>
      <c r="AO734" s="556">
        <v>1162522</v>
      </c>
      <c r="AP734" s="556">
        <v>251.83145999999999</v>
      </c>
      <c r="AQ734" s="556">
        <v>106547.37241139999</v>
      </c>
      <c r="AR734" s="556">
        <v>1.6144000000000001</v>
      </c>
    </row>
    <row r="735" spans="39:44">
      <c r="AM735" s="555">
        <v>45188</v>
      </c>
      <c r="AN735" s="556">
        <v>423.09</v>
      </c>
      <c r="AO735" s="556">
        <v>1162522</v>
      </c>
      <c r="AP735" s="556">
        <v>251.83145999999999</v>
      </c>
      <c r="AQ735" s="556">
        <v>106547.37241139999</v>
      </c>
      <c r="AR735" s="556">
        <v>1.6144000000000001</v>
      </c>
    </row>
    <row r="736" spans="39:44">
      <c r="AM736" s="555">
        <v>45187</v>
      </c>
      <c r="AN736" s="556">
        <v>423.09</v>
      </c>
      <c r="AO736" s="556">
        <v>1162522</v>
      </c>
      <c r="AP736" s="556">
        <v>251.83145999999999</v>
      </c>
      <c r="AQ736" s="556">
        <v>106547.37241139999</v>
      </c>
      <c r="AR736" s="556">
        <v>1.6144000000000001</v>
      </c>
    </row>
    <row r="737" spans="39:44">
      <c r="AM737" s="555">
        <v>45186</v>
      </c>
      <c r="AN737" s="556">
        <v>425.94</v>
      </c>
      <c r="AO737" s="556">
        <v>1195778</v>
      </c>
      <c r="AP737" s="556">
        <v>251.83145999999999</v>
      </c>
      <c r="AQ737" s="556">
        <v>107265.0920724</v>
      </c>
      <c r="AR737" s="556">
        <v>1.6252</v>
      </c>
    </row>
    <row r="738" spans="39:44">
      <c r="AM738" s="555">
        <v>45185</v>
      </c>
      <c r="AN738" s="556">
        <v>423.94</v>
      </c>
      <c r="AO738" s="556">
        <v>2547965</v>
      </c>
      <c r="AP738" s="556">
        <v>251.83145999999999</v>
      </c>
      <c r="AQ738" s="556">
        <v>106761.4291524</v>
      </c>
      <c r="AR738" s="556">
        <v>1.6175999999999999</v>
      </c>
    </row>
    <row r="739" spans="39:44">
      <c r="AM739" s="555">
        <v>45184</v>
      </c>
      <c r="AN739" s="556">
        <v>445.19</v>
      </c>
      <c r="AO739" s="556">
        <v>854110</v>
      </c>
      <c r="AP739" s="556">
        <v>251.83145999999999</v>
      </c>
      <c r="AQ739" s="556">
        <v>112112.8476774</v>
      </c>
      <c r="AR739" s="556">
        <v>1.6987000000000001</v>
      </c>
    </row>
    <row r="740" spans="39:44">
      <c r="AM740" s="555">
        <v>45183</v>
      </c>
      <c r="AN740" s="556">
        <v>448.18</v>
      </c>
      <c r="AO740" s="556">
        <v>668746</v>
      </c>
      <c r="AP740" s="556">
        <v>251.83145999999999</v>
      </c>
      <c r="AQ740" s="556">
        <v>112865.8237428</v>
      </c>
      <c r="AR740" s="556">
        <v>1.7101</v>
      </c>
    </row>
    <row r="741" spans="39:44">
      <c r="AM741" s="555">
        <v>45182</v>
      </c>
      <c r="AN741" s="556">
        <v>448.18</v>
      </c>
      <c r="AO741" s="556">
        <v>668746</v>
      </c>
      <c r="AP741" s="556">
        <v>251.83145999999999</v>
      </c>
      <c r="AQ741" s="556">
        <v>112865.8237428</v>
      </c>
      <c r="AR741" s="556">
        <v>1.7101</v>
      </c>
    </row>
    <row r="742" spans="39:44">
      <c r="AM742" s="555">
        <v>45181</v>
      </c>
      <c r="AN742" s="556">
        <v>448.18</v>
      </c>
      <c r="AO742" s="556">
        <v>668746</v>
      </c>
      <c r="AP742" s="556">
        <v>251.83145999999999</v>
      </c>
      <c r="AQ742" s="556">
        <v>112865.8237428</v>
      </c>
      <c r="AR742" s="556">
        <v>1.7101</v>
      </c>
    </row>
    <row r="743" spans="39:44">
      <c r="AM743" s="555">
        <v>45180</v>
      </c>
      <c r="AN743" s="556">
        <v>448.18</v>
      </c>
      <c r="AO743" s="556">
        <v>668746</v>
      </c>
      <c r="AP743" s="556">
        <v>251.83145999999999</v>
      </c>
      <c r="AQ743" s="556">
        <v>112865.8237428</v>
      </c>
      <c r="AR743" s="556">
        <v>1.7101</v>
      </c>
    </row>
    <row r="744" spans="39:44">
      <c r="AM744" s="555">
        <v>45179</v>
      </c>
      <c r="AN744" s="556">
        <v>448.35</v>
      </c>
      <c r="AO744" s="556">
        <v>826499</v>
      </c>
      <c r="AP744" s="556">
        <v>251.83145999999999</v>
      </c>
      <c r="AQ744" s="556">
        <v>112908.635091</v>
      </c>
      <c r="AR744" s="556">
        <v>1.7108000000000001</v>
      </c>
    </row>
    <row r="745" spans="39:44">
      <c r="AM745" s="555">
        <v>45178</v>
      </c>
      <c r="AN745" s="556">
        <v>452.41</v>
      </c>
      <c r="AO745" s="556">
        <v>876092</v>
      </c>
      <c r="AP745" s="556">
        <v>251.83145999999999</v>
      </c>
      <c r="AQ745" s="556">
        <v>113931.0708186</v>
      </c>
      <c r="AR745" s="556">
        <v>1.7262</v>
      </c>
    </row>
    <row r="746" spans="39:44">
      <c r="AM746" s="555">
        <v>45177</v>
      </c>
      <c r="AN746" s="556">
        <v>448.4</v>
      </c>
      <c r="AO746" s="556">
        <v>1053749</v>
      </c>
      <c r="AP746" s="556">
        <v>251.83145999999999</v>
      </c>
      <c r="AQ746" s="556">
        <v>112921.22666399999</v>
      </c>
      <c r="AR746" s="556">
        <v>1.7109000000000001</v>
      </c>
    </row>
    <row r="747" spans="39:44">
      <c r="AM747" s="555">
        <v>45176</v>
      </c>
      <c r="AN747" s="556">
        <v>452.32</v>
      </c>
      <c r="AO747" s="556">
        <v>641013</v>
      </c>
      <c r="AP747" s="556">
        <v>251.83145999999999</v>
      </c>
      <c r="AQ747" s="556">
        <v>113908.40598719999</v>
      </c>
      <c r="AR747" s="556">
        <v>1.7259</v>
      </c>
    </row>
    <row r="748" spans="39:44">
      <c r="AM748" s="555">
        <v>45175</v>
      </c>
      <c r="AN748" s="556">
        <v>451.09</v>
      </c>
      <c r="AO748" s="556">
        <v>785305</v>
      </c>
      <c r="AP748" s="556">
        <v>251.83145999999999</v>
      </c>
      <c r="AQ748" s="556">
        <v>113598.65329139998</v>
      </c>
      <c r="AR748" s="556">
        <v>1.7212000000000001</v>
      </c>
    </row>
    <row r="749" spans="39:44">
      <c r="AM749" s="555">
        <v>45174</v>
      </c>
      <c r="AN749" s="556">
        <v>451.09</v>
      </c>
      <c r="AO749" s="556">
        <v>785305</v>
      </c>
      <c r="AP749" s="556">
        <v>251.83145999999999</v>
      </c>
      <c r="AQ749" s="556">
        <v>113598.65329139998</v>
      </c>
      <c r="AR749" s="556">
        <v>1.7212000000000001</v>
      </c>
    </row>
    <row r="750" spans="39:44">
      <c r="AM750" s="555">
        <v>45173</v>
      </c>
      <c r="AN750" s="556">
        <v>451.09</v>
      </c>
      <c r="AO750" s="556">
        <v>785305</v>
      </c>
      <c r="AP750" s="556">
        <v>251.83145999999999</v>
      </c>
      <c r="AQ750" s="556">
        <v>113598.65329139998</v>
      </c>
      <c r="AR750" s="556">
        <v>1.7212000000000001</v>
      </c>
    </row>
    <row r="751" spans="39:44">
      <c r="AM751" s="555">
        <v>45172</v>
      </c>
      <c r="AN751" s="556">
        <v>452.55</v>
      </c>
      <c r="AO751" s="556">
        <v>697790</v>
      </c>
      <c r="AP751" s="556">
        <v>251.83145999999999</v>
      </c>
      <c r="AQ751" s="556">
        <v>113966.327223</v>
      </c>
      <c r="AR751" s="556">
        <v>1.7267999999999999</v>
      </c>
    </row>
    <row r="752" spans="39:44">
      <c r="AM752" s="555">
        <v>45171</v>
      </c>
      <c r="AN752" s="556">
        <v>454.57</v>
      </c>
      <c r="AO752" s="556">
        <v>1043311</v>
      </c>
      <c r="AP752" s="556">
        <v>251.83145999999999</v>
      </c>
      <c r="AQ752" s="556">
        <v>114475.0267722</v>
      </c>
      <c r="AR752" s="556">
        <v>1.7344999999999999</v>
      </c>
    </row>
    <row r="753" spans="39:44">
      <c r="AM753" s="555">
        <v>45170</v>
      </c>
      <c r="AN753" s="556">
        <v>452.94</v>
      </c>
      <c r="AO753" s="556">
        <v>671893</v>
      </c>
      <c r="AP753" s="556">
        <v>251.83145999999999</v>
      </c>
      <c r="AQ753" s="556">
        <v>114064.54149239999</v>
      </c>
      <c r="AR753" s="556">
        <v>1.7282999999999999</v>
      </c>
    </row>
    <row r="754" spans="39:44">
      <c r="AM754" s="555">
        <v>45169</v>
      </c>
      <c r="AN754" s="556">
        <v>451.49</v>
      </c>
      <c r="AO754" s="556">
        <v>573502</v>
      </c>
      <c r="AP754" s="556">
        <v>251.83145999999999</v>
      </c>
      <c r="AQ754" s="556">
        <v>113699.3858754</v>
      </c>
      <c r="AR754" s="556">
        <v>1.7226999999999999</v>
      </c>
    </row>
    <row r="755" spans="39:44">
      <c r="AM755" s="555">
        <v>45168</v>
      </c>
      <c r="AN755" s="556">
        <v>450.06</v>
      </c>
      <c r="AO755" s="556">
        <v>1075714</v>
      </c>
      <c r="AP755" s="556">
        <v>251.83145999999999</v>
      </c>
      <c r="AQ755" s="556">
        <v>113339.2668876</v>
      </c>
      <c r="AR755" s="556">
        <v>1.7173</v>
      </c>
    </row>
    <row r="756" spans="39:44">
      <c r="AM756" s="555">
        <v>45167</v>
      </c>
      <c r="AN756" s="556">
        <v>450.06</v>
      </c>
      <c r="AO756" s="556">
        <v>1075714</v>
      </c>
      <c r="AP756" s="556">
        <v>251.83145999999999</v>
      </c>
      <c r="AQ756" s="556">
        <v>113339.2668876</v>
      </c>
      <c r="AR756" s="556">
        <v>1.7173</v>
      </c>
    </row>
    <row r="757" spans="39:44">
      <c r="AM757" s="555">
        <v>45166</v>
      </c>
      <c r="AN757" s="556">
        <v>450.06</v>
      </c>
      <c r="AO757" s="556">
        <v>1075714</v>
      </c>
      <c r="AP757" s="556">
        <v>251.83145999999999</v>
      </c>
      <c r="AQ757" s="556">
        <v>113339.2668876</v>
      </c>
      <c r="AR757" s="556">
        <v>1.7173</v>
      </c>
    </row>
    <row r="758" spans="39:44">
      <c r="AM758" s="555">
        <v>45165</v>
      </c>
      <c r="AN758" s="556">
        <v>446.68</v>
      </c>
      <c r="AO758" s="556">
        <v>635778</v>
      </c>
      <c r="AP758" s="556">
        <v>251.83145999999999</v>
      </c>
      <c r="AQ758" s="556">
        <v>112488.0765528</v>
      </c>
      <c r="AR758" s="556">
        <v>1.7043999999999999</v>
      </c>
    </row>
    <row r="759" spans="39:44">
      <c r="AM759" s="555">
        <v>45164</v>
      </c>
      <c r="AN759" s="556">
        <v>445.13</v>
      </c>
      <c r="AO759" s="556">
        <v>821965</v>
      </c>
      <c r="AP759" s="556">
        <v>251.83145999999999</v>
      </c>
      <c r="AQ759" s="556">
        <v>112097.7377898</v>
      </c>
      <c r="AR759" s="556">
        <v>1.6984999999999999</v>
      </c>
    </row>
    <row r="760" spans="39:44">
      <c r="AM760" s="555">
        <v>45163</v>
      </c>
      <c r="AN760" s="556">
        <v>443.58</v>
      </c>
      <c r="AO760" s="556">
        <v>725274</v>
      </c>
      <c r="AP760" s="556">
        <v>251.83145999999999</v>
      </c>
      <c r="AQ760" s="556">
        <v>111707.39902679999</v>
      </c>
      <c r="AR760" s="556">
        <v>1.6926000000000001</v>
      </c>
    </row>
    <row r="761" spans="39:44">
      <c r="AM761" s="555">
        <v>45162</v>
      </c>
      <c r="AN761" s="556">
        <v>450.08</v>
      </c>
      <c r="AO761" s="556">
        <v>752307</v>
      </c>
      <c r="AP761" s="556">
        <v>251.83145999999999</v>
      </c>
      <c r="AQ761" s="556">
        <v>113344.30351679999</v>
      </c>
      <c r="AR761" s="556">
        <v>1.7174</v>
      </c>
    </row>
    <row r="762" spans="39:44">
      <c r="AM762" s="555">
        <v>45161</v>
      </c>
      <c r="AN762" s="556">
        <v>454.05</v>
      </c>
      <c r="AO762" s="556">
        <v>690706</v>
      </c>
      <c r="AP762" s="556">
        <v>251.83145999999999</v>
      </c>
      <c r="AQ762" s="556">
        <v>114344.07441299999</v>
      </c>
      <c r="AR762" s="556">
        <v>1.7324999999999999</v>
      </c>
    </row>
    <row r="763" spans="39:44">
      <c r="AM763" s="555">
        <v>45160</v>
      </c>
      <c r="AN763" s="556">
        <v>454.05</v>
      </c>
      <c r="AO763" s="556">
        <v>690706</v>
      </c>
      <c r="AP763" s="556">
        <v>251.83145999999999</v>
      </c>
      <c r="AQ763" s="556">
        <v>114344.07441299999</v>
      </c>
      <c r="AR763" s="556">
        <v>1.7324999999999999</v>
      </c>
    </row>
    <row r="764" spans="39:44">
      <c r="AM764" s="555">
        <v>45159</v>
      </c>
      <c r="AN764" s="556">
        <v>454.05</v>
      </c>
      <c r="AO764" s="556">
        <v>690706</v>
      </c>
      <c r="AP764" s="556">
        <v>251.83145999999999</v>
      </c>
      <c r="AQ764" s="556">
        <v>114344.07441299999</v>
      </c>
      <c r="AR764" s="556">
        <v>1.7324999999999999</v>
      </c>
    </row>
    <row r="765" spans="39:44">
      <c r="AM765" s="555">
        <v>45158</v>
      </c>
      <c r="AN765" s="556">
        <v>450.05</v>
      </c>
      <c r="AO765" s="556">
        <v>688916</v>
      </c>
      <c r="AP765" s="556">
        <v>251.83145999999999</v>
      </c>
      <c r="AQ765" s="556">
        <v>113336.748573</v>
      </c>
      <c r="AR765" s="556">
        <v>1.7172000000000001</v>
      </c>
    </row>
    <row r="766" spans="39:44">
      <c r="AM766" s="555">
        <v>45157</v>
      </c>
      <c r="AN766" s="556">
        <v>452.81</v>
      </c>
      <c r="AO766" s="556">
        <v>1211810</v>
      </c>
      <c r="AP766" s="556">
        <v>251.83145999999999</v>
      </c>
      <c r="AQ766" s="556">
        <v>114031.8034026</v>
      </c>
      <c r="AR766" s="556">
        <v>1.7278</v>
      </c>
    </row>
    <row r="767" spans="39:44">
      <c r="AM767" s="555">
        <v>45156</v>
      </c>
      <c r="AN767" s="556">
        <v>449.47</v>
      </c>
      <c r="AO767" s="556">
        <v>791637</v>
      </c>
      <c r="AP767" s="556">
        <v>251.83145999999999</v>
      </c>
      <c r="AQ767" s="556">
        <v>113190.6863262</v>
      </c>
      <c r="AR767" s="556">
        <v>1.7150000000000001</v>
      </c>
    </row>
    <row r="768" spans="39:44">
      <c r="AM768" s="555">
        <v>45155</v>
      </c>
      <c r="AN768" s="556">
        <v>449.78</v>
      </c>
      <c r="AO768" s="556">
        <v>746803</v>
      </c>
      <c r="AP768" s="556">
        <v>251.83145999999999</v>
      </c>
      <c r="AQ768" s="556">
        <v>113268.75407879999</v>
      </c>
      <c r="AR768" s="556">
        <v>1.7161999999999999</v>
      </c>
    </row>
    <row r="769" spans="39:44">
      <c r="AM769" s="555">
        <v>45154</v>
      </c>
      <c r="AN769" s="556">
        <v>445.72</v>
      </c>
      <c r="AO769" s="556">
        <v>846951</v>
      </c>
      <c r="AP769" s="556">
        <v>251.83145999999999</v>
      </c>
      <c r="AQ769" s="556">
        <v>112246.31835120001</v>
      </c>
      <c r="AR769" s="556">
        <v>1.7007000000000001</v>
      </c>
    </row>
    <row r="770" spans="39:44">
      <c r="AM770" s="555">
        <v>45153</v>
      </c>
      <c r="AN770" s="556">
        <v>445.72</v>
      </c>
      <c r="AO770" s="556">
        <v>846951</v>
      </c>
      <c r="AP770" s="556">
        <v>251.83145999999999</v>
      </c>
      <c r="AQ770" s="556">
        <v>112246.31835120001</v>
      </c>
      <c r="AR770" s="556">
        <v>1.7007000000000001</v>
      </c>
    </row>
    <row r="771" spans="39:44">
      <c r="AM771" s="555">
        <v>45152</v>
      </c>
      <c r="AN771" s="556">
        <v>445.72</v>
      </c>
      <c r="AO771" s="556">
        <v>846951</v>
      </c>
      <c r="AP771" s="556">
        <v>251.83145999999999</v>
      </c>
      <c r="AQ771" s="556">
        <v>112246.31835120001</v>
      </c>
      <c r="AR771" s="556">
        <v>1.7007000000000001</v>
      </c>
    </row>
    <row r="772" spans="39:44">
      <c r="AM772" s="555">
        <v>45151</v>
      </c>
      <c r="AN772" s="556">
        <v>447.92</v>
      </c>
      <c r="AO772" s="556">
        <v>1240780</v>
      </c>
      <c r="AP772" s="556">
        <v>251.83145999999999</v>
      </c>
      <c r="AQ772" s="556">
        <v>112800.3475632</v>
      </c>
      <c r="AR772" s="556">
        <v>1.7091000000000001</v>
      </c>
    </row>
    <row r="773" spans="39:44">
      <c r="AM773" s="555">
        <v>45150</v>
      </c>
      <c r="AN773" s="556">
        <v>448.56</v>
      </c>
      <c r="AO773" s="556">
        <v>905975</v>
      </c>
      <c r="AP773" s="556">
        <v>251.83145999999999</v>
      </c>
      <c r="AQ773" s="556">
        <v>112961.5196976</v>
      </c>
      <c r="AR773" s="556">
        <v>1.7116</v>
      </c>
    </row>
    <row r="774" spans="39:44">
      <c r="AM774" s="555">
        <v>45149</v>
      </c>
      <c r="AN774" s="556">
        <v>451.28</v>
      </c>
      <c r="AO774" s="556">
        <v>1048012</v>
      </c>
      <c r="AP774" s="556">
        <v>251.83145999999999</v>
      </c>
      <c r="AQ774" s="556">
        <v>113646.50126879998</v>
      </c>
      <c r="AR774" s="556">
        <v>1.7219</v>
      </c>
    </row>
    <row r="775" spans="39:44">
      <c r="AM775" s="555">
        <v>45148</v>
      </c>
      <c r="AN775" s="556">
        <v>446.37</v>
      </c>
      <c r="AO775" s="556">
        <v>1806448</v>
      </c>
      <c r="AP775" s="556">
        <v>251.83145999999999</v>
      </c>
      <c r="AQ775" s="556">
        <v>112410.0088002</v>
      </c>
      <c r="AR775" s="556">
        <v>1.7032</v>
      </c>
    </row>
    <row r="776" spans="39:44">
      <c r="AM776" s="555">
        <v>45147</v>
      </c>
      <c r="AN776" s="556">
        <v>449</v>
      </c>
      <c r="AO776" s="556">
        <v>1163175</v>
      </c>
      <c r="AP776" s="556">
        <v>251.83145999999999</v>
      </c>
      <c r="AQ776" s="556">
        <v>113072.32553999999</v>
      </c>
      <c r="AR776" s="556">
        <v>1.7132000000000001</v>
      </c>
    </row>
    <row r="777" spans="39:44">
      <c r="AM777" s="555">
        <v>45146</v>
      </c>
      <c r="AN777" s="556">
        <v>449</v>
      </c>
      <c r="AO777" s="556">
        <v>1163175</v>
      </c>
      <c r="AP777" s="556">
        <v>251.83145999999999</v>
      </c>
      <c r="AQ777" s="556">
        <v>113072.32553999999</v>
      </c>
      <c r="AR777" s="556">
        <v>1.7132000000000001</v>
      </c>
    </row>
    <row r="778" spans="39:44">
      <c r="AM778" s="555">
        <v>45145</v>
      </c>
      <c r="AN778" s="556">
        <v>449</v>
      </c>
      <c r="AO778" s="556">
        <v>1163175</v>
      </c>
      <c r="AP778" s="556">
        <v>251.83145999999999</v>
      </c>
      <c r="AQ778" s="556">
        <v>113072.32553999999</v>
      </c>
      <c r="AR778" s="556">
        <v>1.7132000000000001</v>
      </c>
    </row>
    <row r="779" spans="39:44">
      <c r="AM779" s="555">
        <v>45144</v>
      </c>
      <c r="AN779" s="556">
        <v>448.64</v>
      </c>
      <c r="AO779" s="556">
        <v>1603778</v>
      </c>
      <c r="AP779" s="556">
        <v>251.83145999999999</v>
      </c>
      <c r="AQ779" s="556">
        <v>112981.6662144</v>
      </c>
      <c r="AR779" s="556">
        <v>1.7119</v>
      </c>
    </row>
    <row r="780" spans="39:44">
      <c r="AM780" s="555">
        <v>45143</v>
      </c>
      <c r="AN780" s="556">
        <v>452.81</v>
      </c>
      <c r="AO780" s="556">
        <v>1322292</v>
      </c>
      <c r="AP780" s="556">
        <v>251.83145999999999</v>
      </c>
      <c r="AQ780" s="556">
        <v>114031.8034026</v>
      </c>
      <c r="AR780" s="556">
        <v>1.7278</v>
      </c>
    </row>
    <row r="781" spans="39:44">
      <c r="AM781" s="555">
        <v>45142</v>
      </c>
      <c r="AN781" s="556">
        <v>454.15</v>
      </c>
      <c r="AO781" s="556">
        <v>1207812</v>
      </c>
      <c r="AP781" s="556">
        <v>251.83145999999999</v>
      </c>
      <c r="AQ781" s="556">
        <v>114369.25755899999</v>
      </c>
      <c r="AR781" s="556">
        <v>1.7329000000000001</v>
      </c>
    </row>
    <row r="782" spans="39:44">
      <c r="AM782" s="555">
        <v>45141</v>
      </c>
      <c r="AN782" s="556">
        <v>456.8</v>
      </c>
      <c r="AO782" s="556">
        <v>892432</v>
      </c>
      <c r="AP782" s="556">
        <v>251.83145999999999</v>
      </c>
      <c r="AQ782" s="556">
        <v>115036.61092799999</v>
      </c>
      <c r="AR782" s="556">
        <v>1.7430000000000001</v>
      </c>
    </row>
    <row r="783" spans="39:44">
      <c r="AM783" s="555">
        <v>45140</v>
      </c>
      <c r="AN783" s="556">
        <v>454.76</v>
      </c>
      <c r="AO783" s="556">
        <v>934414</v>
      </c>
      <c r="AP783" s="556">
        <v>251.83145999999999</v>
      </c>
      <c r="AQ783" s="556">
        <v>114522.8747496</v>
      </c>
      <c r="AR783" s="556">
        <v>1.7352000000000001</v>
      </c>
    </row>
    <row r="784" spans="39:44">
      <c r="AM784" s="555">
        <v>45139</v>
      </c>
      <c r="AN784" s="556">
        <v>454.76</v>
      </c>
      <c r="AO784" s="556">
        <v>934414</v>
      </c>
      <c r="AP784" s="556">
        <v>251.83145999999999</v>
      </c>
      <c r="AQ784" s="556">
        <v>114522.8747496</v>
      </c>
      <c r="AR784" s="556">
        <v>1.7352000000000001</v>
      </c>
    </row>
    <row r="785" spans="39:44">
      <c r="AM785" s="555">
        <v>45138</v>
      </c>
      <c r="AN785" s="556">
        <v>454.76</v>
      </c>
      <c r="AO785" s="556">
        <v>934414</v>
      </c>
      <c r="AP785" s="556">
        <v>251.83145999999999</v>
      </c>
      <c r="AQ785" s="556">
        <v>114522.8747496</v>
      </c>
      <c r="AR785" s="556">
        <v>1.7352000000000001</v>
      </c>
    </row>
    <row r="786" spans="39:44">
      <c r="AM786" s="555">
        <v>45137</v>
      </c>
      <c r="AN786" s="556">
        <v>456.01</v>
      </c>
      <c r="AO786" s="556">
        <v>1354029</v>
      </c>
      <c r="AP786" s="556">
        <v>251.83145999999999</v>
      </c>
      <c r="AQ786" s="556">
        <v>114837.66407459999</v>
      </c>
      <c r="AR786" s="556">
        <v>1.74</v>
      </c>
    </row>
    <row r="787" spans="39:44">
      <c r="AM787" s="555">
        <v>45136</v>
      </c>
      <c r="AN787" s="556">
        <v>451.51</v>
      </c>
      <c r="AO787" s="556">
        <v>2141500</v>
      </c>
      <c r="AP787" s="556">
        <v>251.83145999999999</v>
      </c>
      <c r="AQ787" s="556">
        <v>113704.42250459999</v>
      </c>
      <c r="AR787" s="556">
        <v>1.7228000000000001</v>
      </c>
    </row>
    <row r="788" spans="39:44">
      <c r="AM788" s="555">
        <v>45135</v>
      </c>
      <c r="AN788" s="556">
        <v>455.7</v>
      </c>
      <c r="AO788" s="556">
        <v>3122613</v>
      </c>
      <c r="AP788" s="556">
        <v>253.25255000000001</v>
      </c>
      <c r="AQ788" s="556">
        <v>115407.18703500001</v>
      </c>
      <c r="AR788" s="556">
        <v>1.7387999999999999</v>
      </c>
    </row>
    <row r="789" spans="39:44">
      <c r="AM789" s="555">
        <v>45134</v>
      </c>
      <c r="AN789" s="556">
        <v>469.97</v>
      </c>
      <c r="AO789" s="556">
        <v>1890261</v>
      </c>
      <c r="AP789" s="556">
        <v>253.25255000000001</v>
      </c>
      <c r="AQ789" s="556">
        <v>119021.10092350001</v>
      </c>
      <c r="AR789" s="556">
        <v>1.7932999999999999</v>
      </c>
    </row>
    <row r="790" spans="39:44">
      <c r="AM790" s="555">
        <v>45133</v>
      </c>
      <c r="AN790" s="556">
        <v>464.31</v>
      </c>
      <c r="AO790" s="556">
        <v>933202</v>
      </c>
      <c r="AP790" s="556">
        <v>253.25255000000001</v>
      </c>
      <c r="AQ790" s="556">
        <v>117587.6914905</v>
      </c>
      <c r="AR790" s="556">
        <v>1.7717000000000001</v>
      </c>
    </row>
    <row r="791" spans="39:44">
      <c r="AM791" s="555">
        <v>45132</v>
      </c>
      <c r="AN791" s="556">
        <v>464.31</v>
      </c>
      <c r="AO791" s="556">
        <v>933202</v>
      </c>
      <c r="AP791" s="556">
        <v>253.25255000000001</v>
      </c>
      <c r="AQ791" s="556">
        <v>117587.6914905</v>
      </c>
      <c r="AR791" s="556">
        <v>1.7717000000000001</v>
      </c>
    </row>
    <row r="792" spans="39:44">
      <c r="AM792" s="555">
        <v>45131</v>
      </c>
      <c r="AN792" s="556">
        <v>464.31</v>
      </c>
      <c r="AO792" s="556">
        <v>933202</v>
      </c>
      <c r="AP792" s="556">
        <v>253.25255000000001</v>
      </c>
      <c r="AQ792" s="556">
        <v>117587.6914905</v>
      </c>
      <c r="AR792" s="556">
        <v>1.7717000000000001</v>
      </c>
    </row>
    <row r="793" spans="39:44">
      <c r="AM793" s="555">
        <v>45130</v>
      </c>
      <c r="AN793" s="556">
        <v>466.38</v>
      </c>
      <c r="AO793" s="556">
        <v>821864</v>
      </c>
      <c r="AP793" s="556">
        <v>253.25255000000001</v>
      </c>
      <c r="AQ793" s="556">
        <v>118111.92426900001</v>
      </c>
      <c r="AR793" s="556">
        <v>1.7796000000000001</v>
      </c>
    </row>
    <row r="794" spans="39:44">
      <c r="AM794" s="555">
        <v>45129</v>
      </c>
      <c r="AN794" s="556">
        <v>461.96</v>
      </c>
      <c r="AO794" s="556">
        <v>1067254</v>
      </c>
      <c r="AP794" s="556">
        <v>253.25255000000001</v>
      </c>
      <c r="AQ794" s="556">
        <v>116992.54799799999</v>
      </c>
      <c r="AR794" s="556">
        <v>1.7626999999999999</v>
      </c>
    </row>
    <row r="795" spans="39:44">
      <c r="AM795" s="555">
        <v>45128</v>
      </c>
      <c r="AN795" s="556">
        <v>466.29</v>
      </c>
      <c r="AO795" s="556">
        <v>709253</v>
      </c>
      <c r="AP795" s="556">
        <v>253.25255000000001</v>
      </c>
      <c r="AQ795" s="556">
        <v>118089.13153950001</v>
      </c>
      <c r="AR795" s="556">
        <v>1.7791999999999999</v>
      </c>
    </row>
    <row r="796" spans="39:44">
      <c r="AM796" s="555">
        <v>45127</v>
      </c>
      <c r="AN796" s="556">
        <v>460.38</v>
      </c>
      <c r="AO796" s="556">
        <v>718374</v>
      </c>
      <c r="AP796" s="556">
        <v>253.25255000000001</v>
      </c>
      <c r="AQ796" s="556">
        <v>116592.40896900001</v>
      </c>
      <c r="AR796" s="556">
        <v>1.7566999999999999</v>
      </c>
    </row>
    <row r="797" spans="39:44">
      <c r="AM797" s="555">
        <v>45126</v>
      </c>
      <c r="AN797" s="556">
        <v>458.71</v>
      </c>
      <c r="AO797" s="556">
        <v>642167</v>
      </c>
      <c r="AP797" s="556">
        <v>253.25255000000001</v>
      </c>
      <c r="AQ797" s="556">
        <v>116169.4772105</v>
      </c>
      <c r="AR797" s="556">
        <v>1.7503</v>
      </c>
    </row>
    <row r="798" spans="39:44">
      <c r="AM798" s="555">
        <v>45125</v>
      </c>
      <c r="AN798" s="556">
        <v>458.71</v>
      </c>
      <c r="AO798" s="556">
        <v>642167</v>
      </c>
      <c r="AP798" s="556">
        <v>253.25255000000001</v>
      </c>
      <c r="AQ798" s="556">
        <v>116169.4772105</v>
      </c>
      <c r="AR798" s="556">
        <v>1.7503</v>
      </c>
    </row>
    <row r="799" spans="39:44">
      <c r="AM799" s="555">
        <v>45124</v>
      </c>
      <c r="AN799" s="556">
        <v>458.71</v>
      </c>
      <c r="AO799" s="556">
        <v>642167</v>
      </c>
      <c r="AP799" s="556">
        <v>253.25255000000001</v>
      </c>
      <c r="AQ799" s="556">
        <v>116169.4772105</v>
      </c>
      <c r="AR799" s="556">
        <v>1.7503</v>
      </c>
    </row>
    <row r="800" spans="39:44">
      <c r="AM800" s="555">
        <v>45123</v>
      </c>
      <c r="AN800" s="556">
        <v>461.64</v>
      </c>
      <c r="AO800" s="556">
        <v>675968</v>
      </c>
      <c r="AP800" s="556">
        <v>253.25255000000001</v>
      </c>
      <c r="AQ800" s="556">
        <v>116911.507182</v>
      </c>
      <c r="AR800" s="556">
        <v>1.7615000000000001</v>
      </c>
    </row>
    <row r="801" spans="39:44">
      <c r="AM801" s="555">
        <v>45122</v>
      </c>
      <c r="AN801" s="556">
        <v>462.76</v>
      </c>
      <c r="AO801" s="556">
        <v>625509</v>
      </c>
      <c r="AP801" s="556">
        <v>253.25255000000001</v>
      </c>
      <c r="AQ801" s="556">
        <v>117195.15003800001</v>
      </c>
      <c r="AR801" s="556">
        <v>1.7657</v>
      </c>
    </row>
    <row r="802" spans="39:44">
      <c r="AM802" s="555">
        <v>45121</v>
      </c>
      <c r="AN802" s="556">
        <v>462.58</v>
      </c>
      <c r="AO802" s="556">
        <v>385446</v>
      </c>
      <c r="AP802" s="556">
        <v>253.25255000000001</v>
      </c>
      <c r="AQ802" s="556">
        <v>117149.564579</v>
      </c>
      <c r="AR802" s="556">
        <v>1.7650999999999999</v>
      </c>
    </row>
    <row r="803" spans="39:44">
      <c r="AM803" s="555">
        <v>45120</v>
      </c>
      <c r="AN803" s="556">
        <v>462.58</v>
      </c>
      <c r="AO803" s="556">
        <v>385446</v>
      </c>
      <c r="AP803" s="556">
        <v>253.25255000000001</v>
      </c>
      <c r="AQ803" s="556">
        <v>117149.564579</v>
      </c>
      <c r="AR803" s="556">
        <v>1.7650999999999999</v>
      </c>
    </row>
    <row r="804" spans="39:44">
      <c r="AM804" s="555">
        <v>45119</v>
      </c>
      <c r="AN804" s="556">
        <v>460.38</v>
      </c>
      <c r="AO804" s="556">
        <v>982764</v>
      </c>
      <c r="AP804" s="556">
        <v>253.25255000000001</v>
      </c>
      <c r="AQ804" s="556">
        <v>116592.40896900001</v>
      </c>
      <c r="AR804" s="556">
        <v>1.7566999999999999</v>
      </c>
    </row>
    <row r="805" spans="39:44">
      <c r="AM805" s="555">
        <v>45118</v>
      </c>
      <c r="AN805" s="556">
        <v>460.38</v>
      </c>
      <c r="AO805" s="556">
        <v>982764</v>
      </c>
      <c r="AP805" s="556">
        <v>253.25255000000001</v>
      </c>
      <c r="AQ805" s="556">
        <v>116592.40896900001</v>
      </c>
      <c r="AR805" s="556">
        <v>1.7566999999999999</v>
      </c>
    </row>
    <row r="806" spans="39:44">
      <c r="AM806" s="555">
        <v>45117</v>
      </c>
      <c r="AN806" s="556">
        <v>460.38</v>
      </c>
      <c r="AO806" s="556">
        <v>982764</v>
      </c>
      <c r="AP806" s="556">
        <v>253.25255000000001</v>
      </c>
      <c r="AQ806" s="556">
        <v>116592.40896900001</v>
      </c>
      <c r="AR806" s="556">
        <v>1.7566999999999999</v>
      </c>
    </row>
    <row r="807" spans="39:44">
      <c r="AM807" s="555">
        <v>45116</v>
      </c>
      <c r="AN807" s="556">
        <v>457.44</v>
      </c>
      <c r="AO807" s="556">
        <v>684263</v>
      </c>
      <c r="AP807" s="556">
        <v>253.25255000000001</v>
      </c>
      <c r="AQ807" s="556">
        <v>115847.846472</v>
      </c>
      <c r="AR807" s="556">
        <v>1.7454000000000001</v>
      </c>
    </row>
    <row r="808" spans="39:44">
      <c r="AM808" s="555">
        <v>45115</v>
      </c>
      <c r="AN808" s="556">
        <v>449.66</v>
      </c>
      <c r="AO808" s="556">
        <v>848995</v>
      </c>
      <c r="AP808" s="556">
        <v>253.25255000000001</v>
      </c>
      <c r="AQ808" s="556">
        <v>113877.54163300002</v>
      </c>
      <c r="AR808" s="556">
        <v>1.7158</v>
      </c>
    </row>
    <row r="809" spans="39:44">
      <c r="AM809" s="555">
        <v>45114</v>
      </c>
      <c r="AN809" s="556">
        <v>453.15</v>
      </c>
      <c r="AO809" s="556">
        <v>671166</v>
      </c>
      <c r="AP809" s="556">
        <v>253.25255000000001</v>
      </c>
      <c r="AQ809" s="556">
        <v>114761.3930325</v>
      </c>
      <c r="AR809" s="556">
        <v>1.7291000000000001</v>
      </c>
    </row>
    <row r="810" spans="39:44">
      <c r="AM810" s="555">
        <v>45113</v>
      </c>
      <c r="AN810" s="556">
        <v>452.8</v>
      </c>
      <c r="AO810" s="556">
        <v>997176</v>
      </c>
      <c r="AP810" s="556">
        <v>253.25255000000001</v>
      </c>
      <c r="AQ810" s="556">
        <v>114672.75464000001</v>
      </c>
      <c r="AR810" s="556">
        <v>1.7277</v>
      </c>
    </row>
    <row r="811" spans="39:44">
      <c r="AM811" s="555">
        <v>45112</v>
      </c>
      <c r="AN811" s="556">
        <v>459.36</v>
      </c>
      <c r="AO811" s="556">
        <v>1348206</v>
      </c>
      <c r="AP811" s="556">
        <v>253.25255000000001</v>
      </c>
      <c r="AQ811" s="556">
        <v>116334.09136800001</v>
      </c>
      <c r="AR811" s="556">
        <v>1.8073999999999999</v>
      </c>
    </row>
    <row r="812" spans="39:44">
      <c r="AM812" s="555">
        <v>45111</v>
      </c>
      <c r="AN812" s="556">
        <v>459.36</v>
      </c>
      <c r="AO812" s="556">
        <v>1348206</v>
      </c>
      <c r="AP812" s="556">
        <v>253.25255000000001</v>
      </c>
      <c r="AQ812" s="556">
        <v>116334.09136800001</v>
      </c>
      <c r="AR812" s="556">
        <v>1.8073999999999999</v>
      </c>
    </row>
    <row r="813" spans="39:44">
      <c r="AM813" s="555">
        <v>45110</v>
      </c>
      <c r="AN813" s="556">
        <v>459.36</v>
      </c>
      <c r="AO813" s="556">
        <v>1348206</v>
      </c>
      <c r="AP813" s="556">
        <v>253.25255000000001</v>
      </c>
      <c r="AQ813" s="556">
        <v>116334.09136800001</v>
      </c>
      <c r="AR813" s="556">
        <v>1.8073999999999999</v>
      </c>
    </row>
    <row r="814" spans="39:44">
      <c r="AM814" s="555">
        <v>45109</v>
      </c>
      <c r="AN814" s="556">
        <v>463.43</v>
      </c>
      <c r="AO814" s="556">
        <v>688681</v>
      </c>
      <c r="AP814" s="556">
        <v>253.25255000000001</v>
      </c>
      <c r="AQ814" s="556">
        <v>117364.82924650001</v>
      </c>
      <c r="AR814" s="556">
        <v>1.8233999999999999</v>
      </c>
    </row>
    <row r="815" spans="39:44">
      <c r="AM815" s="555">
        <v>45108</v>
      </c>
      <c r="AN815" s="556">
        <v>466.04</v>
      </c>
      <c r="AO815" s="556">
        <v>907074</v>
      </c>
      <c r="AP815" s="556">
        <v>253.25255000000001</v>
      </c>
      <c r="AQ815" s="556">
        <v>118025.818402</v>
      </c>
      <c r="AR815" s="556">
        <v>1.8337000000000001</v>
      </c>
    </row>
    <row r="816" spans="39:44">
      <c r="AM816" s="555">
        <v>45107</v>
      </c>
      <c r="AN816" s="556">
        <v>458.38</v>
      </c>
      <c r="AO816" s="556">
        <v>775250</v>
      </c>
      <c r="AP816" s="556">
        <v>253.25255000000001</v>
      </c>
      <c r="AQ816" s="556">
        <v>116085.903869</v>
      </c>
      <c r="AR816" s="556">
        <v>1.8035000000000001</v>
      </c>
    </row>
    <row r="817" spans="39:44">
      <c r="AM817" s="555">
        <v>45106</v>
      </c>
      <c r="AN817" s="556">
        <v>459.17</v>
      </c>
      <c r="AO817" s="556">
        <v>1642807</v>
      </c>
      <c r="AP817" s="556">
        <v>253.25255000000001</v>
      </c>
      <c r="AQ817" s="556">
        <v>116285.97338350001</v>
      </c>
      <c r="AR817" s="556">
        <v>1.8066</v>
      </c>
    </row>
    <row r="818" spans="39:44">
      <c r="AM818" s="555">
        <v>45105</v>
      </c>
      <c r="AN818" s="556">
        <v>459.17</v>
      </c>
      <c r="AO818" s="556">
        <v>1642807</v>
      </c>
      <c r="AP818" s="556">
        <v>253.25255000000001</v>
      </c>
      <c r="AQ818" s="556">
        <v>116285.97338350001</v>
      </c>
      <c r="AR818" s="556">
        <v>1.8066</v>
      </c>
    </row>
    <row r="819" spans="39:44">
      <c r="AM819" s="555">
        <v>45104</v>
      </c>
      <c r="AN819" s="556">
        <v>459.17</v>
      </c>
      <c r="AO819" s="556">
        <v>1642807</v>
      </c>
      <c r="AP819" s="556">
        <v>253.25255000000001</v>
      </c>
      <c r="AQ819" s="556">
        <v>116285.97338350001</v>
      </c>
      <c r="AR819" s="556">
        <v>1.8066</v>
      </c>
    </row>
    <row r="820" spans="39:44">
      <c r="AM820" s="555">
        <v>45103</v>
      </c>
      <c r="AN820" s="556">
        <v>459.17</v>
      </c>
      <c r="AO820" s="556">
        <v>1642807</v>
      </c>
      <c r="AP820" s="556">
        <v>253.25255000000001</v>
      </c>
      <c r="AQ820" s="556">
        <v>116285.97338350001</v>
      </c>
      <c r="AR820" s="556">
        <v>1.8066</v>
      </c>
    </row>
    <row r="821" spans="39:44">
      <c r="AM821" s="555">
        <v>45102</v>
      </c>
      <c r="AN821" s="556">
        <v>455.95</v>
      </c>
      <c r="AO821" s="556">
        <v>892547</v>
      </c>
      <c r="AP821" s="556">
        <v>253.25255000000001</v>
      </c>
      <c r="AQ821" s="556">
        <v>115470.5001725</v>
      </c>
      <c r="AR821" s="556">
        <v>1.794</v>
      </c>
    </row>
    <row r="822" spans="39:44">
      <c r="AM822" s="555">
        <v>45101</v>
      </c>
      <c r="AN822" s="556">
        <v>452.55</v>
      </c>
      <c r="AO822" s="556">
        <v>945891</v>
      </c>
      <c r="AP822" s="556">
        <v>253.25255000000001</v>
      </c>
      <c r="AQ822" s="556">
        <v>114609.44150250001</v>
      </c>
      <c r="AR822" s="556">
        <v>1.7806</v>
      </c>
    </row>
    <row r="823" spans="39:44">
      <c r="AM823" s="555">
        <v>45100</v>
      </c>
      <c r="AN823" s="556">
        <v>452.37</v>
      </c>
      <c r="AO823" s="556">
        <v>1486493</v>
      </c>
      <c r="AP823" s="556">
        <v>253.25255000000001</v>
      </c>
      <c r="AQ823" s="556">
        <v>114563.85604350001</v>
      </c>
      <c r="AR823" s="556">
        <v>1.7799</v>
      </c>
    </row>
    <row r="824" spans="39:44">
      <c r="AM824" s="555">
        <v>45099</v>
      </c>
      <c r="AN824" s="556">
        <v>459.87</v>
      </c>
      <c r="AO824" s="556">
        <v>954660</v>
      </c>
      <c r="AP824" s="556">
        <v>253.25255000000001</v>
      </c>
      <c r="AQ824" s="556">
        <v>116463.2501685</v>
      </c>
      <c r="AR824" s="556">
        <v>1.8093999999999999</v>
      </c>
    </row>
    <row r="825" spans="39:44">
      <c r="AM825" s="555">
        <v>45098</v>
      </c>
      <c r="AN825" s="556">
        <v>462.69</v>
      </c>
      <c r="AO825" s="556">
        <v>713249</v>
      </c>
      <c r="AP825" s="556">
        <v>253.25255000000001</v>
      </c>
      <c r="AQ825" s="556">
        <v>117177.42235950001</v>
      </c>
      <c r="AR825" s="556">
        <v>1.8205</v>
      </c>
    </row>
    <row r="826" spans="39:44">
      <c r="AM826" s="555">
        <v>45097</v>
      </c>
      <c r="AN826" s="556">
        <v>462.69</v>
      </c>
      <c r="AO826" s="556">
        <v>713249</v>
      </c>
      <c r="AP826" s="556">
        <v>253.25255000000001</v>
      </c>
      <c r="AQ826" s="556">
        <v>117177.42235950001</v>
      </c>
      <c r="AR826" s="556">
        <v>1.8205</v>
      </c>
    </row>
    <row r="827" spans="39:44">
      <c r="AM827" s="555">
        <v>45096</v>
      </c>
      <c r="AN827" s="556">
        <v>462.69</v>
      </c>
      <c r="AO827" s="556">
        <v>713249</v>
      </c>
      <c r="AP827" s="556">
        <v>253.25255000000001</v>
      </c>
      <c r="AQ827" s="556">
        <v>117177.42235950001</v>
      </c>
      <c r="AR827" s="556">
        <v>1.8205</v>
      </c>
    </row>
    <row r="828" spans="39:44">
      <c r="AM828" s="555">
        <v>45095</v>
      </c>
      <c r="AN828" s="556">
        <v>464.17</v>
      </c>
      <c r="AO828" s="556">
        <v>863512</v>
      </c>
      <c r="AP828" s="556">
        <v>253.25255000000001</v>
      </c>
      <c r="AQ828" s="556">
        <v>117552.23613350002</v>
      </c>
      <c r="AR828" s="556">
        <v>1.8263</v>
      </c>
    </row>
    <row r="829" spans="39:44">
      <c r="AM829" s="555">
        <v>45094</v>
      </c>
      <c r="AN829" s="556">
        <v>461.75</v>
      </c>
      <c r="AO829" s="556">
        <v>893317</v>
      </c>
      <c r="AP829" s="556">
        <v>253.25255000000001</v>
      </c>
      <c r="AQ829" s="556">
        <v>116939.36496250001</v>
      </c>
      <c r="AR829" s="556">
        <v>1.8168</v>
      </c>
    </row>
    <row r="830" spans="39:44">
      <c r="AM830" s="555">
        <v>45093</v>
      </c>
      <c r="AN830" s="556">
        <v>458.63</v>
      </c>
      <c r="AO830" s="556">
        <v>816865</v>
      </c>
      <c r="AP830" s="556">
        <v>253.25255000000001</v>
      </c>
      <c r="AQ830" s="556">
        <v>116149.21700650001</v>
      </c>
      <c r="AR830" s="556">
        <v>1.8045</v>
      </c>
    </row>
    <row r="831" spans="39:44">
      <c r="AM831" s="555">
        <v>45092</v>
      </c>
      <c r="AN831" s="556">
        <v>454.69</v>
      </c>
      <c r="AO831" s="556">
        <v>873985</v>
      </c>
      <c r="AP831" s="556">
        <v>253.25255000000001</v>
      </c>
      <c r="AQ831" s="556">
        <v>115151.4019595</v>
      </c>
      <c r="AR831" s="556">
        <v>1.7889999999999999</v>
      </c>
    </row>
    <row r="832" spans="39:44">
      <c r="AM832" s="555">
        <v>45091</v>
      </c>
      <c r="AN832" s="556">
        <v>454.49</v>
      </c>
      <c r="AO832" s="556">
        <v>894658</v>
      </c>
      <c r="AP832" s="556">
        <v>253.25255000000001</v>
      </c>
      <c r="AQ832" s="556">
        <v>115100.75144950001</v>
      </c>
      <c r="AR832" s="556">
        <v>1.7882</v>
      </c>
    </row>
    <row r="833" spans="39:44">
      <c r="AM833" s="555">
        <v>45090</v>
      </c>
      <c r="AN833" s="556">
        <v>454.49</v>
      </c>
      <c r="AO833" s="556">
        <v>894658</v>
      </c>
      <c r="AP833" s="556">
        <v>253.25255000000001</v>
      </c>
      <c r="AQ833" s="556">
        <v>115100.75144950001</v>
      </c>
      <c r="AR833" s="556">
        <v>1.7882</v>
      </c>
    </row>
    <row r="834" spans="39:44">
      <c r="AM834" s="555">
        <v>45089</v>
      </c>
      <c r="AN834" s="556">
        <v>454.49</v>
      </c>
      <c r="AO834" s="556">
        <v>894658</v>
      </c>
      <c r="AP834" s="556">
        <v>253.25255000000001</v>
      </c>
      <c r="AQ834" s="556">
        <v>115100.75144950001</v>
      </c>
      <c r="AR834" s="556">
        <v>1.7882</v>
      </c>
    </row>
    <row r="835" spans="39:44">
      <c r="AM835" s="555">
        <v>45088</v>
      </c>
      <c r="AN835" s="556">
        <v>449.67</v>
      </c>
      <c r="AO835" s="556">
        <v>878675</v>
      </c>
      <c r="AP835" s="556">
        <v>253.25255000000001</v>
      </c>
      <c r="AQ835" s="556">
        <v>113880.07415850001</v>
      </c>
      <c r="AR835" s="556">
        <v>1.7693000000000001</v>
      </c>
    </row>
    <row r="836" spans="39:44">
      <c r="AM836" s="555">
        <v>45087</v>
      </c>
      <c r="AN836" s="556">
        <v>444.01</v>
      </c>
      <c r="AO836" s="556">
        <v>1673655</v>
      </c>
      <c r="AP836" s="556">
        <v>253.25255000000001</v>
      </c>
      <c r="AQ836" s="556">
        <v>112446.6647255</v>
      </c>
      <c r="AR836" s="556">
        <v>1.7470000000000001</v>
      </c>
    </row>
    <row r="837" spans="39:44">
      <c r="AM837" s="555">
        <v>45086</v>
      </c>
      <c r="AN837" s="556">
        <v>447.97</v>
      </c>
      <c r="AO837" s="556">
        <v>1163307</v>
      </c>
      <c r="AP837" s="556">
        <v>253.25255000000001</v>
      </c>
      <c r="AQ837" s="556">
        <v>113449.54482350001</v>
      </c>
      <c r="AR837" s="556">
        <v>1.7625999999999999</v>
      </c>
    </row>
    <row r="838" spans="39:44">
      <c r="AM838" s="555">
        <v>45085</v>
      </c>
      <c r="AN838" s="556">
        <v>448.45</v>
      </c>
      <c r="AO838" s="556">
        <v>1135533</v>
      </c>
      <c r="AP838" s="556">
        <v>253.25255000000001</v>
      </c>
      <c r="AQ838" s="556">
        <v>113571.1060475</v>
      </c>
      <c r="AR838" s="556">
        <v>1.7645</v>
      </c>
    </row>
    <row r="839" spans="39:44">
      <c r="AM839" s="555">
        <v>45084</v>
      </c>
      <c r="AN839" s="556">
        <v>448.45</v>
      </c>
      <c r="AO839" s="556">
        <v>1135533</v>
      </c>
      <c r="AP839" s="556">
        <v>253.25255000000001</v>
      </c>
      <c r="AQ839" s="556">
        <v>113571.1060475</v>
      </c>
      <c r="AR839" s="556">
        <v>1.7645</v>
      </c>
    </row>
    <row r="840" spans="39:44">
      <c r="AM840" s="555">
        <v>45083</v>
      </c>
      <c r="AN840" s="556">
        <v>448.45</v>
      </c>
      <c r="AO840" s="556">
        <v>1135533</v>
      </c>
      <c r="AP840" s="556">
        <v>253.25255000000001</v>
      </c>
      <c r="AQ840" s="556">
        <v>113571.1060475</v>
      </c>
      <c r="AR840" s="556">
        <v>1.7645</v>
      </c>
    </row>
    <row r="841" spans="39:44">
      <c r="AM841" s="555">
        <v>45082</v>
      </c>
      <c r="AN841" s="556">
        <v>448.45</v>
      </c>
      <c r="AO841" s="556">
        <v>1135533</v>
      </c>
      <c r="AP841" s="556">
        <v>253.25255000000001</v>
      </c>
      <c r="AQ841" s="556">
        <v>113571.1060475</v>
      </c>
      <c r="AR841" s="556">
        <v>1.7645</v>
      </c>
    </row>
    <row r="842" spans="39:44">
      <c r="AM842" s="555">
        <v>45081</v>
      </c>
      <c r="AN842" s="556">
        <v>442.83</v>
      </c>
      <c r="AO842" s="556">
        <v>1205011</v>
      </c>
      <c r="AP842" s="556">
        <v>253.25255000000001</v>
      </c>
      <c r="AQ842" s="556">
        <v>112147.8267165</v>
      </c>
      <c r="AR842" s="556">
        <v>1.7423999999999999</v>
      </c>
    </row>
    <row r="843" spans="39:44">
      <c r="AM843" s="555">
        <v>45080</v>
      </c>
      <c r="AN843" s="556">
        <v>452.72</v>
      </c>
      <c r="AO843" s="556">
        <v>858759</v>
      </c>
      <c r="AP843" s="556">
        <v>253.25255000000001</v>
      </c>
      <c r="AQ843" s="556">
        <v>114652.49443600001</v>
      </c>
      <c r="AR843" s="556">
        <v>1.7813000000000001</v>
      </c>
    </row>
    <row r="844" spans="39:44">
      <c r="AM844" s="555">
        <v>45079</v>
      </c>
      <c r="AN844" s="556">
        <v>452.63</v>
      </c>
      <c r="AO844" s="556">
        <v>1027289</v>
      </c>
      <c r="AP844" s="556">
        <v>253.25255000000001</v>
      </c>
      <c r="AQ844" s="556">
        <v>114629.70170650001</v>
      </c>
      <c r="AR844" s="556">
        <v>1.7808999999999999</v>
      </c>
    </row>
    <row r="845" spans="39:44">
      <c r="AM845" s="555">
        <v>45078</v>
      </c>
      <c r="AN845" s="556">
        <v>454.72</v>
      </c>
      <c r="AO845" s="556">
        <v>628089</v>
      </c>
      <c r="AP845" s="556">
        <v>253.25255000000001</v>
      </c>
      <c r="AQ845" s="556">
        <v>115158.99953600002</v>
      </c>
      <c r="AR845" s="556">
        <v>1.7890999999999999</v>
      </c>
    </row>
    <row r="846" spans="39:44">
      <c r="AM846" s="555">
        <v>45077</v>
      </c>
      <c r="AN846" s="556">
        <v>454.49</v>
      </c>
      <c r="AO846" s="556">
        <v>804256</v>
      </c>
      <c r="AP846" s="556">
        <v>253.25255000000001</v>
      </c>
      <c r="AQ846" s="556">
        <v>115100.75144950001</v>
      </c>
      <c r="AR846" s="556">
        <v>1.7882</v>
      </c>
    </row>
    <row r="847" spans="39:44">
      <c r="AM847" s="555">
        <v>45076</v>
      </c>
      <c r="AN847" s="556">
        <v>454.49</v>
      </c>
      <c r="AO847" s="556">
        <v>804256</v>
      </c>
      <c r="AP847" s="556">
        <v>253.25255000000001</v>
      </c>
      <c r="AQ847" s="556">
        <v>115100.75144950001</v>
      </c>
      <c r="AR847" s="556">
        <v>1.7882</v>
      </c>
    </row>
    <row r="848" spans="39:44">
      <c r="AM848" s="555">
        <v>45075</v>
      </c>
      <c r="AN848" s="556">
        <v>454.49</v>
      </c>
      <c r="AO848" s="556">
        <v>804256</v>
      </c>
      <c r="AP848" s="556">
        <v>253.25255000000001</v>
      </c>
      <c r="AQ848" s="556">
        <v>115100.75144950001</v>
      </c>
      <c r="AR848" s="556">
        <v>1.7882</v>
      </c>
    </row>
    <row r="849" spans="39:44">
      <c r="AM849" s="555">
        <v>45074</v>
      </c>
      <c r="AN849" s="556">
        <v>455.75</v>
      </c>
      <c r="AO849" s="556">
        <v>1456533</v>
      </c>
      <c r="AP849" s="556">
        <v>253.25255000000001</v>
      </c>
      <c r="AQ849" s="556">
        <v>115419.84966250001</v>
      </c>
      <c r="AR849" s="556">
        <v>1.7931999999999999</v>
      </c>
    </row>
    <row r="850" spans="39:44">
      <c r="AM850" s="555">
        <v>45073</v>
      </c>
      <c r="AN850" s="556">
        <v>457.3</v>
      </c>
      <c r="AO850" s="556">
        <v>1101942</v>
      </c>
      <c r="AP850" s="556">
        <v>253.25255000000001</v>
      </c>
      <c r="AQ850" s="556">
        <v>115812.39111500001</v>
      </c>
      <c r="AR850" s="556">
        <v>1.7992999999999999</v>
      </c>
    </row>
    <row r="851" spans="39:44">
      <c r="AM851" s="555">
        <v>45072</v>
      </c>
      <c r="AN851" s="556">
        <v>447.73</v>
      </c>
      <c r="AO851" s="556">
        <v>569703</v>
      </c>
      <c r="AP851" s="556">
        <v>253.25255000000001</v>
      </c>
      <c r="AQ851" s="556">
        <v>113388.76421150001</v>
      </c>
      <c r="AR851" s="556">
        <v>1.7616000000000001</v>
      </c>
    </row>
    <row r="852" spans="39:44">
      <c r="AM852" s="555">
        <v>45071</v>
      </c>
      <c r="AN852" s="556">
        <v>451.92</v>
      </c>
      <c r="AO852" s="556">
        <v>668310</v>
      </c>
      <c r="AP852" s="556">
        <v>253.25255000000001</v>
      </c>
      <c r="AQ852" s="556">
        <v>114449.89239600001</v>
      </c>
      <c r="AR852" s="556">
        <v>1.7781</v>
      </c>
    </row>
    <row r="853" spans="39:44">
      <c r="AM853" s="555">
        <v>45070</v>
      </c>
      <c r="AN853" s="556">
        <v>450.79</v>
      </c>
      <c r="AO853" s="556">
        <v>696606</v>
      </c>
      <c r="AP853" s="556">
        <v>253.25255000000001</v>
      </c>
      <c r="AQ853" s="556">
        <v>114163.71701450001</v>
      </c>
      <c r="AR853" s="556">
        <v>1.7737000000000001</v>
      </c>
    </row>
    <row r="854" spans="39:44">
      <c r="AM854" s="555">
        <v>45069</v>
      </c>
      <c r="AN854" s="556">
        <v>450.79</v>
      </c>
      <c r="AO854" s="556">
        <v>696606</v>
      </c>
      <c r="AP854" s="556">
        <v>253.25255000000001</v>
      </c>
      <c r="AQ854" s="556">
        <v>114163.71701450001</v>
      </c>
      <c r="AR854" s="556">
        <v>1.7737000000000001</v>
      </c>
    </row>
    <row r="855" spans="39:44">
      <c r="AM855" s="555">
        <v>45068</v>
      </c>
      <c r="AN855" s="556">
        <v>450.79</v>
      </c>
      <c r="AO855" s="556">
        <v>696606</v>
      </c>
      <c r="AP855" s="556">
        <v>253.25255000000001</v>
      </c>
      <c r="AQ855" s="556">
        <v>114163.71701450001</v>
      </c>
      <c r="AR855" s="556">
        <v>1.7737000000000001</v>
      </c>
    </row>
    <row r="856" spans="39:44">
      <c r="AM856" s="555">
        <v>45067</v>
      </c>
      <c r="AN856" s="556">
        <v>450.69</v>
      </c>
      <c r="AO856" s="556">
        <v>645427</v>
      </c>
      <c r="AP856" s="556">
        <v>253.25255000000001</v>
      </c>
      <c r="AQ856" s="556">
        <v>114138.39175950001</v>
      </c>
      <c r="AR856" s="556">
        <v>1.7733000000000001</v>
      </c>
    </row>
    <row r="857" spans="39:44">
      <c r="AM857" s="555">
        <v>45066</v>
      </c>
      <c r="AN857" s="556">
        <v>453.15</v>
      </c>
      <c r="AO857" s="556">
        <v>851078</v>
      </c>
      <c r="AP857" s="556">
        <v>253.25255000000001</v>
      </c>
      <c r="AQ857" s="556">
        <v>114761.3930325</v>
      </c>
      <c r="AR857" s="556">
        <v>1.7829999999999999</v>
      </c>
    </row>
    <row r="858" spans="39:44">
      <c r="AM858" s="555">
        <v>45065</v>
      </c>
      <c r="AN858" s="556">
        <v>452.04</v>
      </c>
      <c r="AO858" s="556">
        <v>623917</v>
      </c>
      <c r="AP858" s="556">
        <v>253.25255000000001</v>
      </c>
      <c r="AQ858" s="556">
        <v>114480.28270200001</v>
      </c>
      <c r="AR858" s="556">
        <v>1.7786</v>
      </c>
    </row>
    <row r="859" spans="39:44">
      <c r="AM859" s="555">
        <v>45064</v>
      </c>
      <c r="AN859" s="556">
        <v>450.96</v>
      </c>
      <c r="AO859" s="556">
        <v>808318</v>
      </c>
      <c r="AP859" s="556">
        <v>253.25255000000001</v>
      </c>
      <c r="AQ859" s="556">
        <v>114206.769948</v>
      </c>
      <c r="AR859" s="556">
        <v>1.7743</v>
      </c>
    </row>
    <row r="860" spans="39:44">
      <c r="AM860" s="555">
        <v>45063</v>
      </c>
      <c r="AN860" s="556">
        <v>455.54</v>
      </c>
      <c r="AO860" s="556">
        <v>930634</v>
      </c>
      <c r="AP860" s="556">
        <v>253.25255000000001</v>
      </c>
      <c r="AQ860" s="556">
        <v>115366.66662700001</v>
      </c>
      <c r="AR860" s="556">
        <v>1.7924</v>
      </c>
    </row>
    <row r="861" spans="39:44">
      <c r="AM861" s="555">
        <v>45062</v>
      </c>
      <c r="AN861" s="556">
        <v>455.54</v>
      </c>
      <c r="AO861" s="556">
        <v>930634</v>
      </c>
      <c r="AP861" s="556">
        <v>253.25255000000001</v>
      </c>
      <c r="AQ861" s="556">
        <v>115366.66662700001</v>
      </c>
      <c r="AR861" s="556">
        <v>1.7924</v>
      </c>
    </row>
    <row r="862" spans="39:44">
      <c r="AM862" s="555">
        <v>45061</v>
      </c>
      <c r="AN862" s="556">
        <v>455.54</v>
      </c>
      <c r="AO862" s="556">
        <v>930634</v>
      </c>
      <c r="AP862" s="556">
        <v>253.25255000000001</v>
      </c>
      <c r="AQ862" s="556">
        <v>115366.66662700001</v>
      </c>
      <c r="AR862" s="556">
        <v>1.7924</v>
      </c>
    </row>
    <row r="863" spans="39:44">
      <c r="AM863" s="555">
        <v>45060</v>
      </c>
      <c r="AN863" s="556">
        <v>451.93</v>
      </c>
      <c r="AO863" s="556">
        <v>962887</v>
      </c>
      <c r="AP863" s="556">
        <v>253.25255000000001</v>
      </c>
      <c r="AQ863" s="556">
        <v>114452.4249215</v>
      </c>
      <c r="AR863" s="556">
        <v>1.7782</v>
      </c>
    </row>
    <row r="864" spans="39:44">
      <c r="AM864" s="555">
        <v>45059</v>
      </c>
      <c r="AN864" s="556">
        <v>453.07</v>
      </c>
      <c r="AO864" s="556">
        <v>1116729</v>
      </c>
      <c r="AP864" s="556">
        <v>253.25255000000001</v>
      </c>
      <c r="AQ864" s="556">
        <v>114741.13282850001</v>
      </c>
      <c r="AR864" s="556">
        <v>1.7826</v>
      </c>
    </row>
    <row r="865" spans="39:44">
      <c r="AM865" s="555">
        <v>45058</v>
      </c>
      <c r="AN865" s="556">
        <v>458.89</v>
      </c>
      <c r="AO865" s="556">
        <v>1105493</v>
      </c>
      <c r="AP865" s="556">
        <v>253.25255000000001</v>
      </c>
      <c r="AQ865" s="556">
        <v>116215.0626695</v>
      </c>
      <c r="AR865" s="556">
        <v>1.8055000000000001</v>
      </c>
    </row>
    <row r="866" spans="39:44">
      <c r="AM866" s="555">
        <v>45057</v>
      </c>
      <c r="AN866" s="556">
        <v>469.43</v>
      </c>
      <c r="AO866" s="556">
        <v>1524523</v>
      </c>
      <c r="AP866" s="556">
        <v>253.25255000000001</v>
      </c>
      <c r="AQ866" s="556">
        <v>118884.34454650001</v>
      </c>
      <c r="AR866" s="556">
        <v>1.847</v>
      </c>
    </row>
    <row r="867" spans="39:44">
      <c r="AM867" s="555">
        <v>45056</v>
      </c>
      <c r="AN867" s="556">
        <v>464.45</v>
      </c>
      <c r="AO867" s="556">
        <v>1040270</v>
      </c>
      <c r="AP867" s="556">
        <v>253.25255000000001</v>
      </c>
      <c r="AQ867" s="556">
        <v>117623.1468475</v>
      </c>
      <c r="AR867" s="556">
        <v>1.8273999999999999</v>
      </c>
    </row>
    <row r="868" spans="39:44">
      <c r="AM868" s="555">
        <v>45055</v>
      </c>
      <c r="AN868" s="556">
        <v>464.45</v>
      </c>
      <c r="AO868" s="556">
        <v>1040270</v>
      </c>
      <c r="AP868" s="556">
        <v>253.25255000000001</v>
      </c>
      <c r="AQ868" s="556">
        <v>117623.1468475</v>
      </c>
      <c r="AR868" s="556">
        <v>1.8273999999999999</v>
      </c>
    </row>
    <row r="869" spans="39:44">
      <c r="AM869" s="555">
        <v>45054</v>
      </c>
      <c r="AN869" s="556">
        <v>464.45</v>
      </c>
      <c r="AO869" s="556">
        <v>1040270</v>
      </c>
      <c r="AP869" s="556">
        <v>253.25255000000001</v>
      </c>
      <c r="AQ869" s="556">
        <v>117623.1468475</v>
      </c>
      <c r="AR869" s="556">
        <v>1.8273999999999999</v>
      </c>
    </row>
    <row r="870" spans="39:44">
      <c r="AM870" s="555">
        <v>45053</v>
      </c>
      <c r="AN870" s="556">
        <v>465</v>
      </c>
      <c r="AO870" s="556">
        <v>1491502</v>
      </c>
      <c r="AP870" s="556">
        <v>253.25255000000001</v>
      </c>
      <c r="AQ870" s="556">
        <v>117762.43575</v>
      </c>
      <c r="AR870" s="556">
        <v>1.8295999999999999</v>
      </c>
    </row>
    <row r="871" spans="39:44">
      <c r="AM871" s="555">
        <v>45052</v>
      </c>
      <c r="AN871" s="556">
        <v>461.62</v>
      </c>
      <c r="AO871" s="556">
        <v>1571857</v>
      </c>
      <c r="AP871" s="556">
        <v>253.25255000000001</v>
      </c>
      <c r="AQ871" s="556">
        <v>116906.442131</v>
      </c>
      <c r="AR871" s="556">
        <v>1.8163</v>
      </c>
    </row>
    <row r="872" spans="39:44">
      <c r="AM872" s="555">
        <v>45051</v>
      </c>
      <c r="AN872" s="556">
        <v>475.58</v>
      </c>
      <c r="AO872" s="556">
        <v>839245</v>
      </c>
      <c r="AP872" s="556">
        <v>253.25255000000001</v>
      </c>
      <c r="AQ872" s="556">
        <v>120441.847729</v>
      </c>
      <c r="AR872" s="556">
        <v>1.8712</v>
      </c>
    </row>
    <row r="873" spans="39:44">
      <c r="AM873" s="555">
        <v>45050</v>
      </c>
      <c r="AN873" s="556">
        <v>480.92</v>
      </c>
      <c r="AO873" s="556">
        <v>955282</v>
      </c>
      <c r="AP873" s="556">
        <v>253.25255000000001</v>
      </c>
      <c r="AQ873" s="556">
        <v>121794.21634600002</v>
      </c>
      <c r="AR873" s="556">
        <v>1.8922000000000001</v>
      </c>
    </row>
    <row r="874" spans="39:44">
      <c r="AM874" s="555">
        <v>45049</v>
      </c>
      <c r="AN874" s="556">
        <v>482.55</v>
      </c>
      <c r="AO874" s="556">
        <v>1382714</v>
      </c>
      <c r="AP874" s="556">
        <v>253.25255000000001</v>
      </c>
      <c r="AQ874" s="556">
        <v>122207.01800250002</v>
      </c>
      <c r="AR874" s="556">
        <v>1.8986000000000001</v>
      </c>
    </row>
    <row r="875" spans="39:44">
      <c r="AM875" s="555">
        <v>45048</v>
      </c>
      <c r="AN875" s="556">
        <v>482.55</v>
      </c>
      <c r="AO875" s="556">
        <v>1382714</v>
      </c>
      <c r="AP875" s="556">
        <v>253.25255000000001</v>
      </c>
      <c r="AQ875" s="556">
        <v>122207.01800250002</v>
      </c>
      <c r="AR875" s="556">
        <v>1.8986000000000001</v>
      </c>
    </row>
    <row r="876" spans="39:44">
      <c r="AM876" s="555">
        <v>45047</v>
      </c>
      <c r="AN876" s="556">
        <v>482.55</v>
      </c>
      <c r="AO876" s="556">
        <v>1382714</v>
      </c>
      <c r="AP876" s="556">
        <v>253.25255000000001</v>
      </c>
      <c r="AQ876" s="556">
        <v>122207.01800250002</v>
      </c>
      <c r="AR876" s="556">
        <v>1.8986000000000001</v>
      </c>
    </row>
    <row r="877" spans="39:44">
      <c r="AM877" s="555">
        <v>45046</v>
      </c>
      <c r="AN877" s="556">
        <v>490.6</v>
      </c>
      <c r="AO877" s="556">
        <v>839984</v>
      </c>
      <c r="AP877" s="556">
        <v>253.25255000000001</v>
      </c>
      <c r="AQ877" s="556">
        <v>124245.70103000001</v>
      </c>
      <c r="AR877" s="556">
        <v>1.9302999999999999</v>
      </c>
    </row>
    <row r="878" spans="39:44">
      <c r="AM878" s="555">
        <v>45045</v>
      </c>
      <c r="AN878" s="556">
        <v>495.16</v>
      </c>
      <c r="AO878" s="556">
        <v>962227</v>
      </c>
      <c r="AP878" s="556">
        <v>253.25255000000001</v>
      </c>
      <c r="AQ878" s="556">
        <v>125400.53265800001</v>
      </c>
      <c r="AR878" s="556">
        <v>1.9482999999999999</v>
      </c>
    </row>
    <row r="879" spans="39:44">
      <c r="AM879" s="555">
        <v>45044</v>
      </c>
      <c r="AN879" s="556">
        <v>501.41</v>
      </c>
      <c r="AO879" s="556">
        <v>2561788</v>
      </c>
      <c r="AP879" s="556">
        <v>253.25255000000001</v>
      </c>
      <c r="AQ879" s="556">
        <v>126983.36109550002</v>
      </c>
      <c r="AR879" s="556">
        <v>1.9728000000000001</v>
      </c>
    </row>
    <row r="880" spans="39:44">
      <c r="AM880" s="555">
        <v>45043</v>
      </c>
      <c r="AN880" s="556">
        <v>489.64</v>
      </c>
      <c r="AO880" s="556">
        <v>1287772</v>
      </c>
      <c r="AP880" s="556">
        <v>254.51893999999999</v>
      </c>
      <c r="AQ880" s="556">
        <v>124622.65378159999</v>
      </c>
      <c r="AR880" s="556">
        <v>1.9265000000000001</v>
      </c>
    </row>
    <row r="881" spans="39:44">
      <c r="AM881" s="555">
        <v>45042</v>
      </c>
      <c r="AN881" s="556">
        <v>487.99</v>
      </c>
      <c r="AO881" s="556">
        <v>843217</v>
      </c>
      <c r="AP881" s="556">
        <v>254.51893999999999</v>
      </c>
      <c r="AQ881" s="556">
        <v>124202.69753059999</v>
      </c>
      <c r="AR881" s="556">
        <v>1.92</v>
      </c>
    </row>
    <row r="882" spans="39:44">
      <c r="AM882" s="555">
        <v>45041</v>
      </c>
      <c r="AN882" s="556">
        <v>487.99</v>
      </c>
      <c r="AO882" s="556">
        <v>843217</v>
      </c>
      <c r="AP882" s="556">
        <v>254.51893999999999</v>
      </c>
      <c r="AQ882" s="556">
        <v>124202.69753059999</v>
      </c>
      <c r="AR882" s="556">
        <v>1.92</v>
      </c>
    </row>
    <row r="883" spans="39:44">
      <c r="AM883" s="555">
        <v>45040</v>
      </c>
      <c r="AN883" s="556">
        <v>487.99</v>
      </c>
      <c r="AO883" s="556">
        <v>843217</v>
      </c>
      <c r="AP883" s="556">
        <v>254.51893999999999</v>
      </c>
      <c r="AQ883" s="556">
        <v>124202.69753059999</v>
      </c>
      <c r="AR883" s="556">
        <v>1.92</v>
      </c>
    </row>
    <row r="884" spans="39:44">
      <c r="AM884" s="555">
        <v>45039</v>
      </c>
      <c r="AN884" s="556">
        <v>492.14</v>
      </c>
      <c r="AO884" s="556">
        <v>909542</v>
      </c>
      <c r="AP884" s="556">
        <v>254.51893999999999</v>
      </c>
      <c r="AQ884" s="556">
        <v>125258.95113159998</v>
      </c>
      <c r="AR884" s="556">
        <v>1.9363999999999999</v>
      </c>
    </row>
    <row r="885" spans="39:44">
      <c r="AM885" s="555">
        <v>45038</v>
      </c>
      <c r="AN885" s="556">
        <v>488.1</v>
      </c>
      <c r="AO885" s="556">
        <v>1105640</v>
      </c>
      <c r="AP885" s="556">
        <v>254.51893999999999</v>
      </c>
      <c r="AQ885" s="556">
        <v>124230.69461399999</v>
      </c>
      <c r="AR885" s="556">
        <v>1.9205000000000001</v>
      </c>
    </row>
    <row r="886" spans="39:44">
      <c r="AM886" s="555">
        <v>45037</v>
      </c>
      <c r="AN886" s="556">
        <v>487.84</v>
      </c>
      <c r="AO886" s="556">
        <v>1224239</v>
      </c>
      <c r="AP886" s="556">
        <v>254.51893999999999</v>
      </c>
      <c r="AQ886" s="556">
        <v>124164.51968959998</v>
      </c>
      <c r="AR886" s="556">
        <v>1.9195</v>
      </c>
    </row>
    <row r="887" spans="39:44">
      <c r="AM887" s="555">
        <v>45036</v>
      </c>
      <c r="AN887" s="556">
        <v>496.75</v>
      </c>
      <c r="AO887" s="556">
        <v>1024500</v>
      </c>
      <c r="AP887" s="556">
        <v>254.51893999999999</v>
      </c>
      <c r="AQ887" s="556">
        <v>126432.28344499999</v>
      </c>
      <c r="AR887" s="556">
        <v>1.9544999999999999</v>
      </c>
    </row>
    <row r="888" spans="39:44">
      <c r="AM888" s="555">
        <v>45035</v>
      </c>
      <c r="AN888" s="556">
        <v>490.17</v>
      </c>
      <c r="AO888" s="556">
        <v>1093500</v>
      </c>
      <c r="AP888" s="556">
        <v>254.51893999999999</v>
      </c>
      <c r="AQ888" s="556">
        <v>124757.54881979999</v>
      </c>
      <c r="AR888" s="556">
        <v>1.9286000000000001</v>
      </c>
    </row>
    <row r="889" spans="39:44">
      <c r="AM889" s="555">
        <v>45034</v>
      </c>
      <c r="AN889" s="556">
        <v>490.17</v>
      </c>
      <c r="AO889" s="556">
        <v>1093500</v>
      </c>
      <c r="AP889" s="556">
        <v>254.51893999999999</v>
      </c>
      <c r="AQ889" s="556">
        <v>124757.54881979999</v>
      </c>
      <c r="AR889" s="556">
        <v>1.9286000000000001</v>
      </c>
    </row>
    <row r="890" spans="39:44">
      <c r="AM890" s="555">
        <v>45033</v>
      </c>
      <c r="AN890" s="556">
        <v>490.17</v>
      </c>
      <c r="AO890" s="556">
        <v>1093500</v>
      </c>
      <c r="AP890" s="556">
        <v>254.51893999999999</v>
      </c>
      <c r="AQ890" s="556">
        <v>124757.54881979999</v>
      </c>
      <c r="AR890" s="556">
        <v>1.9286000000000001</v>
      </c>
    </row>
    <row r="891" spans="39:44">
      <c r="AM891" s="555">
        <v>45032</v>
      </c>
      <c r="AN891" s="556">
        <v>490.17</v>
      </c>
      <c r="AO891" s="556">
        <v>1093500</v>
      </c>
      <c r="AP891" s="556">
        <v>254.51893999999999</v>
      </c>
      <c r="AQ891" s="556">
        <v>124757.54881979999</v>
      </c>
      <c r="AR891" s="556">
        <v>1.9286000000000001</v>
      </c>
    </row>
    <row r="892" spans="39:44">
      <c r="AM892" s="555">
        <v>45031</v>
      </c>
      <c r="AN892" s="556">
        <v>489.99</v>
      </c>
      <c r="AO892" s="556">
        <v>1305943</v>
      </c>
      <c r="AP892" s="556">
        <v>254.51893999999999</v>
      </c>
      <c r="AQ892" s="556">
        <v>124711.7354106</v>
      </c>
      <c r="AR892" s="556">
        <v>1.9278999999999999</v>
      </c>
    </row>
    <row r="893" spans="39:44">
      <c r="AM893" s="555">
        <v>45030</v>
      </c>
      <c r="AN893" s="556">
        <v>488.54</v>
      </c>
      <c r="AO893" s="556">
        <v>1081320</v>
      </c>
      <c r="AP893" s="556">
        <v>254.51893999999999</v>
      </c>
      <c r="AQ893" s="556">
        <v>124342.6829476</v>
      </c>
      <c r="AR893" s="556">
        <v>1.9221999999999999</v>
      </c>
    </row>
    <row r="894" spans="39:44">
      <c r="AM894" s="555">
        <v>45029</v>
      </c>
      <c r="AN894" s="556">
        <v>486.62</v>
      </c>
      <c r="AO894" s="556">
        <v>1656866</v>
      </c>
      <c r="AP894" s="556">
        <v>254.51893999999999</v>
      </c>
      <c r="AQ894" s="556">
        <v>123854.00658279999</v>
      </c>
      <c r="AR894" s="556">
        <v>1.9147000000000001</v>
      </c>
    </row>
    <row r="895" spans="39:44">
      <c r="AM895" s="555">
        <v>45028</v>
      </c>
      <c r="AN895" s="556">
        <v>472.73</v>
      </c>
      <c r="AO895" s="556">
        <v>1409664</v>
      </c>
      <c r="AP895" s="556">
        <v>254.51893999999999</v>
      </c>
      <c r="AQ895" s="556">
        <v>120318.7385062</v>
      </c>
      <c r="AR895" s="556">
        <v>1.86</v>
      </c>
    </row>
    <row r="896" spans="39:44">
      <c r="AM896" s="555">
        <v>45027</v>
      </c>
      <c r="AN896" s="556">
        <v>472.73</v>
      </c>
      <c r="AO896" s="556">
        <v>1409664</v>
      </c>
      <c r="AP896" s="556">
        <v>254.51893999999999</v>
      </c>
      <c r="AQ896" s="556">
        <v>120318.7385062</v>
      </c>
      <c r="AR896" s="556">
        <v>1.86</v>
      </c>
    </row>
    <row r="897" spans="39:44">
      <c r="AM897" s="555">
        <v>45026</v>
      </c>
      <c r="AN897" s="556">
        <v>472.73</v>
      </c>
      <c r="AO897" s="556">
        <v>1409664</v>
      </c>
      <c r="AP897" s="556">
        <v>254.51893999999999</v>
      </c>
      <c r="AQ897" s="556">
        <v>120318.7385062</v>
      </c>
      <c r="AR897" s="556">
        <v>1.86</v>
      </c>
    </row>
    <row r="898" spans="39:44">
      <c r="AM898" s="555">
        <v>45025</v>
      </c>
      <c r="AN898" s="556">
        <v>473.18</v>
      </c>
      <c r="AO898" s="556">
        <v>950392</v>
      </c>
      <c r="AP898" s="556">
        <v>254.51893999999999</v>
      </c>
      <c r="AQ898" s="556">
        <v>120433.2720292</v>
      </c>
      <c r="AR898" s="556">
        <v>1.8617999999999999</v>
      </c>
    </row>
    <row r="899" spans="39:44">
      <c r="AM899" s="555">
        <v>45024</v>
      </c>
      <c r="AN899" s="556">
        <v>474.19</v>
      </c>
      <c r="AO899" s="556">
        <v>1146490</v>
      </c>
      <c r="AP899" s="556">
        <v>254.51893999999999</v>
      </c>
      <c r="AQ899" s="556">
        <v>120690.3361586</v>
      </c>
      <c r="AR899" s="556">
        <v>1.8656999999999999</v>
      </c>
    </row>
    <row r="900" spans="39:44">
      <c r="AM900" s="555">
        <v>45023</v>
      </c>
      <c r="AN900" s="556">
        <v>471.44</v>
      </c>
      <c r="AO900" s="556">
        <v>1076126</v>
      </c>
      <c r="AP900" s="556">
        <v>254.51893999999999</v>
      </c>
      <c r="AQ900" s="556">
        <v>119990.40907359999</v>
      </c>
      <c r="AR900" s="556">
        <v>1.8549</v>
      </c>
    </row>
    <row r="901" spans="39:44">
      <c r="AM901" s="555">
        <v>45022</v>
      </c>
      <c r="AN901" s="556">
        <v>473.39</v>
      </c>
      <c r="AO901" s="556">
        <v>1273024</v>
      </c>
      <c r="AP901" s="556">
        <v>254.51893999999999</v>
      </c>
      <c r="AQ901" s="556">
        <v>120486.7210066</v>
      </c>
      <c r="AR901" s="556">
        <v>1.8626</v>
      </c>
    </row>
    <row r="902" spans="39:44">
      <c r="AM902" s="555">
        <v>45021</v>
      </c>
      <c r="AN902" s="556">
        <v>474.54</v>
      </c>
      <c r="AO902" s="556">
        <v>1126060</v>
      </c>
      <c r="AP902" s="556">
        <v>254.51893999999999</v>
      </c>
      <c r="AQ902" s="556">
        <v>120779.4177876</v>
      </c>
      <c r="AR902" s="556">
        <v>1.8940999999999999</v>
      </c>
    </row>
    <row r="903" spans="39:44">
      <c r="AM903" s="555">
        <v>45020</v>
      </c>
      <c r="AN903" s="556">
        <v>474.54</v>
      </c>
      <c r="AO903" s="556">
        <v>1126060</v>
      </c>
      <c r="AP903" s="556">
        <v>254.51893999999999</v>
      </c>
      <c r="AQ903" s="556">
        <v>120779.4177876</v>
      </c>
      <c r="AR903" s="556">
        <v>1.8940999999999999</v>
      </c>
    </row>
    <row r="904" spans="39:44">
      <c r="AM904" s="555">
        <v>45019</v>
      </c>
      <c r="AN904" s="556">
        <v>474.54</v>
      </c>
      <c r="AO904" s="556">
        <v>1126060</v>
      </c>
      <c r="AP904" s="556">
        <v>254.51893999999999</v>
      </c>
      <c r="AQ904" s="556">
        <v>120779.4177876</v>
      </c>
      <c r="AR904" s="556">
        <v>1.8940999999999999</v>
      </c>
    </row>
    <row r="905" spans="39:44">
      <c r="AM905" s="555">
        <v>45018</v>
      </c>
      <c r="AN905" s="556">
        <v>467.9</v>
      </c>
      <c r="AO905" s="556">
        <v>1168501</v>
      </c>
      <c r="AP905" s="556">
        <v>254.51893999999999</v>
      </c>
      <c r="AQ905" s="556">
        <v>119089.41202599999</v>
      </c>
      <c r="AR905" s="556">
        <v>1.8675999999999999</v>
      </c>
    </row>
    <row r="906" spans="39:44">
      <c r="AM906" s="555">
        <v>45017</v>
      </c>
      <c r="AN906" s="556">
        <v>468.9</v>
      </c>
      <c r="AO906" s="556">
        <v>1261876</v>
      </c>
      <c r="AP906" s="556">
        <v>254.51893999999999</v>
      </c>
      <c r="AQ906" s="556">
        <v>119343.93096599999</v>
      </c>
      <c r="AR906" s="556">
        <v>1.8714999999999999</v>
      </c>
    </row>
    <row r="907" spans="39:44">
      <c r="AM907" s="555">
        <v>45016</v>
      </c>
      <c r="AN907" s="556">
        <v>474.76</v>
      </c>
      <c r="AO907" s="556">
        <v>1069059</v>
      </c>
      <c r="AP907" s="556">
        <v>254.51893999999999</v>
      </c>
      <c r="AQ907" s="556">
        <v>120835.41195439998</v>
      </c>
      <c r="AR907" s="556">
        <v>1.8949</v>
      </c>
    </row>
    <row r="908" spans="39:44">
      <c r="AM908" s="555">
        <v>45015</v>
      </c>
      <c r="AN908" s="556">
        <v>475.7</v>
      </c>
      <c r="AO908" s="556">
        <v>1515475</v>
      </c>
      <c r="AP908" s="556">
        <v>254.51893999999999</v>
      </c>
      <c r="AQ908" s="556">
        <v>121074.65975799999</v>
      </c>
      <c r="AR908" s="556">
        <v>1.8987000000000001</v>
      </c>
    </row>
    <row r="909" spans="39:44">
      <c r="AM909" s="555">
        <v>45014</v>
      </c>
      <c r="AN909" s="556">
        <v>465.87</v>
      </c>
      <c r="AO909" s="556">
        <v>6525176</v>
      </c>
      <c r="AP909" s="556">
        <v>254.51893999999999</v>
      </c>
      <c r="AQ909" s="556">
        <v>118572.73857779999</v>
      </c>
      <c r="AR909" s="556">
        <v>1.8594999999999999</v>
      </c>
    </row>
    <row r="910" spans="39:44">
      <c r="AM910" s="555">
        <v>45013</v>
      </c>
      <c r="AN910" s="556">
        <v>465.87</v>
      </c>
      <c r="AO910" s="556">
        <v>6525176</v>
      </c>
      <c r="AP910" s="556">
        <v>254.51893999999999</v>
      </c>
      <c r="AQ910" s="556">
        <v>118572.73857779999</v>
      </c>
      <c r="AR910" s="556">
        <v>1.8594999999999999</v>
      </c>
    </row>
    <row r="911" spans="39:44">
      <c r="AM911" s="555">
        <v>45012</v>
      </c>
      <c r="AN911" s="556">
        <v>465.87</v>
      </c>
      <c r="AO911" s="556">
        <v>6525176</v>
      </c>
      <c r="AP911" s="556">
        <v>254.51893999999999</v>
      </c>
      <c r="AQ911" s="556">
        <v>118572.73857779999</v>
      </c>
      <c r="AR911" s="556">
        <v>1.8594999999999999</v>
      </c>
    </row>
    <row r="912" spans="39:44">
      <c r="AM912" s="555">
        <v>45011</v>
      </c>
      <c r="AN912" s="556">
        <v>473.24</v>
      </c>
      <c r="AO912" s="556">
        <v>1633150</v>
      </c>
      <c r="AP912" s="556">
        <v>254.51893999999999</v>
      </c>
      <c r="AQ912" s="556">
        <v>120448.5431656</v>
      </c>
      <c r="AR912" s="556">
        <v>1.8889</v>
      </c>
    </row>
    <row r="913" spans="39:44">
      <c r="AM913" s="555">
        <v>45010</v>
      </c>
      <c r="AN913" s="556">
        <v>473.31</v>
      </c>
      <c r="AO913" s="556">
        <v>2273507</v>
      </c>
      <c r="AP913" s="556">
        <v>254.51893999999999</v>
      </c>
      <c r="AQ913" s="556">
        <v>120466.3594914</v>
      </c>
      <c r="AR913" s="556">
        <v>1.8891</v>
      </c>
    </row>
    <row r="914" spans="39:44">
      <c r="AM914" s="555">
        <v>45009</v>
      </c>
      <c r="AN914" s="556">
        <v>478.87</v>
      </c>
      <c r="AO914" s="556">
        <v>1761423</v>
      </c>
      <c r="AP914" s="556">
        <v>254.51893999999999</v>
      </c>
      <c r="AQ914" s="556">
        <v>121881.48479779999</v>
      </c>
      <c r="AR914" s="556">
        <v>1.9113</v>
      </c>
    </row>
    <row r="915" spans="39:44">
      <c r="AM915" s="555">
        <v>45008</v>
      </c>
      <c r="AN915" s="556">
        <v>477.33</v>
      </c>
      <c r="AO915" s="556">
        <v>1701202</v>
      </c>
      <c r="AP915" s="556">
        <v>255.29730000000001</v>
      </c>
      <c r="AQ915" s="556">
        <v>121861.060209</v>
      </c>
      <c r="AR915" s="556">
        <v>1.9052</v>
      </c>
    </row>
    <row r="916" spans="39:44">
      <c r="AM916" s="555">
        <v>45007</v>
      </c>
      <c r="AN916" s="556">
        <v>475.5</v>
      </c>
      <c r="AO916" s="556">
        <v>1335057</v>
      </c>
      <c r="AP916" s="556">
        <v>255.29730000000001</v>
      </c>
      <c r="AQ916" s="556">
        <v>121393.86615</v>
      </c>
      <c r="AR916" s="556">
        <v>1.8978999999999999</v>
      </c>
    </row>
    <row r="917" spans="39:44">
      <c r="AM917" s="555">
        <v>45006</v>
      </c>
      <c r="AN917" s="556">
        <v>475.5</v>
      </c>
      <c r="AO917" s="556">
        <v>1335057</v>
      </c>
      <c r="AP917" s="556">
        <v>255.29730000000001</v>
      </c>
      <c r="AQ917" s="556">
        <v>121393.86615</v>
      </c>
      <c r="AR917" s="556">
        <v>1.8978999999999999</v>
      </c>
    </row>
    <row r="918" spans="39:44">
      <c r="AM918" s="555">
        <v>45005</v>
      </c>
      <c r="AN918" s="556">
        <v>475.5</v>
      </c>
      <c r="AO918" s="556">
        <v>1335057</v>
      </c>
      <c r="AP918" s="556">
        <v>255.29730000000001</v>
      </c>
      <c r="AQ918" s="556">
        <v>121393.86615</v>
      </c>
      <c r="AR918" s="556">
        <v>1.8978999999999999</v>
      </c>
    </row>
    <row r="919" spans="39:44">
      <c r="AM919" s="555">
        <v>45004</v>
      </c>
      <c r="AN919" s="556">
        <v>475.85</v>
      </c>
      <c r="AO919" s="556">
        <v>1035072</v>
      </c>
      <c r="AP919" s="556">
        <v>255.29730000000001</v>
      </c>
      <c r="AQ919" s="556">
        <v>121483.22020500001</v>
      </c>
      <c r="AR919" s="556">
        <v>1.8993</v>
      </c>
    </row>
    <row r="920" spans="39:44">
      <c r="AM920" s="555">
        <v>45003</v>
      </c>
      <c r="AN920" s="556">
        <v>479.5</v>
      </c>
      <c r="AO920" s="556">
        <v>1253138</v>
      </c>
      <c r="AP920" s="556">
        <v>255.29730000000001</v>
      </c>
      <c r="AQ920" s="556">
        <v>122415.05535000001</v>
      </c>
      <c r="AR920" s="556">
        <v>1.9138999999999999</v>
      </c>
    </row>
    <row r="921" spans="39:44">
      <c r="AM921" s="555">
        <v>45002</v>
      </c>
      <c r="AN921" s="556">
        <v>478.66</v>
      </c>
      <c r="AO921" s="556">
        <v>1137895</v>
      </c>
      <c r="AP921" s="556">
        <v>255.29730000000001</v>
      </c>
      <c r="AQ921" s="556">
        <v>122200.60561800002</v>
      </c>
      <c r="AR921" s="556">
        <v>1.9105000000000001</v>
      </c>
    </row>
    <row r="922" spans="39:44">
      <c r="AM922" s="555">
        <v>45001</v>
      </c>
      <c r="AN922" s="556">
        <v>480.17</v>
      </c>
      <c r="AO922" s="556">
        <v>905744</v>
      </c>
      <c r="AP922" s="556">
        <v>255.29730000000001</v>
      </c>
      <c r="AQ922" s="556">
        <v>122586.10454100001</v>
      </c>
      <c r="AR922" s="556">
        <v>1.9165000000000001</v>
      </c>
    </row>
    <row r="923" spans="39:44">
      <c r="AM923" s="555">
        <v>45000</v>
      </c>
      <c r="AN923" s="556">
        <v>477.89</v>
      </c>
      <c r="AO923" s="556">
        <v>1060540</v>
      </c>
      <c r="AP923" s="556">
        <v>255.29730000000001</v>
      </c>
      <c r="AQ923" s="556">
        <v>122004.02669699999</v>
      </c>
      <c r="AR923" s="556">
        <v>1.9074</v>
      </c>
    </row>
    <row r="924" spans="39:44">
      <c r="AM924" s="555">
        <v>44999</v>
      </c>
      <c r="AN924" s="556">
        <v>477.89</v>
      </c>
      <c r="AO924" s="556">
        <v>1060540</v>
      </c>
      <c r="AP924" s="556">
        <v>255.29730000000001</v>
      </c>
      <c r="AQ924" s="556">
        <v>122004.02669699999</v>
      </c>
      <c r="AR924" s="556">
        <v>1.9074</v>
      </c>
    </row>
    <row r="925" spans="39:44">
      <c r="AM925" s="555">
        <v>44998</v>
      </c>
      <c r="AN925" s="556">
        <v>477.89</v>
      </c>
      <c r="AO925" s="556">
        <v>1060540</v>
      </c>
      <c r="AP925" s="556">
        <v>255.29730000000001</v>
      </c>
      <c r="AQ925" s="556">
        <v>122004.02669699999</v>
      </c>
      <c r="AR925" s="556">
        <v>1.9074</v>
      </c>
    </row>
    <row r="926" spans="39:44">
      <c r="AM926" s="555">
        <v>44997</v>
      </c>
      <c r="AN926" s="556">
        <v>478.31</v>
      </c>
      <c r="AO926" s="556">
        <v>835810</v>
      </c>
      <c r="AP926" s="556">
        <v>255.29730000000001</v>
      </c>
      <c r="AQ926" s="556">
        <v>122111.251563</v>
      </c>
      <c r="AR926" s="556">
        <v>1.9091</v>
      </c>
    </row>
    <row r="927" spans="39:44">
      <c r="AM927" s="555">
        <v>44996</v>
      </c>
      <c r="AN927" s="556">
        <v>474.33</v>
      </c>
      <c r="AO927" s="556">
        <v>957722</v>
      </c>
      <c r="AP927" s="556">
        <v>255.29730000000001</v>
      </c>
      <c r="AQ927" s="556">
        <v>121095.168309</v>
      </c>
      <c r="AR927" s="556">
        <v>1.8932</v>
      </c>
    </row>
    <row r="928" spans="39:44">
      <c r="AM928" s="555">
        <v>44995</v>
      </c>
      <c r="AN928" s="556">
        <v>474.26</v>
      </c>
      <c r="AO928" s="556">
        <v>1155631</v>
      </c>
      <c r="AP928" s="556">
        <v>255.29730000000001</v>
      </c>
      <c r="AQ928" s="556">
        <v>121077.297498</v>
      </c>
      <c r="AR928" s="556">
        <v>1.8929</v>
      </c>
    </row>
    <row r="929" spans="39:44">
      <c r="AM929" s="555">
        <v>44994</v>
      </c>
      <c r="AN929" s="556">
        <v>479.49</v>
      </c>
      <c r="AO929" s="556">
        <v>1149228</v>
      </c>
      <c r="AP929" s="556">
        <v>255.29730000000001</v>
      </c>
      <c r="AQ929" s="556">
        <v>122412.50237700001</v>
      </c>
      <c r="AR929" s="556">
        <v>1.9137999999999999</v>
      </c>
    </row>
    <row r="930" spans="39:44">
      <c r="AM930" s="555">
        <v>44993</v>
      </c>
      <c r="AN930" s="556">
        <v>480.4</v>
      </c>
      <c r="AO930" s="556">
        <v>1009522</v>
      </c>
      <c r="AP930" s="556">
        <v>255.29730000000001</v>
      </c>
      <c r="AQ930" s="556">
        <v>122644.82291999999</v>
      </c>
      <c r="AR930" s="556">
        <v>1.9174</v>
      </c>
    </row>
    <row r="931" spans="39:44">
      <c r="AM931" s="555">
        <v>44992</v>
      </c>
      <c r="AN931" s="556">
        <v>480.4</v>
      </c>
      <c r="AO931" s="556">
        <v>1009522</v>
      </c>
      <c r="AP931" s="556">
        <v>255.29730000000001</v>
      </c>
      <c r="AQ931" s="556">
        <v>122644.82291999999</v>
      </c>
      <c r="AR931" s="556">
        <v>1.9174</v>
      </c>
    </row>
    <row r="932" spans="39:44">
      <c r="AM932" s="555">
        <v>44991</v>
      </c>
      <c r="AN932" s="556">
        <v>480.4</v>
      </c>
      <c r="AO932" s="556">
        <v>1009522</v>
      </c>
      <c r="AP932" s="556">
        <v>255.29730000000001</v>
      </c>
      <c r="AQ932" s="556">
        <v>122644.82291999999</v>
      </c>
      <c r="AR932" s="556">
        <v>1.9174</v>
      </c>
    </row>
    <row r="933" spans="39:44">
      <c r="AM933" s="555">
        <v>44990</v>
      </c>
      <c r="AN933" s="556">
        <v>479.08</v>
      </c>
      <c r="AO933" s="556">
        <v>917415</v>
      </c>
      <c r="AP933" s="556">
        <v>255.29730000000001</v>
      </c>
      <c r="AQ933" s="556">
        <v>122307.83048400001</v>
      </c>
      <c r="AR933" s="556">
        <v>1.9121999999999999</v>
      </c>
    </row>
    <row r="934" spans="39:44">
      <c r="AM934" s="555">
        <v>44989</v>
      </c>
      <c r="AN934" s="556">
        <v>479.53</v>
      </c>
      <c r="AO934" s="556">
        <v>900548</v>
      </c>
      <c r="AP934" s="556">
        <v>255.29730000000001</v>
      </c>
      <c r="AQ934" s="556">
        <v>122422.71426899999</v>
      </c>
      <c r="AR934" s="556">
        <v>1.9139999999999999</v>
      </c>
    </row>
    <row r="935" spans="39:44">
      <c r="AM935" s="555">
        <v>44988</v>
      </c>
      <c r="AN935" s="556">
        <v>479.19</v>
      </c>
      <c r="AO935" s="556">
        <v>1379425</v>
      </c>
      <c r="AP935" s="556">
        <v>255.29730000000001</v>
      </c>
      <c r="AQ935" s="556">
        <v>122335.913187</v>
      </c>
      <c r="AR935" s="556">
        <v>1.9126000000000001</v>
      </c>
    </row>
    <row r="936" spans="39:44">
      <c r="AM936" s="555">
        <v>44987</v>
      </c>
      <c r="AN936" s="556">
        <v>475.63</v>
      </c>
      <c r="AO936" s="556">
        <v>1184204</v>
      </c>
      <c r="AP936" s="556">
        <v>255.29730000000001</v>
      </c>
      <c r="AQ936" s="556">
        <v>121427.05479900001</v>
      </c>
      <c r="AR936" s="556">
        <v>1.8984000000000001</v>
      </c>
    </row>
    <row r="937" spans="39:44">
      <c r="AM937" s="555">
        <v>44986</v>
      </c>
      <c r="AN937" s="556">
        <v>475.63</v>
      </c>
      <c r="AO937" s="556">
        <v>1184204</v>
      </c>
      <c r="AP937" s="556">
        <v>255.29730000000001</v>
      </c>
      <c r="AQ937" s="556">
        <v>121427.05479900001</v>
      </c>
      <c r="AR937" s="556">
        <v>1.8984000000000001</v>
      </c>
    </row>
    <row r="938" spans="39:44">
      <c r="AM938" s="555">
        <v>44985</v>
      </c>
      <c r="AN938" s="556">
        <v>475.63</v>
      </c>
      <c r="AO938" s="556">
        <v>1184204</v>
      </c>
      <c r="AP938" s="556">
        <v>255.29730000000001</v>
      </c>
      <c r="AQ938" s="556">
        <v>121427.05479900001</v>
      </c>
      <c r="AR938" s="556">
        <v>1.8984000000000001</v>
      </c>
    </row>
    <row r="939" spans="39:44">
      <c r="AM939" s="555">
        <v>44984</v>
      </c>
      <c r="AN939" s="556">
        <v>475.63</v>
      </c>
      <c r="AO939" s="556">
        <v>1184204</v>
      </c>
      <c r="AP939" s="556">
        <v>255.29730000000001</v>
      </c>
      <c r="AQ939" s="556">
        <v>121427.05479900001</v>
      </c>
      <c r="AR939" s="556">
        <v>1.8984000000000001</v>
      </c>
    </row>
    <row r="940" spans="39:44">
      <c r="AM940" s="555">
        <v>44983</v>
      </c>
      <c r="AN940" s="556">
        <v>471.25</v>
      </c>
      <c r="AO940" s="556">
        <v>1939493</v>
      </c>
      <c r="AP940" s="556">
        <v>255.29730000000001</v>
      </c>
      <c r="AQ940" s="556">
        <v>120308.852625</v>
      </c>
      <c r="AR940" s="556">
        <v>1.8809</v>
      </c>
    </row>
    <row r="941" spans="39:44">
      <c r="AM941" s="555">
        <v>44982</v>
      </c>
      <c r="AN941" s="556">
        <v>480.51</v>
      </c>
      <c r="AO941" s="556">
        <v>927174</v>
      </c>
      <c r="AP941" s="556">
        <v>255.29730000000001</v>
      </c>
      <c r="AQ941" s="556">
        <v>122672.905623</v>
      </c>
      <c r="AR941" s="556">
        <v>1.9178999999999999</v>
      </c>
    </row>
    <row r="942" spans="39:44">
      <c r="AM942" s="555">
        <v>44981</v>
      </c>
      <c r="AN942" s="556">
        <v>481.58</v>
      </c>
      <c r="AO942" s="556">
        <v>875679</v>
      </c>
      <c r="AP942" s="556">
        <v>255.29730000000001</v>
      </c>
      <c r="AQ942" s="556">
        <v>122946.07373400001</v>
      </c>
      <c r="AR942" s="556">
        <v>1.9221999999999999</v>
      </c>
    </row>
    <row r="943" spans="39:44">
      <c r="AM943" s="555">
        <v>44980</v>
      </c>
      <c r="AN943" s="556">
        <v>481.97</v>
      </c>
      <c r="AO943" s="556">
        <v>1203050</v>
      </c>
      <c r="AP943" s="556">
        <v>255.29730000000001</v>
      </c>
      <c r="AQ943" s="556">
        <v>123045.63968100002</v>
      </c>
      <c r="AR943" s="556">
        <v>1.9237</v>
      </c>
    </row>
    <row r="944" spans="39:44">
      <c r="AM944" s="555">
        <v>44979</v>
      </c>
      <c r="AN944" s="556">
        <v>480.83</v>
      </c>
      <c r="AO944" s="556">
        <v>1436296</v>
      </c>
      <c r="AP944" s="556">
        <v>255.29730000000001</v>
      </c>
      <c r="AQ944" s="556">
        <v>122754.60075899999</v>
      </c>
      <c r="AR944" s="556">
        <v>1.9192</v>
      </c>
    </row>
    <row r="945" spans="39:44">
      <c r="AM945" s="555">
        <v>44978</v>
      </c>
      <c r="AN945" s="556">
        <v>480.83</v>
      </c>
      <c r="AO945" s="556">
        <v>1436296</v>
      </c>
      <c r="AP945" s="556">
        <v>255.29730000000001</v>
      </c>
      <c r="AQ945" s="556">
        <v>122754.60075899999</v>
      </c>
      <c r="AR945" s="556">
        <v>1.9192</v>
      </c>
    </row>
    <row r="946" spans="39:44">
      <c r="AM946" s="555">
        <v>44977</v>
      </c>
      <c r="AN946" s="556">
        <v>480.83</v>
      </c>
      <c r="AO946" s="556">
        <v>1436296</v>
      </c>
      <c r="AP946" s="556">
        <v>255.29730000000001</v>
      </c>
      <c r="AQ946" s="556">
        <v>122754.60075899999</v>
      </c>
      <c r="AR946" s="556">
        <v>1.9192</v>
      </c>
    </row>
    <row r="947" spans="39:44">
      <c r="AM947" s="555">
        <v>44976</v>
      </c>
      <c r="AN947" s="556">
        <v>470.09</v>
      </c>
      <c r="AO947" s="556">
        <v>799047</v>
      </c>
      <c r="AP947" s="556">
        <v>255.29730000000001</v>
      </c>
      <c r="AQ947" s="556">
        <v>120012.707757</v>
      </c>
      <c r="AR947" s="556">
        <v>1.8763000000000001</v>
      </c>
    </row>
    <row r="948" spans="39:44">
      <c r="AM948" s="555">
        <v>44975</v>
      </c>
      <c r="AN948" s="556">
        <v>469.65</v>
      </c>
      <c r="AO948" s="556">
        <v>865028</v>
      </c>
      <c r="AP948" s="556">
        <v>255.29730000000001</v>
      </c>
      <c r="AQ948" s="556">
        <v>119900.376945</v>
      </c>
      <c r="AR948" s="556">
        <v>1.8745000000000001</v>
      </c>
    </row>
    <row r="949" spans="39:44">
      <c r="AM949" s="555">
        <v>44974</v>
      </c>
      <c r="AN949" s="556">
        <v>468.33</v>
      </c>
      <c r="AO949" s="556">
        <v>1334786</v>
      </c>
      <c r="AP949" s="556">
        <v>255.29730000000001</v>
      </c>
      <c r="AQ949" s="556">
        <v>119563.384509</v>
      </c>
      <c r="AR949" s="556">
        <v>1.8693</v>
      </c>
    </row>
    <row r="950" spans="39:44">
      <c r="AM950" s="555">
        <v>44973</v>
      </c>
      <c r="AN950" s="556">
        <v>469.1</v>
      </c>
      <c r="AO950" s="556">
        <v>1393473</v>
      </c>
      <c r="AP950" s="556">
        <v>255.29730000000001</v>
      </c>
      <c r="AQ950" s="556">
        <v>119759.96343</v>
      </c>
      <c r="AR950" s="556">
        <v>1.8723000000000001</v>
      </c>
    </row>
    <row r="951" spans="39:44">
      <c r="AM951" s="555">
        <v>44972</v>
      </c>
      <c r="AN951" s="556">
        <v>459.08</v>
      </c>
      <c r="AO951" s="556">
        <v>1303069</v>
      </c>
      <c r="AP951" s="556">
        <v>255.29730000000001</v>
      </c>
      <c r="AQ951" s="556">
        <v>117201.88448399999</v>
      </c>
      <c r="AR951" s="556">
        <v>1.8324</v>
      </c>
    </row>
    <row r="952" spans="39:44">
      <c r="AM952" s="555">
        <v>44971</v>
      </c>
      <c r="AN952" s="556">
        <v>459.08</v>
      </c>
      <c r="AO952" s="556">
        <v>1303069</v>
      </c>
      <c r="AP952" s="556">
        <v>255.29730000000001</v>
      </c>
      <c r="AQ952" s="556">
        <v>117201.88448399999</v>
      </c>
      <c r="AR952" s="556">
        <v>1.8324</v>
      </c>
    </row>
    <row r="953" spans="39:44">
      <c r="AM953" s="555">
        <v>44970</v>
      </c>
      <c r="AN953" s="556">
        <v>459.08</v>
      </c>
      <c r="AO953" s="556">
        <v>1303069</v>
      </c>
      <c r="AP953" s="556">
        <v>255.29730000000001</v>
      </c>
      <c r="AQ953" s="556">
        <v>117201.88448399999</v>
      </c>
      <c r="AR953" s="556">
        <v>1.8324</v>
      </c>
    </row>
    <row r="954" spans="39:44">
      <c r="AM954" s="555">
        <v>44969</v>
      </c>
      <c r="AN954" s="556">
        <v>457.19</v>
      </c>
      <c r="AO954" s="556">
        <v>2104724</v>
      </c>
      <c r="AP954" s="556">
        <v>255.29730000000001</v>
      </c>
      <c r="AQ954" s="556">
        <v>116719.37258700001</v>
      </c>
      <c r="AR954" s="556">
        <v>1.8248</v>
      </c>
    </row>
    <row r="955" spans="39:44">
      <c r="AM955" s="555">
        <v>44968</v>
      </c>
      <c r="AN955" s="556">
        <v>462.25</v>
      </c>
      <c r="AO955" s="556">
        <v>1242598</v>
      </c>
      <c r="AP955" s="556">
        <v>255.29730000000001</v>
      </c>
      <c r="AQ955" s="556">
        <v>118011.17692500001</v>
      </c>
      <c r="AR955" s="556">
        <v>1.845</v>
      </c>
    </row>
    <row r="956" spans="39:44">
      <c r="AM956" s="555">
        <v>44967</v>
      </c>
      <c r="AN956" s="556">
        <v>463.26</v>
      </c>
      <c r="AO956" s="556">
        <v>2062014</v>
      </c>
      <c r="AP956" s="556">
        <v>255.29730000000001</v>
      </c>
      <c r="AQ956" s="556">
        <v>118269.027198</v>
      </c>
      <c r="AR956" s="556">
        <v>1.849</v>
      </c>
    </row>
    <row r="957" spans="39:44">
      <c r="AM957" s="555">
        <v>44966</v>
      </c>
      <c r="AN957" s="556">
        <v>460.59</v>
      </c>
      <c r="AO957" s="556">
        <v>1641993</v>
      </c>
      <c r="AP957" s="556">
        <v>255.29730000000001</v>
      </c>
      <c r="AQ957" s="556">
        <v>117587.383407</v>
      </c>
      <c r="AR957" s="556">
        <v>1.8384</v>
      </c>
    </row>
    <row r="958" spans="39:44">
      <c r="AM958" s="555">
        <v>44965</v>
      </c>
      <c r="AN958" s="556">
        <v>459.6</v>
      </c>
      <c r="AO958" s="556">
        <v>1587800</v>
      </c>
      <c r="AP958" s="556">
        <v>255.29730000000001</v>
      </c>
      <c r="AQ958" s="556">
        <v>117334.63908000001</v>
      </c>
      <c r="AR958" s="556">
        <v>1.8344</v>
      </c>
    </row>
    <row r="959" spans="39:44">
      <c r="AM959" s="555">
        <v>44964</v>
      </c>
      <c r="AN959" s="556">
        <v>459.6</v>
      </c>
      <c r="AO959" s="556">
        <v>1587800</v>
      </c>
      <c r="AP959" s="556">
        <v>255.29730000000001</v>
      </c>
      <c r="AQ959" s="556">
        <v>117334.63908000001</v>
      </c>
      <c r="AR959" s="556">
        <v>1.8344</v>
      </c>
    </row>
    <row r="960" spans="39:44">
      <c r="AM960" s="555">
        <v>44963</v>
      </c>
      <c r="AN960" s="556">
        <v>459.6</v>
      </c>
      <c r="AO960" s="556">
        <v>1587800</v>
      </c>
      <c r="AP960" s="556">
        <v>255.29730000000001</v>
      </c>
      <c r="AQ960" s="556">
        <v>117334.63908000001</v>
      </c>
      <c r="AR960" s="556">
        <v>1.8344</v>
      </c>
    </row>
    <row r="961" spans="39:44">
      <c r="AM961" s="555">
        <v>44962</v>
      </c>
      <c r="AN961" s="556">
        <v>459.81</v>
      </c>
      <c r="AO961" s="556">
        <v>2169006</v>
      </c>
      <c r="AP961" s="556">
        <v>255.29730000000001</v>
      </c>
      <c r="AQ961" s="556">
        <v>117388.25151300001</v>
      </c>
      <c r="AR961" s="556">
        <v>1.8352999999999999</v>
      </c>
    </row>
    <row r="962" spans="39:44">
      <c r="AM962" s="555">
        <v>44961</v>
      </c>
      <c r="AN962" s="556">
        <v>454.16</v>
      </c>
      <c r="AO962" s="556">
        <v>2352520</v>
      </c>
      <c r="AP962" s="556">
        <v>262.07396</v>
      </c>
      <c r="AQ962" s="556">
        <v>119023.50967360001</v>
      </c>
      <c r="AR962" s="556">
        <v>1.8127</v>
      </c>
    </row>
    <row r="963" spans="39:44">
      <c r="AM963" s="555">
        <v>44960</v>
      </c>
      <c r="AN963" s="556">
        <v>449.23</v>
      </c>
      <c r="AO963" s="556">
        <v>2865003</v>
      </c>
      <c r="AP963" s="556">
        <v>262.07396</v>
      </c>
      <c r="AQ963" s="556">
        <v>117731.48505080001</v>
      </c>
      <c r="AR963" s="556">
        <v>1.7929999999999999</v>
      </c>
    </row>
    <row r="964" spans="39:44">
      <c r="AM964" s="555">
        <v>44959</v>
      </c>
      <c r="AN964" s="556">
        <v>441.28</v>
      </c>
      <c r="AO964" s="556">
        <v>1739634</v>
      </c>
      <c r="AP964" s="556">
        <v>262.07396</v>
      </c>
      <c r="AQ964" s="556">
        <v>115647.99706879999</v>
      </c>
      <c r="AR964" s="556">
        <v>1.7613000000000001</v>
      </c>
    </row>
    <row r="965" spans="39:44">
      <c r="AM965" s="555">
        <v>44958</v>
      </c>
      <c r="AN965" s="556">
        <v>443.28</v>
      </c>
      <c r="AO965" s="556">
        <v>1409967</v>
      </c>
      <c r="AP965" s="556">
        <v>262.07396</v>
      </c>
      <c r="AQ965" s="556">
        <v>116172.14498879999</v>
      </c>
      <c r="AR965" s="556">
        <v>1.7693000000000001</v>
      </c>
    </row>
    <row r="966" spans="39:44">
      <c r="AM966" s="555">
        <v>44957</v>
      </c>
      <c r="AN966" s="556">
        <v>443.28</v>
      </c>
      <c r="AO966" s="556">
        <v>1409967</v>
      </c>
      <c r="AP966" s="556">
        <v>262.07396</v>
      </c>
      <c r="AQ966" s="556">
        <v>116172.14498879999</v>
      </c>
      <c r="AR966" s="556">
        <v>1.7693000000000001</v>
      </c>
    </row>
    <row r="967" spans="39:44">
      <c r="AM967" s="555">
        <v>44956</v>
      </c>
      <c r="AN967" s="556">
        <v>443.28</v>
      </c>
      <c r="AO967" s="556">
        <v>1409967</v>
      </c>
      <c r="AP967" s="556">
        <v>262.07396</v>
      </c>
      <c r="AQ967" s="556">
        <v>116172.14498879999</v>
      </c>
      <c r="AR967" s="556">
        <v>1.7693000000000001</v>
      </c>
    </row>
    <row r="968" spans="39:44">
      <c r="AM968" s="555">
        <v>44955</v>
      </c>
      <c r="AN968" s="556">
        <v>439.31</v>
      </c>
      <c r="AO968" s="556">
        <v>1470078</v>
      </c>
      <c r="AP968" s="556">
        <v>262.07396</v>
      </c>
      <c r="AQ968" s="556">
        <v>115131.7113676</v>
      </c>
      <c r="AR968" s="556">
        <v>1.7534000000000001</v>
      </c>
    </row>
    <row r="969" spans="39:44">
      <c r="AM969" s="555">
        <v>44954</v>
      </c>
      <c r="AN969" s="556">
        <v>441.27</v>
      </c>
      <c r="AO969" s="556">
        <v>1645124</v>
      </c>
      <c r="AP969" s="556">
        <v>262.07396</v>
      </c>
      <c r="AQ969" s="556">
        <v>115645.37632919999</v>
      </c>
      <c r="AR969" s="556">
        <v>1.7613000000000001</v>
      </c>
    </row>
    <row r="970" spans="39:44">
      <c r="AM970" s="555">
        <v>44953</v>
      </c>
      <c r="AN970" s="556">
        <v>447.16</v>
      </c>
      <c r="AO970" s="556">
        <v>1753149</v>
      </c>
      <c r="AP970" s="556">
        <v>262.07396</v>
      </c>
      <c r="AQ970" s="556">
        <v>117188.99195360001</v>
      </c>
      <c r="AR970" s="556">
        <v>1.7847999999999999</v>
      </c>
    </row>
    <row r="971" spans="39:44">
      <c r="AM971" s="555">
        <v>44952</v>
      </c>
      <c r="AN971" s="556">
        <v>449.83</v>
      </c>
      <c r="AO971" s="556">
        <v>2208772</v>
      </c>
      <c r="AP971" s="556">
        <v>262.07396</v>
      </c>
      <c r="AQ971" s="556">
        <v>117888.7294268</v>
      </c>
      <c r="AR971" s="556">
        <v>1.7954000000000001</v>
      </c>
    </row>
    <row r="972" spans="39:44">
      <c r="AM972" s="555">
        <v>44951</v>
      </c>
      <c r="AN972" s="556">
        <v>449.83</v>
      </c>
      <c r="AO972" s="556">
        <v>2208772</v>
      </c>
      <c r="AP972" s="556">
        <v>262.07396</v>
      </c>
      <c r="AQ972" s="556">
        <v>117888.7294268</v>
      </c>
      <c r="AR972" s="556">
        <v>1.7954000000000001</v>
      </c>
    </row>
    <row r="973" spans="39:44">
      <c r="AM973" s="555">
        <v>44950</v>
      </c>
      <c r="AN973" s="556">
        <v>449.83</v>
      </c>
      <c r="AO973" s="556">
        <v>2208772</v>
      </c>
      <c r="AP973" s="556">
        <v>262.07396</v>
      </c>
      <c r="AQ973" s="556">
        <v>117888.7294268</v>
      </c>
      <c r="AR973" s="556">
        <v>1.7954000000000001</v>
      </c>
    </row>
    <row r="974" spans="39:44">
      <c r="AM974" s="555">
        <v>44949</v>
      </c>
      <c r="AN974" s="556">
        <v>449.83</v>
      </c>
      <c r="AO974" s="556">
        <v>2208772</v>
      </c>
      <c r="AP974" s="556">
        <v>262.07396</v>
      </c>
      <c r="AQ974" s="556">
        <v>117888.7294268</v>
      </c>
      <c r="AR974" s="556">
        <v>1.7954000000000001</v>
      </c>
    </row>
    <row r="975" spans="39:44">
      <c r="AM975" s="555">
        <v>44948</v>
      </c>
      <c r="AN975" s="556">
        <v>461.74</v>
      </c>
      <c r="AO975" s="556">
        <v>936688</v>
      </c>
      <c r="AP975" s="556">
        <v>262.07396</v>
      </c>
      <c r="AQ975" s="556">
        <v>121010.0302904</v>
      </c>
      <c r="AR975" s="556">
        <v>1.843</v>
      </c>
    </row>
    <row r="976" spans="39:44">
      <c r="AM976" s="555">
        <v>44947</v>
      </c>
      <c r="AN976" s="556">
        <v>463</v>
      </c>
      <c r="AO976" s="556">
        <v>1056366</v>
      </c>
      <c r="AP976" s="556">
        <v>262.07396</v>
      </c>
      <c r="AQ976" s="556">
        <v>121340.24348</v>
      </c>
      <c r="AR976" s="556">
        <v>1.8480000000000001</v>
      </c>
    </row>
    <row r="977" spans="39:44">
      <c r="AM977" s="555">
        <v>44946</v>
      </c>
      <c r="AN977" s="556">
        <v>462.29</v>
      </c>
      <c r="AO977" s="556">
        <v>1003543</v>
      </c>
      <c r="AP977" s="556">
        <v>262.07396</v>
      </c>
      <c r="AQ977" s="556">
        <v>121154.17096840001</v>
      </c>
      <c r="AR977" s="556">
        <v>1.8452</v>
      </c>
    </row>
    <row r="978" spans="39:44">
      <c r="AM978" s="555">
        <v>44945</v>
      </c>
      <c r="AN978" s="556">
        <v>458.99</v>
      </c>
      <c r="AO978" s="556">
        <v>2376959</v>
      </c>
      <c r="AP978" s="556">
        <v>262.07396</v>
      </c>
      <c r="AQ978" s="556">
        <v>120289.3269004</v>
      </c>
      <c r="AR978" s="556">
        <v>1.8320000000000001</v>
      </c>
    </row>
    <row r="979" spans="39:44">
      <c r="AM979" s="555">
        <v>44944</v>
      </c>
      <c r="AN979" s="556">
        <v>473.24</v>
      </c>
      <c r="AO979" s="556">
        <v>1969440</v>
      </c>
      <c r="AP979" s="556">
        <v>262.07396</v>
      </c>
      <c r="AQ979" s="556">
        <v>124023.8808304</v>
      </c>
      <c r="AR979" s="556">
        <v>1.8889</v>
      </c>
    </row>
    <row r="980" spans="39:44">
      <c r="AM980" s="555">
        <v>44943</v>
      </c>
      <c r="AN980" s="556">
        <v>473.24</v>
      </c>
      <c r="AO980" s="556">
        <v>1969440</v>
      </c>
      <c r="AP980" s="556">
        <v>262.07396</v>
      </c>
      <c r="AQ980" s="556">
        <v>124023.8808304</v>
      </c>
      <c r="AR980" s="556">
        <v>1.8889</v>
      </c>
    </row>
    <row r="981" spans="39:44">
      <c r="AM981" s="555">
        <v>44942</v>
      </c>
      <c r="AN981" s="556">
        <v>473.24</v>
      </c>
      <c r="AO981" s="556">
        <v>1969440</v>
      </c>
      <c r="AP981" s="556">
        <v>262.07396</v>
      </c>
      <c r="AQ981" s="556">
        <v>124023.8808304</v>
      </c>
      <c r="AR981" s="556">
        <v>1.8889</v>
      </c>
    </row>
    <row r="982" spans="39:44">
      <c r="AM982" s="555">
        <v>44941</v>
      </c>
      <c r="AN982" s="556">
        <v>477.07</v>
      </c>
      <c r="AO982" s="556">
        <v>1210096</v>
      </c>
      <c r="AP982" s="556">
        <v>262.07396</v>
      </c>
      <c r="AQ982" s="556">
        <v>125027.62409719999</v>
      </c>
      <c r="AR982" s="556">
        <v>1.9041999999999999</v>
      </c>
    </row>
    <row r="983" spans="39:44">
      <c r="AM983" s="555">
        <v>44940</v>
      </c>
      <c r="AN983" s="556">
        <v>476.5</v>
      </c>
      <c r="AO983" s="556">
        <v>1391458</v>
      </c>
      <c r="AP983" s="556">
        <v>262.07396</v>
      </c>
      <c r="AQ983" s="556">
        <v>124878.24193999999</v>
      </c>
      <c r="AR983" s="556">
        <v>1.9018999999999999</v>
      </c>
    </row>
    <row r="984" spans="39:44">
      <c r="AM984" s="555">
        <v>44939</v>
      </c>
      <c r="AN984" s="556">
        <v>477.53</v>
      </c>
      <c r="AO984" s="556">
        <v>1657329</v>
      </c>
      <c r="AP984" s="556">
        <v>262.07396</v>
      </c>
      <c r="AQ984" s="556">
        <v>125148.17811879999</v>
      </c>
      <c r="AR984" s="556">
        <v>1.9059999999999999</v>
      </c>
    </row>
    <row r="985" spans="39:44">
      <c r="AM985" s="555">
        <v>44938</v>
      </c>
      <c r="AN985" s="556">
        <v>486.49</v>
      </c>
      <c r="AO985" s="556">
        <v>910037</v>
      </c>
      <c r="AP985" s="556">
        <v>262.07396</v>
      </c>
      <c r="AQ985" s="556">
        <v>127496.3608004</v>
      </c>
      <c r="AR985" s="556">
        <v>2.0141</v>
      </c>
    </row>
    <row r="986" spans="39:44">
      <c r="AM986" s="555">
        <v>44937</v>
      </c>
      <c r="AN986" s="556">
        <v>486.49</v>
      </c>
      <c r="AO986" s="556">
        <v>910037</v>
      </c>
      <c r="AP986" s="556">
        <v>262.07396</v>
      </c>
      <c r="AQ986" s="556">
        <v>127496.3608004</v>
      </c>
      <c r="AR986" s="556">
        <v>2.0141</v>
      </c>
    </row>
    <row r="987" spans="39:44">
      <c r="AM987" s="555">
        <v>44936</v>
      </c>
      <c r="AN987" s="556">
        <v>486.49</v>
      </c>
      <c r="AO987" s="556">
        <v>910037</v>
      </c>
      <c r="AP987" s="556">
        <v>262.07396</v>
      </c>
      <c r="AQ987" s="556">
        <v>127496.3608004</v>
      </c>
      <c r="AR987" s="556">
        <v>2.0141</v>
      </c>
    </row>
    <row r="988" spans="39:44">
      <c r="AM988" s="555">
        <v>44935</v>
      </c>
      <c r="AN988" s="556">
        <v>486.49</v>
      </c>
      <c r="AO988" s="556">
        <v>910037</v>
      </c>
      <c r="AP988" s="556">
        <v>262.07396</v>
      </c>
      <c r="AQ988" s="556">
        <v>127496.3608004</v>
      </c>
      <c r="AR988" s="556">
        <v>2.0141</v>
      </c>
    </row>
    <row r="989" spans="39:44">
      <c r="AM989" s="555">
        <v>44934</v>
      </c>
      <c r="AN989" s="556">
        <v>487.05</v>
      </c>
      <c r="AO989" s="556">
        <v>764234</v>
      </c>
      <c r="AP989" s="556">
        <v>262.07396</v>
      </c>
      <c r="AQ989" s="556">
        <v>127643.122218</v>
      </c>
      <c r="AR989" s="556">
        <v>2.0164</v>
      </c>
    </row>
    <row r="990" spans="39:44">
      <c r="AM990" s="555">
        <v>44933</v>
      </c>
      <c r="AN990" s="556">
        <v>483.22</v>
      </c>
      <c r="AO990" s="556">
        <v>810358</v>
      </c>
      <c r="AP990" s="556">
        <v>262.07396</v>
      </c>
      <c r="AQ990" s="556">
        <v>126639.37895120001</v>
      </c>
      <c r="AR990" s="556">
        <v>2.0005000000000002</v>
      </c>
    </row>
    <row r="991" spans="39:44">
      <c r="AM991" s="555">
        <v>44932</v>
      </c>
      <c r="AN991" s="556">
        <v>485.5</v>
      </c>
      <c r="AO991" s="556">
        <v>788966</v>
      </c>
      <c r="AP991" s="556">
        <v>262.07396</v>
      </c>
      <c r="AQ991" s="556">
        <v>127236.90758</v>
      </c>
      <c r="AR991" s="556">
        <v>2.0099999999999998</v>
      </c>
    </row>
    <row r="992" spans="39:44">
      <c r="AM992" s="555">
        <v>44931</v>
      </c>
      <c r="AN992" s="556">
        <v>483.29</v>
      </c>
      <c r="AO992" s="556">
        <v>661647</v>
      </c>
      <c r="AP992" s="556">
        <v>262.07396</v>
      </c>
      <c r="AQ992" s="556">
        <v>126657.7241284</v>
      </c>
      <c r="AR992" s="556">
        <v>2.0007999999999999</v>
      </c>
    </row>
    <row r="993" spans="39:44">
      <c r="AM993" s="555">
        <v>44930</v>
      </c>
      <c r="AN993" s="556">
        <v>483.29</v>
      </c>
      <c r="AO993" s="556">
        <v>661647</v>
      </c>
      <c r="AP993" s="556">
        <v>262.07396</v>
      </c>
      <c r="AQ993" s="556">
        <v>126657.7241284</v>
      </c>
      <c r="AR993" s="556">
        <v>2.0007999999999999</v>
      </c>
    </row>
    <row r="994" spans="39:44">
      <c r="AM994" s="555">
        <v>44929</v>
      </c>
      <c r="AN994" s="556">
        <v>483.29</v>
      </c>
      <c r="AO994" s="556">
        <v>661647</v>
      </c>
      <c r="AP994" s="556">
        <v>262.07396</v>
      </c>
      <c r="AQ994" s="556">
        <v>126657.7241284</v>
      </c>
      <c r="AR994" s="556">
        <v>2.0007999999999999</v>
      </c>
    </row>
    <row r="995" spans="39:44">
      <c r="AM995" s="555">
        <v>44928</v>
      </c>
      <c r="AN995" s="556">
        <v>483.29</v>
      </c>
      <c r="AO995" s="556">
        <v>661647</v>
      </c>
      <c r="AP995" s="556">
        <v>262.07396</v>
      </c>
      <c r="AQ995" s="556">
        <v>126657.7241284</v>
      </c>
      <c r="AR995" s="556">
        <v>2.0007999999999999</v>
      </c>
    </row>
    <row r="996" spans="39:44">
      <c r="AM996" s="555">
        <v>44927</v>
      </c>
      <c r="AN996" s="556">
        <v>479.3</v>
      </c>
      <c r="AO996" s="556">
        <v>1520980</v>
      </c>
      <c r="AP996" s="556">
        <v>262.07396</v>
      </c>
      <c r="AQ996" s="556">
        <v>125612.04902800001</v>
      </c>
      <c r="AR996" s="556">
        <v>1.9843</v>
      </c>
    </row>
    <row r="997" spans="39:44">
      <c r="AM997" s="555">
        <v>44926</v>
      </c>
      <c r="AN997" s="556">
        <v>487.65</v>
      </c>
      <c r="AO997" s="556">
        <v>988276</v>
      </c>
      <c r="AP997" s="556">
        <v>262.07396</v>
      </c>
      <c r="AQ997" s="556">
        <v>127800.36659399999</v>
      </c>
      <c r="AR997" s="556">
        <v>2.0188999999999999</v>
      </c>
    </row>
    <row r="998" spans="39:44">
      <c r="AM998" s="555">
        <v>44925</v>
      </c>
      <c r="AN998" s="556">
        <v>486.15</v>
      </c>
      <c r="AO998" s="556">
        <v>1014530</v>
      </c>
      <c r="AP998" s="556">
        <v>262.07396</v>
      </c>
      <c r="AQ998" s="556">
        <v>127407.25565399999</v>
      </c>
      <c r="AR998" s="556">
        <v>2.0127000000000002</v>
      </c>
    </row>
    <row r="999" spans="39:44">
      <c r="AM999" s="555">
        <v>44924</v>
      </c>
      <c r="AN999" s="556">
        <v>481.79</v>
      </c>
      <c r="AO999" s="556">
        <v>929944</v>
      </c>
      <c r="AP999" s="556">
        <v>262.07396</v>
      </c>
      <c r="AQ999" s="556">
        <v>126264.61318840001</v>
      </c>
      <c r="AR999" s="556">
        <v>1.9945999999999999</v>
      </c>
    </row>
    <row r="1000" spans="39:44">
      <c r="AM1000" s="555">
        <v>44923</v>
      </c>
      <c r="AN1000" s="556">
        <v>481.79</v>
      </c>
      <c r="AO1000" s="556">
        <v>2590742</v>
      </c>
      <c r="AP1000" s="556">
        <v>262.07396</v>
      </c>
      <c r="AQ1000" s="556">
        <v>126264.61318840001</v>
      </c>
      <c r="AR1000" s="556">
        <v>1.9945999999999999</v>
      </c>
    </row>
    <row r="1001" spans="39:44">
      <c r="AM1001" s="555">
        <v>44922</v>
      </c>
      <c r="AN1001" s="556">
        <v>481.79</v>
      </c>
      <c r="AO1001" s="556">
        <v>2590742</v>
      </c>
      <c r="AP1001" s="556">
        <v>262.07396</v>
      </c>
      <c r="AQ1001" s="556">
        <v>126264.61318840001</v>
      </c>
      <c r="AR1001" s="556">
        <v>1.9945999999999999</v>
      </c>
    </row>
    <row r="1002" spans="39:44">
      <c r="AM1002" s="555">
        <v>44921</v>
      </c>
      <c r="AN1002" s="556">
        <v>481.79</v>
      </c>
      <c r="AO1002" s="556">
        <v>2590742</v>
      </c>
      <c r="AP1002" s="556">
        <v>262.07396</v>
      </c>
      <c r="AQ1002" s="556">
        <v>126264.61318840001</v>
      </c>
      <c r="AR1002" s="556">
        <v>1.9945999999999999</v>
      </c>
    </row>
    <row r="1003" spans="39:44">
      <c r="AM1003" s="555">
        <v>44920</v>
      </c>
      <c r="AN1003" s="556">
        <v>478.79</v>
      </c>
      <c r="AO1003" s="556">
        <v>1067653</v>
      </c>
      <c r="AP1003" s="556">
        <v>262.07396</v>
      </c>
      <c r="AQ1003" s="556">
        <v>125478.39130840001</v>
      </c>
      <c r="AR1003" s="556">
        <v>1.9822</v>
      </c>
    </row>
    <row r="1004" spans="39:44">
      <c r="AM1004" s="555">
        <v>44919</v>
      </c>
      <c r="AN1004" s="556">
        <v>485.19</v>
      </c>
      <c r="AO1004" s="556">
        <v>1071788</v>
      </c>
      <c r="AP1004" s="556">
        <v>262.07396</v>
      </c>
      <c r="AQ1004" s="556">
        <v>127155.6646524</v>
      </c>
      <c r="AR1004" s="556">
        <v>2.0087000000000002</v>
      </c>
    </row>
    <row r="1005" spans="39:44">
      <c r="AM1005" s="555">
        <v>44918</v>
      </c>
      <c r="AN1005" s="556">
        <v>480.22</v>
      </c>
      <c r="AO1005" s="556">
        <v>1731061</v>
      </c>
      <c r="AP1005" s="556">
        <v>262.07396</v>
      </c>
      <c r="AQ1005" s="556">
        <v>125853.15707120001</v>
      </c>
      <c r="AR1005" s="556">
        <v>1.9881</v>
      </c>
    </row>
    <row r="1006" spans="39:44">
      <c r="AM1006" s="555">
        <v>44917</v>
      </c>
      <c r="AN1006" s="556">
        <v>486.32</v>
      </c>
      <c r="AO1006" s="556">
        <v>1129195</v>
      </c>
      <c r="AP1006" s="556">
        <v>262.07396</v>
      </c>
      <c r="AQ1006" s="556">
        <v>127451.8082272</v>
      </c>
      <c r="AR1006" s="556">
        <v>2.0133999999999999</v>
      </c>
    </row>
    <row r="1007" spans="39:44">
      <c r="AM1007" s="555">
        <v>44916</v>
      </c>
      <c r="AN1007" s="556">
        <v>483.58</v>
      </c>
      <c r="AO1007" s="556">
        <v>856508</v>
      </c>
      <c r="AP1007" s="556">
        <v>262.07396</v>
      </c>
      <c r="AQ1007" s="556">
        <v>126733.72557679999</v>
      </c>
      <c r="AR1007" s="556">
        <v>2.0019999999999998</v>
      </c>
    </row>
    <row r="1008" spans="39:44">
      <c r="AM1008" s="555">
        <v>44915</v>
      </c>
      <c r="AN1008" s="556">
        <v>483.58</v>
      </c>
      <c r="AO1008" s="556">
        <v>856508</v>
      </c>
      <c r="AP1008" s="556">
        <v>262.07396</v>
      </c>
      <c r="AQ1008" s="556">
        <v>126733.72557679999</v>
      </c>
      <c r="AR1008" s="556">
        <v>2.0019999999999998</v>
      </c>
    </row>
    <row r="1009" spans="39:44">
      <c r="AM1009" s="555">
        <v>44914</v>
      </c>
      <c r="AN1009" s="556">
        <v>483.58</v>
      </c>
      <c r="AO1009" s="556">
        <v>856508</v>
      </c>
      <c r="AP1009" s="556">
        <v>262.07396</v>
      </c>
      <c r="AQ1009" s="556">
        <v>126733.72557679999</v>
      </c>
      <c r="AR1009" s="556">
        <v>2.0019999999999998</v>
      </c>
    </row>
    <row r="1010" spans="39:44">
      <c r="AM1010" s="555">
        <v>44913</v>
      </c>
      <c r="AN1010" s="556">
        <v>485.38</v>
      </c>
      <c r="AO1010" s="556">
        <v>762292</v>
      </c>
      <c r="AP1010" s="556">
        <v>262.07396</v>
      </c>
      <c r="AQ1010" s="556">
        <v>127205.4587048</v>
      </c>
      <c r="AR1010" s="556">
        <v>2.0095000000000001</v>
      </c>
    </row>
    <row r="1011" spans="39:44">
      <c r="AM1011" s="555">
        <v>44912</v>
      </c>
      <c r="AN1011" s="556">
        <v>481.2</v>
      </c>
      <c r="AO1011" s="556">
        <v>999948</v>
      </c>
      <c r="AP1011" s="556">
        <v>262.07396</v>
      </c>
      <c r="AQ1011" s="556">
        <v>126109.989552</v>
      </c>
      <c r="AR1011" s="556">
        <v>1.9922</v>
      </c>
    </row>
    <row r="1012" spans="39:44">
      <c r="AM1012" s="555">
        <v>44911</v>
      </c>
      <c r="AN1012" s="556">
        <v>484</v>
      </c>
      <c r="AO1012" s="556">
        <v>1076620</v>
      </c>
      <c r="AP1012" s="556">
        <v>262.07396</v>
      </c>
      <c r="AQ1012" s="556">
        <v>126843.79664</v>
      </c>
      <c r="AR1012" s="556">
        <v>2.0038</v>
      </c>
    </row>
    <row r="1013" spans="39:44">
      <c r="AM1013" s="555">
        <v>44910</v>
      </c>
      <c r="AN1013" s="556">
        <v>490.67</v>
      </c>
      <c r="AO1013" s="556">
        <v>1357208</v>
      </c>
      <c r="AP1013" s="556">
        <v>262.07396</v>
      </c>
      <c r="AQ1013" s="556">
        <v>128591.82995320001</v>
      </c>
      <c r="AR1013" s="556">
        <v>2.0314000000000001</v>
      </c>
    </row>
    <row r="1014" spans="39:44">
      <c r="AM1014" s="555">
        <v>44909</v>
      </c>
      <c r="AN1014" s="556">
        <v>496.23</v>
      </c>
      <c r="AO1014" s="556">
        <v>1744461</v>
      </c>
      <c r="AP1014" s="556">
        <v>262.07396</v>
      </c>
      <c r="AQ1014" s="556">
        <v>130048.9611708</v>
      </c>
      <c r="AR1014" s="556">
        <v>2.0543999999999998</v>
      </c>
    </row>
    <row r="1015" spans="39:44">
      <c r="AM1015" s="555">
        <v>44908</v>
      </c>
      <c r="AN1015" s="556">
        <v>496.23</v>
      </c>
      <c r="AO1015" s="556">
        <v>1744461</v>
      </c>
      <c r="AP1015" s="556">
        <v>262.07396</v>
      </c>
      <c r="AQ1015" s="556">
        <v>130048.9611708</v>
      </c>
      <c r="AR1015" s="556">
        <v>2.0543999999999998</v>
      </c>
    </row>
    <row r="1016" spans="39:44">
      <c r="AM1016" s="555">
        <v>44907</v>
      </c>
      <c r="AN1016" s="556">
        <v>496.23</v>
      </c>
      <c r="AO1016" s="556">
        <v>1744461</v>
      </c>
      <c r="AP1016" s="556">
        <v>262.07396</v>
      </c>
      <c r="AQ1016" s="556">
        <v>130048.9611708</v>
      </c>
      <c r="AR1016" s="556">
        <v>2.0543999999999998</v>
      </c>
    </row>
    <row r="1017" spans="39:44">
      <c r="AM1017" s="555">
        <v>44906</v>
      </c>
      <c r="AN1017" s="556">
        <v>483.69</v>
      </c>
      <c r="AO1017" s="556">
        <v>913652</v>
      </c>
      <c r="AP1017" s="556">
        <v>262.07396</v>
      </c>
      <c r="AQ1017" s="556">
        <v>126762.5537124</v>
      </c>
      <c r="AR1017" s="556">
        <v>2.0024999999999999</v>
      </c>
    </row>
    <row r="1018" spans="39:44">
      <c r="AM1018" s="555">
        <v>44905</v>
      </c>
      <c r="AN1018" s="556">
        <v>485.19</v>
      </c>
      <c r="AO1018" s="556">
        <v>1469962</v>
      </c>
      <c r="AP1018" s="556">
        <v>262.07396</v>
      </c>
      <c r="AQ1018" s="556">
        <v>127155.6646524</v>
      </c>
      <c r="AR1018" s="556">
        <v>2.0087000000000002</v>
      </c>
    </row>
    <row r="1019" spans="39:44">
      <c r="AM1019" s="555">
        <v>44904</v>
      </c>
      <c r="AN1019" s="556">
        <v>484.1</v>
      </c>
      <c r="AO1019" s="556">
        <v>802623</v>
      </c>
      <c r="AP1019" s="556">
        <v>262.07396</v>
      </c>
      <c r="AQ1019" s="556">
        <v>126870.00403600001</v>
      </c>
      <c r="AR1019" s="556">
        <v>2.0042</v>
      </c>
    </row>
    <row r="1020" spans="39:44">
      <c r="AM1020" s="555">
        <v>44903</v>
      </c>
      <c r="AN1020" s="556">
        <v>483.21</v>
      </c>
      <c r="AO1020" s="556">
        <v>939150</v>
      </c>
      <c r="AP1020" s="556">
        <v>262.07396</v>
      </c>
      <c r="AQ1020" s="556">
        <v>126636.7582116</v>
      </c>
      <c r="AR1020" s="556">
        <v>2.0005000000000002</v>
      </c>
    </row>
    <row r="1021" spans="39:44">
      <c r="AM1021" s="555">
        <v>44902</v>
      </c>
      <c r="AN1021" s="556">
        <v>483.46</v>
      </c>
      <c r="AO1021" s="556">
        <v>321504</v>
      </c>
      <c r="AP1021" s="556">
        <v>262.07396</v>
      </c>
      <c r="AQ1021" s="556">
        <v>126702.2767016</v>
      </c>
      <c r="AR1021" s="556">
        <v>2.0015000000000001</v>
      </c>
    </row>
    <row r="1022" spans="39:44">
      <c r="AM1022" s="555">
        <v>44901</v>
      </c>
      <c r="AN1022" s="556">
        <v>483.46</v>
      </c>
      <c r="AO1022" s="556">
        <v>321504</v>
      </c>
      <c r="AP1022" s="556">
        <v>262.07396</v>
      </c>
      <c r="AQ1022" s="556">
        <v>126702.2767016</v>
      </c>
      <c r="AR1022" s="556">
        <v>2.0015000000000001</v>
      </c>
    </row>
    <row r="1023" spans="39:44">
      <c r="AM1023" s="555">
        <v>44900</v>
      </c>
      <c r="AN1023" s="556">
        <v>483.46</v>
      </c>
      <c r="AO1023" s="556">
        <v>321504</v>
      </c>
      <c r="AP1023" s="556">
        <v>262.07396</v>
      </c>
      <c r="AQ1023" s="556">
        <v>126702.2767016</v>
      </c>
      <c r="AR1023" s="556">
        <v>2.0015000000000001</v>
      </c>
    </row>
    <row r="1024" spans="39:44">
      <c r="AM1024" s="555">
        <v>44899</v>
      </c>
      <c r="AN1024" s="556">
        <v>481.07</v>
      </c>
      <c r="AO1024" s="556">
        <v>1020415</v>
      </c>
      <c r="AP1024" s="556">
        <v>262.07396</v>
      </c>
      <c r="AQ1024" s="556">
        <v>126075.9199372</v>
      </c>
      <c r="AR1024" s="556">
        <v>1.9916</v>
      </c>
    </row>
    <row r="1025" spans="39:44">
      <c r="AM1025" s="555">
        <v>44898</v>
      </c>
      <c r="AN1025" s="556">
        <v>481.07</v>
      </c>
      <c r="AO1025" s="556">
        <v>1020415</v>
      </c>
      <c r="AP1025" s="556">
        <v>262.07396</v>
      </c>
      <c r="AQ1025" s="556">
        <v>126075.9199372</v>
      </c>
      <c r="AR1025" s="556">
        <v>1.9916</v>
      </c>
    </row>
    <row r="1026" spans="39:44">
      <c r="AM1026" s="555">
        <v>44897</v>
      </c>
      <c r="AN1026" s="556">
        <v>479.5</v>
      </c>
      <c r="AO1026" s="556">
        <v>838407</v>
      </c>
      <c r="AP1026" s="556">
        <v>262.07396</v>
      </c>
      <c r="AQ1026" s="556">
        <v>125664.46382</v>
      </c>
      <c r="AR1026" s="556">
        <v>1.9851000000000001</v>
      </c>
    </row>
    <row r="1027" spans="39:44">
      <c r="AM1027" s="555">
        <v>44896</v>
      </c>
      <c r="AN1027" s="556">
        <v>480.94</v>
      </c>
      <c r="AO1027" s="556">
        <v>1730774</v>
      </c>
      <c r="AP1027" s="556">
        <v>262.07396</v>
      </c>
      <c r="AQ1027" s="556">
        <v>126041.8503224</v>
      </c>
      <c r="AR1027" s="556">
        <v>1.9911000000000001</v>
      </c>
    </row>
    <row r="1028" spans="39:44">
      <c r="AM1028" s="555">
        <v>44895</v>
      </c>
      <c r="AN1028" s="556">
        <v>476.82</v>
      </c>
      <c r="AO1028" s="556">
        <v>2160399</v>
      </c>
      <c r="AP1028" s="556">
        <v>262.07396</v>
      </c>
      <c r="AQ1028" s="556">
        <v>124962.10560719999</v>
      </c>
      <c r="AR1028" s="556">
        <v>1.974</v>
      </c>
    </row>
    <row r="1029" spans="39:44">
      <c r="AM1029" s="555">
        <v>44894</v>
      </c>
      <c r="AN1029" s="556">
        <v>476.82</v>
      </c>
      <c r="AO1029" s="556">
        <v>2160399</v>
      </c>
      <c r="AP1029" s="556">
        <v>262.07396</v>
      </c>
      <c r="AQ1029" s="556">
        <v>124962.10560719999</v>
      </c>
      <c r="AR1029" s="556">
        <v>1.974</v>
      </c>
    </row>
    <row r="1030" spans="39:44">
      <c r="AM1030" s="555">
        <v>44893</v>
      </c>
      <c r="AN1030" s="556">
        <v>476.82</v>
      </c>
      <c r="AO1030" s="556">
        <v>2160399</v>
      </c>
      <c r="AP1030" s="556">
        <v>262.07396</v>
      </c>
      <c r="AQ1030" s="556">
        <v>124962.10560719999</v>
      </c>
      <c r="AR1030" s="556">
        <v>1.974</v>
      </c>
    </row>
    <row r="1031" spans="39:44">
      <c r="AM1031" s="555">
        <v>44892</v>
      </c>
      <c r="AN1031" s="556">
        <v>472.77</v>
      </c>
      <c r="AO1031" s="556">
        <v>1403073</v>
      </c>
      <c r="AP1031" s="556">
        <v>262.07396</v>
      </c>
      <c r="AQ1031" s="556">
        <v>123900.70606919999</v>
      </c>
      <c r="AR1031" s="556">
        <v>1.9573</v>
      </c>
    </row>
    <row r="1032" spans="39:44">
      <c r="AM1032" s="555">
        <v>44891</v>
      </c>
      <c r="AN1032" s="556">
        <v>466.24</v>
      </c>
      <c r="AO1032" s="556">
        <v>1022748</v>
      </c>
      <c r="AP1032" s="556">
        <v>262.07396</v>
      </c>
      <c r="AQ1032" s="556">
        <v>122189.36311040001</v>
      </c>
      <c r="AR1032" s="556">
        <v>1.9301999999999999</v>
      </c>
    </row>
    <row r="1033" spans="39:44">
      <c r="AM1033" s="555">
        <v>44890</v>
      </c>
      <c r="AN1033" s="556">
        <v>467.25</v>
      </c>
      <c r="AO1033" s="556">
        <v>3272823</v>
      </c>
      <c r="AP1033" s="556">
        <v>262.07396</v>
      </c>
      <c r="AQ1033" s="556">
        <v>122454.05781</v>
      </c>
      <c r="AR1033" s="556">
        <v>1.9343999999999999</v>
      </c>
    </row>
    <row r="1034" spans="39:44">
      <c r="AM1034" s="555">
        <v>44889</v>
      </c>
      <c r="AN1034" s="556">
        <v>462.04</v>
      </c>
      <c r="AO1034" s="556">
        <v>2286803</v>
      </c>
      <c r="AP1034" s="556">
        <v>262.07396</v>
      </c>
      <c r="AQ1034" s="556">
        <v>121088.65247840001</v>
      </c>
      <c r="AR1034" s="556">
        <v>1.9128000000000001</v>
      </c>
    </row>
    <row r="1035" spans="39:44">
      <c r="AM1035" s="555">
        <v>44888</v>
      </c>
      <c r="AN1035" s="556">
        <v>463.86</v>
      </c>
      <c r="AO1035" s="556">
        <v>3061838</v>
      </c>
      <c r="AP1035" s="556">
        <v>262.07396</v>
      </c>
      <c r="AQ1035" s="556">
        <v>121565.6270856</v>
      </c>
      <c r="AR1035" s="556">
        <v>1.9204000000000001</v>
      </c>
    </row>
    <row r="1036" spans="39:44">
      <c r="AM1036" s="555">
        <v>44887</v>
      </c>
      <c r="AN1036" s="556">
        <v>463.86</v>
      </c>
      <c r="AO1036" s="556">
        <v>3061838</v>
      </c>
      <c r="AP1036" s="556">
        <v>262.07396</v>
      </c>
      <c r="AQ1036" s="556">
        <v>121565.6270856</v>
      </c>
      <c r="AR1036" s="556">
        <v>1.9204000000000001</v>
      </c>
    </row>
    <row r="1037" spans="39:44">
      <c r="AM1037" s="555">
        <v>44886</v>
      </c>
      <c r="AN1037" s="556">
        <v>463.86</v>
      </c>
      <c r="AO1037" s="556">
        <v>3061838</v>
      </c>
      <c r="AP1037" s="556">
        <v>262.07396</v>
      </c>
      <c r="AQ1037" s="556">
        <v>121565.6270856</v>
      </c>
      <c r="AR1037" s="556">
        <v>1.9204000000000001</v>
      </c>
    </row>
    <row r="1038" spans="39:44">
      <c r="AM1038" s="555">
        <v>44885</v>
      </c>
      <c r="AN1038" s="556">
        <v>490.77</v>
      </c>
      <c r="AO1038" s="556">
        <v>1601072</v>
      </c>
      <c r="AP1038" s="556">
        <v>262.07396</v>
      </c>
      <c r="AQ1038" s="556">
        <v>128618.03734919999</v>
      </c>
      <c r="AR1038" s="556">
        <v>2.0318000000000001</v>
      </c>
    </row>
    <row r="1039" spans="39:44">
      <c r="AM1039" s="555">
        <v>44884</v>
      </c>
      <c r="AN1039" s="556">
        <v>485.18</v>
      </c>
      <c r="AO1039" s="556">
        <v>1383237</v>
      </c>
      <c r="AP1039" s="556">
        <v>262.07396</v>
      </c>
      <c r="AQ1039" s="556">
        <v>127153.0439128</v>
      </c>
      <c r="AR1039" s="556">
        <v>2.0085999999999999</v>
      </c>
    </row>
    <row r="1040" spans="39:44">
      <c r="AM1040" s="555">
        <v>44883</v>
      </c>
      <c r="AN1040" s="556">
        <v>494.12</v>
      </c>
      <c r="AO1040" s="556">
        <v>1220973</v>
      </c>
      <c r="AP1040" s="556">
        <v>262.07396</v>
      </c>
      <c r="AQ1040" s="556">
        <v>129495.9851152</v>
      </c>
      <c r="AR1040" s="556">
        <v>2.0457000000000001</v>
      </c>
    </row>
    <row r="1041" spans="39:44">
      <c r="AM1041" s="555">
        <v>44882</v>
      </c>
      <c r="AN1041" s="556">
        <v>488.63</v>
      </c>
      <c r="AO1041" s="556">
        <v>944759</v>
      </c>
      <c r="AP1041" s="556">
        <v>262.07396</v>
      </c>
      <c r="AQ1041" s="556">
        <v>128057.1990748</v>
      </c>
      <c r="AR1041" s="556">
        <v>2.0228999999999999</v>
      </c>
    </row>
    <row r="1042" spans="39:44">
      <c r="AM1042" s="555">
        <v>44881</v>
      </c>
      <c r="AN1042" s="556">
        <v>481.67</v>
      </c>
      <c r="AO1042" s="556">
        <v>1447171</v>
      </c>
      <c r="AP1042" s="556">
        <v>262.07396</v>
      </c>
      <c r="AQ1042" s="556">
        <v>126233.1643132</v>
      </c>
      <c r="AR1042" s="556">
        <v>1.9941</v>
      </c>
    </row>
    <row r="1043" spans="39:44">
      <c r="AM1043" s="555">
        <v>44880</v>
      </c>
      <c r="AN1043" s="556">
        <v>481.67</v>
      </c>
      <c r="AO1043" s="556">
        <v>1447171</v>
      </c>
      <c r="AP1043" s="556">
        <v>262.07396</v>
      </c>
      <c r="AQ1043" s="556">
        <v>126233.1643132</v>
      </c>
      <c r="AR1043" s="556">
        <v>1.9941</v>
      </c>
    </row>
    <row r="1044" spans="39:44">
      <c r="AM1044" s="555">
        <v>44879</v>
      </c>
      <c r="AN1044" s="556">
        <v>481.67</v>
      </c>
      <c r="AO1044" s="556">
        <v>1447171</v>
      </c>
      <c r="AP1044" s="556">
        <v>262.07396</v>
      </c>
      <c r="AQ1044" s="556">
        <v>126233.1643132</v>
      </c>
      <c r="AR1044" s="556">
        <v>1.9941</v>
      </c>
    </row>
    <row r="1045" spans="39:44">
      <c r="AM1045" s="555">
        <v>44878</v>
      </c>
      <c r="AN1045" s="556">
        <v>484.82</v>
      </c>
      <c r="AO1045" s="556">
        <v>1291110</v>
      </c>
      <c r="AP1045" s="556">
        <v>262.07396</v>
      </c>
      <c r="AQ1045" s="556">
        <v>127058.6972872</v>
      </c>
      <c r="AR1045" s="556">
        <v>2.0072000000000001</v>
      </c>
    </row>
    <row r="1046" spans="39:44">
      <c r="AM1046" s="555">
        <v>44877</v>
      </c>
      <c r="AN1046" s="556">
        <v>482.06</v>
      </c>
      <c r="AO1046" s="556">
        <v>1292138</v>
      </c>
      <c r="AP1046" s="556">
        <v>262.07396</v>
      </c>
      <c r="AQ1046" s="556">
        <v>126335.3731576</v>
      </c>
      <c r="AR1046" s="556">
        <v>1.9957</v>
      </c>
    </row>
    <row r="1047" spans="39:44">
      <c r="AM1047" s="555">
        <v>44876</v>
      </c>
      <c r="AN1047" s="556">
        <v>485.63</v>
      </c>
      <c r="AO1047" s="556">
        <v>1229929</v>
      </c>
      <c r="AP1047" s="556">
        <v>262.07396</v>
      </c>
      <c r="AQ1047" s="556">
        <v>127270.9771948</v>
      </c>
      <c r="AR1047" s="556">
        <v>2.0105</v>
      </c>
    </row>
    <row r="1048" spans="39:44">
      <c r="AM1048" s="555">
        <v>44875</v>
      </c>
      <c r="AN1048" s="556">
        <v>486.68</v>
      </c>
      <c r="AO1048" s="556">
        <v>1288421</v>
      </c>
      <c r="AP1048" s="556">
        <v>262.07396</v>
      </c>
      <c r="AQ1048" s="556">
        <v>127546.1548528</v>
      </c>
      <c r="AR1048" s="556">
        <v>2.0148999999999999</v>
      </c>
    </row>
    <row r="1049" spans="39:44">
      <c r="AM1049" s="555">
        <v>44874</v>
      </c>
      <c r="AN1049" s="556">
        <v>484.87</v>
      </c>
      <c r="AO1049" s="556">
        <v>2045544</v>
      </c>
      <c r="AP1049" s="556">
        <v>262.07396</v>
      </c>
      <c r="AQ1049" s="556">
        <v>127071.8009852</v>
      </c>
      <c r="AR1049" s="556">
        <v>2.0074000000000001</v>
      </c>
    </row>
    <row r="1050" spans="39:44">
      <c r="AM1050" s="555">
        <v>44873</v>
      </c>
      <c r="AN1050" s="556">
        <v>484.87</v>
      </c>
      <c r="AO1050" s="556">
        <v>2045544</v>
      </c>
      <c r="AP1050" s="556">
        <v>262.07396</v>
      </c>
      <c r="AQ1050" s="556">
        <v>127071.8009852</v>
      </c>
      <c r="AR1050" s="556">
        <v>2.0074000000000001</v>
      </c>
    </row>
    <row r="1051" spans="39:44">
      <c r="AM1051" s="555">
        <v>44872</v>
      </c>
      <c r="AN1051" s="556">
        <v>484.87</v>
      </c>
      <c r="AO1051" s="556">
        <v>2045544</v>
      </c>
      <c r="AP1051" s="556">
        <v>262.07396</v>
      </c>
      <c r="AQ1051" s="556">
        <v>127071.8009852</v>
      </c>
      <c r="AR1051" s="556">
        <v>2.0074000000000001</v>
      </c>
    </row>
  </sheetData>
  <mergeCells count="5">
    <mergeCell ref="C3:H3"/>
    <mergeCell ref="J3:O3"/>
    <mergeCell ref="Y3:AD3"/>
    <mergeCell ref="AF3:AK3"/>
    <mergeCell ref="R3:W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79CB92-5331-4E6D-BCCA-3ED810C77402}"/>
</file>

<file path=customXml/itemProps2.xml><?xml version="1.0" encoding="utf-8"?>
<ds:datastoreItem xmlns:ds="http://schemas.openxmlformats.org/officeDocument/2006/customXml" ds:itemID="{BF949B8D-E3C6-4017-9340-D0E0185A6CF8}"/>
</file>

<file path=customXml/itemProps3.xml><?xml version="1.0" encoding="utf-8"?>
<ds:datastoreItem xmlns:ds="http://schemas.openxmlformats.org/officeDocument/2006/customXml" ds:itemID="{64BB988D-8D01-4A93-B497-E21446BB3F17}"/>
</file>

<file path=docProps/app.xml><?xml version="1.0" encoding="utf-8"?>
<Properties xmlns="http://schemas.openxmlformats.org/officeDocument/2006/extended-properties" xmlns:vt="http://schemas.openxmlformats.org/officeDocument/2006/docPropsVTypes">
  <Application>Microsoft Excel Online</Application>
  <Manager/>
  <Company>Bloomberg LP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bloomberg-alunos</dc:creator>
  <cp:keywords/>
  <dc:description/>
  <cp:lastModifiedBy>GURKIRAT KAUR</cp:lastModifiedBy>
  <cp:revision/>
  <dcterms:created xsi:type="dcterms:W3CDTF">2025-02-25T16:23:47Z</dcterms:created>
  <dcterms:modified xsi:type="dcterms:W3CDTF">2025-10-18T22:40:43Z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MediaServiceImageTags">
    <vt:lpwstr/>
  </property>
</Properties>
</file>