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EDITS" sheetId="2" r:id="rId5"/>
  </sheets>
  <definedNames/>
  <calcPr/>
</workbook>
</file>

<file path=xl/sharedStrings.xml><?xml version="1.0" encoding="utf-8"?>
<sst xmlns="http://schemas.openxmlformats.org/spreadsheetml/2006/main" count="2267" uniqueCount="1314">
  <si>
    <t>Bank NameBank</t>
  </si>
  <si>
    <t>CityCity</t>
  </si>
  <si>
    <t>StateSt</t>
  </si>
  <si>
    <t>CertCert</t>
  </si>
  <si>
    <t>Acquiring InstitutionAI</t>
  </si>
  <si>
    <t>Closing DateClosing</t>
  </si>
  <si>
    <t>FundFund</t>
  </si>
  <si>
    <t>Signature Bank</t>
  </si>
  <si>
    <t>New York</t>
  </si>
  <si>
    <t>NY</t>
  </si>
  <si>
    <t>Flagstar Bank, N.A.</t>
  </si>
  <si>
    <t>Silicon Valley Bank</t>
  </si>
  <si>
    <t>Santa Clara</t>
  </si>
  <si>
    <t>CA</t>
  </si>
  <si>
    <t>First–Citizens Bank &amp; Trust Company</t>
  </si>
  <si>
    <t>Almena State Bank</t>
  </si>
  <si>
    <t>Almena</t>
  </si>
  <si>
    <t>KS</t>
  </si>
  <si>
    <t>Equity Bank</t>
  </si>
  <si>
    <t>First City Bank of Florida</t>
  </si>
  <si>
    <t>Fort Walton Beach</t>
  </si>
  <si>
    <t>FL</t>
  </si>
  <si>
    <t>United Fidelity Bank, fsb</t>
  </si>
  <si>
    <t>The First State Bank</t>
  </si>
  <si>
    <t>Barboursville</t>
  </si>
  <si>
    <t>WV</t>
  </si>
  <si>
    <t>MVB Bank, Inc.</t>
  </si>
  <si>
    <t>Ericson State Bank</t>
  </si>
  <si>
    <t>Ericson</t>
  </si>
  <si>
    <t>NE</t>
  </si>
  <si>
    <t>Farmers and Merchants Bank</t>
  </si>
  <si>
    <t>City National Bank of New Jersey</t>
  </si>
  <si>
    <t>Newark</t>
  </si>
  <si>
    <t>NJ</t>
  </si>
  <si>
    <t>Industrial Bank</t>
  </si>
  <si>
    <t>Resolute Bank</t>
  </si>
  <si>
    <t>Maumee</t>
  </si>
  <si>
    <t>OH</t>
  </si>
  <si>
    <t>Buckeye State Bank</t>
  </si>
  <si>
    <t>Louisa Community Bank</t>
  </si>
  <si>
    <t>Louisa</t>
  </si>
  <si>
    <t>KY</t>
  </si>
  <si>
    <t>Kentucky Farmers Bank Corporation</t>
  </si>
  <si>
    <t>The Enloe State Bank</t>
  </si>
  <si>
    <t>Cooper</t>
  </si>
  <si>
    <t>TX</t>
  </si>
  <si>
    <t>Legend Bank, N. A.</t>
  </si>
  <si>
    <t>Washington Federal Bank for Savings</t>
  </si>
  <si>
    <t>Chicago</t>
  </si>
  <si>
    <t>IL</t>
  </si>
  <si>
    <t>Royal Savings Bank</t>
  </si>
  <si>
    <t>The Farmers and Merchants State Bank of Argonia</t>
  </si>
  <si>
    <t>Argonia</t>
  </si>
  <si>
    <t>Conway Bank</t>
  </si>
  <si>
    <t>Fayette County Bank</t>
  </si>
  <si>
    <t>Saint Elmo</t>
  </si>
  <si>
    <t>Guaranty Bank, (d/b/a BestBank in Georgia &amp; Michigan)</t>
  </si>
  <si>
    <t>Milwaukee</t>
  </si>
  <si>
    <t>WI</t>
  </si>
  <si>
    <t>First-Citizens Bank &amp; Trust Company</t>
  </si>
  <si>
    <t>First NBC Bank</t>
  </si>
  <si>
    <t>New Orleans</t>
  </si>
  <si>
    <t>LA</t>
  </si>
  <si>
    <t>Whitney Bank</t>
  </si>
  <si>
    <t>Proficio Bank</t>
  </si>
  <si>
    <t>Cottonwood Heights</t>
  </si>
  <si>
    <t>UT</t>
  </si>
  <si>
    <t>Cache Valley Bank</t>
  </si>
  <si>
    <t>Seaway Bank and Trust Company</t>
  </si>
  <si>
    <t>State Bank of Texas</t>
  </si>
  <si>
    <t>Harvest Community Bank</t>
  </si>
  <si>
    <t>Pennsville</t>
  </si>
  <si>
    <t>Allied Bank</t>
  </si>
  <si>
    <t>Mulberry</t>
  </si>
  <si>
    <t>AR</t>
  </si>
  <si>
    <t>Today's Bank</t>
  </si>
  <si>
    <t>The Woodbury Banking Company</t>
  </si>
  <si>
    <t>Woodbury</t>
  </si>
  <si>
    <t>GA</t>
  </si>
  <si>
    <t>United Bank</t>
  </si>
  <si>
    <t>First CornerStone Bank</t>
  </si>
  <si>
    <t>King of Prussia</t>
  </si>
  <si>
    <t>PA</t>
  </si>
  <si>
    <t>Trust Company Bank</t>
  </si>
  <si>
    <t>Memphis</t>
  </si>
  <si>
    <t>TN</t>
  </si>
  <si>
    <t>The Bank of Fayette County</t>
  </si>
  <si>
    <t>North Milwaukee State Bank</t>
  </si>
  <si>
    <t>Hometown National Bank</t>
  </si>
  <si>
    <t>Longview</t>
  </si>
  <si>
    <t>WA</t>
  </si>
  <si>
    <t>Twin City Bank</t>
  </si>
  <si>
    <t>The Bank of Georgia</t>
  </si>
  <si>
    <t>Peachtree City</t>
  </si>
  <si>
    <t>Fidelity Bank</t>
  </si>
  <si>
    <t>Premier Bank</t>
  </si>
  <si>
    <t>Denver</t>
  </si>
  <si>
    <t>CO</t>
  </si>
  <si>
    <t>Edgebrook Bank</t>
  </si>
  <si>
    <t>Republic Bank of Chicago</t>
  </si>
  <si>
    <t>Doral Bank
En Español</t>
  </si>
  <si>
    <t>San Juan</t>
  </si>
  <si>
    <t>PR</t>
  </si>
  <si>
    <t>Banco Popular de Puerto Rico</t>
  </si>
  <si>
    <t>Capitol City Bank &amp; Trust Company</t>
  </si>
  <si>
    <t>Atlanta</t>
  </si>
  <si>
    <t>Highland Community Bank</t>
  </si>
  <si>
    <t>First National Bank of Crestview</t>
  </si>
  <si>
    <t>Crestview</t>
  </si>
  <si>
    <t>Northern Star Bank</t>
  </si>
  <si>
    <t>Mankato</t>
  </si>
  <si>
    <t>MN</t>
  </si>
  <si>
    <t>BankVista</t>
  </si>
  <si>
    <t>Frontier Bank, FSB D/B/A El Paseo Bank</t>
  </si>
  <si>
    <t>Palm Desert</t>
  </si>
  <si>
    <t>Bank of Southern California, N.A.</t>
  </si>
  <si>
    <t>The National Republic Bank of Chicago</t>
  </si>
  <si>
    <t>NBRS Financial</t>
  </si>
  <si>
    <t>Rising Sun</t>
  </si>
  <si>
    <t>MD</t>
  </si>
  <si>
    <t>Howard Bank</t>
  </si>
  <si>
    <t>GreenChoice Bank, fsb</t>
  </si>
  <si>
    <t>Providence Bank, LLC</t>
  </si>
  <si>
    <t>Eastside Commercial Bank</t>
  </si>
  <si>
    <t>Conyers</t>
  </si>
  <si>
    <t>Community &amp; Southern Bank</t>
  </si>
  <si>
    <t>The Freedom State Bank</t>
  </si>
  <si>
    <t>Freedom</t>
  </si>
  <si>
    <t>OK</t>
  </si>
  <si>
    <t>Alva State Bank &amp; Trust Company</t>
  </si>
  <si>
    <t>Valley Bank</t>
  </si>
  <si>
    <t>Fort Lauderdale</t>
  </si>
  <si>
    <t>Landmark Bank, National Association</t>
  </si>
  <si>
    <t>Moline</t>
  </si>
  <si>
    <t>Great Southern Bank</t>
  </si>
  <si>
    <t>Slavie Federal Savings Bank</t>
  </si>
  <si>
    <t>Bel Air</t>
  </si>
  <si>
    <t>Bay Bank, FSB</t>
  </si>
  <si>
    <t>Columbia Savings Bank</t>
  </si>
  <si>
    <t>Cincinnati</t>
  </si>
  <si>
    <t>AztecAmerica Bank
En Español</t>
  </si>
  <si>
    <t>Berwyn</t>
  </si>
  <si>
    <t>Allendale County Bank</t>
  </si>
  <si>
    <t>Fairfax</t>
  </si>
  <si>
    <t>SC</t>
  </si>
  <si>
    <t>Palmetto State Bank</t>
  </si>
  <si>
    <t>Vantage Point Bank</t>
  </si>
  <si>
    <t>Horsham</t>
  </si>
  <si>
    <t>First Choice Bank</t>
  </si>
  <si>
    <t>Millennium Bank, National Association</t>
  </si>
  <si>
    <t>Sterling</t>
  </si>
  <si>
    <t>VA</t>
  </si>
  <si>
    <t>WashingtonFirst Bank</t>
  </si>
  <si>
    <t>Syringa Bank</t>
  </si>
  <si>
    <t>Boise</t>
  </si>
  <si>
    <t>ID</t>
  </si>
  <si>
    <t>Sunwest Bank</t>
  </si>
  <si>
    <t>The Bank of Union</t>
  </si>
  <si>
    <t>El Reno</t>
  </si>
  <si>
    <t>BancFirst</t>
  </si>
  <si>
    <t>DuPage National Bank</t>
  </si>
  <si>
    <t>West Chicago</t>
  </si>
  <si>
    <t>Texas Community Bank, National Association</t>
  </si>
  <si>
    <t>The Woodlands</t>
  </si>
  <si>
    <t>Spirit of Texas Bank, SSB</t>
  </si>
  <si>
    <t>Bank of Jackson County</t>
  </si>
  <si>
    <t>Graceville</t>
  </si>
  <si>
    <t>First Federal Bank of Florida</t>
  </si>
  <si>
    <t>First National Bank also operating as The National Bank of El Paso
En Español</t>
  </si>
  <si>
    <t>Edinburg</t>
  </si>
  <si>
    <t>PlainsCapital Bank</t>
  </si>
  <si>
    <t>The Community's Bank</t>
  </si>
  <si>
    <t>Bridgeport</t>
  </si>
  <si>
    <t>CT</t>
  </si>
  <si>
    <t>No Acquirer</t>
  </si>
  <si>
    <t>Sunrise Bank of Arizona</t>
  </si>
  <si>
    <t>Phoenix</t>
  </si>
  <si>
    <t>AZ</t>
  </si>
  <si>
    <t>First Fidelity Bank, National Association</t>
  </si>
  <si>
    <t>Community South Bank</t>
  </si>
  <si>
    <t>Parsons</t>
  </si>
  <si>
    <t>CB&amp;S Bank, Inc.</t>
  </si>
  <si>
    <t>Bank of Wausau</t>
  </si>
  <si>
    <t>Wausau</t>
  </si>
  <si>
    <t>Nicolet National Bank</t>
  </si>
  <si>
    <t>First Community Bank of Southwest Florida (also operating as Community Bank 
of Cape Coral)</t>
  </si>
  <si>
    <t>Fort Myers</t>
  </si>
  <si>
    <t>C1 Bank</t>
  </si>
  <si>
    <t>Mountain National Bank</t>
  </si>
  <si>
    <t>Sevierville</t>
  </si>
  <si>
    <t>First Tennessee Bank, National Association</t>
  </si>
  <si>
    <t>1st Commerce Bank</t>
  </si>
  <si>
    <t>North Las Vegas</t>
  </si>
  <si>
    <t>NV</t>
  </si>
  <si>
    <t>Plaza Bank</t>
  </si>
  <si>
    <t>Banks of Wisconsin d/b/a Bank of Kenosha</t>
  </si>
  <si>
    <t>Kenosha</t>
  </si>
  <si>
    <t>North Shore Bank, FSB</t>
  </si>
  <si>
    <t>Central Arizona Bank</t>
  </si>
  <si>
    <t>Scottsdale</t>
  </si>
  <si>
    <t>Western State Bank</t>
  </si>
  <si>
    <t>Sunrise Bank</t>
  </si>
  <si>
    <t>Valdosta</t>
  </si>
  <si>
    <t>Synovus Bank</t>
  </si>
  <si>
    <t>Pisgah Community Bank</t>
  </si>
  <si>
    <t>Asheville</t>
  </si>
  <si>
    <t>NC</t>
  </si>
  <si>
    <t>Capital Bank, N.A.</t>
  </si>
  <si>
    <t>Douglas County Bank</t>
  </si>
  <si>
    <t>Douglasville</t>
  </si>
  <si>
    <t>Hamilton State Bank</t>
  </si>
  <si>
    <t>Parkway Bank</t>
  </si>
  <si>
    <t>Lenoir</t>
  </si>
  <si>
    <t>CertusBank, National Association</t>
  </si>
  <si>
    <t>Chipola Community Bank</t>
  </si>
  <si>
    <t>Marianna</t>
  </si>
  <si>
    <t>Heritage Bank of North Florida</t>
  </si>
  <si>
    <t>Orange Park</t>
  </si>
  <si>
    <t>FirstAtlantic Bank</t>
  </si>
  <si>
    <t>First Federal Bank</t>
  </si>
  <si>
    <t>Lexington</t>
  </si>
  <si>
    <t>Your Community Bank</t>
  </si>
  <si>
    <t>Gold Canyon Bank</t>
  </si>
  <si>
    <t>Gold Canyon</t>
  </si>
  <si>
    <t>First Scottsdale Bank, National Association</t>
  </si>
  <si>
    <t>Frontier Bank</t>
  </si>
  <si>
    <t>LaGrange</t>
  </si>
  <si>
    <t>HeritageBank of the South</t>
  </si>
  <si>
    <t>Covenant Bank</t>
  </si>
  <si>
    <t>Liberty Bank and Trust Company</t>
  </si>
  <si>
    <t>1st Regents Bank</t>
  </si>
  <si>
    <t>Andover</t>
  </si>
  <si>
    <t>First Minnesota Bank</t>
  </si>
  <si>
    <t>Westside Community Bank</t>
  </si>
  <si>
    <t>University Place</t>
  </si>
  <si>
    <t>Community Bank of the Ozarks</t>
  </si>
  <si>
    <t>Sunrise Beach</t>
  </si>
  <si>
    <t>MO</t>
  </si>
  <si>
    <t>Bank of Sullivan</t>
  </si>
  <si>
    <t>Hometown Community Bank</t>
  </si>
  <si>
    <t>Braselton</t>
  </si>
  <si>
    <t>Citizens First National Bank</t>
  </si>
  <si>
    <t>Princeton</t>
  </si>
  <si>
    <t>Heartland Bank and Trust Company</t>
  </si>
  <si>
    <t>Heritage Bank of Florida</t>
  </si>
  <si>
    <t>Lutz</t>
  </si>
  <si>
    <t>Centennial Bank</t>
  </si>
  <si>
    <t>NOVA Bank</t>
  </si>
  <si>
    <t>Excel Bank</t>
  </si>
  <si>
    <t>Sedalia</t>
  </si>
  <si>
    <t>Simmons First National Bank</t>
  </si>
  <si>
    <t>First East Side Savings Bank</t>
  </si>
  <si>
    <t>Tamarac</t>
  </si>
  <si>
    <t>Stearns Bank N.A.</t>
  </si>
  <si>
    <t>GulfSouth Private Bank</t>
  </si>
  <si>
    <t>Destin</t>
  </si>
  <si>
    <t>SmartBank</t>
  </si>
  <si>
    <t>First United Bank</t>
  </si>
  <si>
    <t>Crete</t>
  </si>
  <si>
    <t>Old Plank Trail Community Bank, National Association</t>
  </si>
  <si>
    <t>Truman Bank</t>
  </si>
  <si>
    <t>St. Louis</t>
  </si>
  <si>
    <t>First Commercial Bank</t>
  </si>
  <si>
    <t>Bloomington</t>
  </si>
  <si>
    <t>Republic Bank &amp; Trust Company</t>
  </si>
  <si>
    <t>Waukegan Savings Bank</t>
  </si>
  <si>
    <t>Waukegan</t>
  </si>
  <si>
    <t>First Midwest Bank</t>
  </si>
  <si>
    <t>Jasper Banking Company</t>
  </si>
  <si>
    <t>Jasper</t>
  </si>
  <si>
    <t>Second Federal Savings and Loan Association of Chicago</t>
  </si>
  <si>
    <t>Hinsdale Bank &amp; Trust Company</t>
  </si>
  <si>
    <t>Heartland Bank</t>
  </si>
  <si>
    <t>Leawood</t>
  </si>
  <si>
    <t>Metcalf Bank</t>
  </si>
  <si>
    <t>First Cherokee State Bank</t>
  </si>
  <si>
    <t>Woodstock</t>
  </si>
  <si>
    <t>Georgia Trust Bank</t>
  </si>
  <si>
    <t>Buford</t>
  </si>
  <si>
    <t>The Royal Palm Bank of Florida</t>
  </si>
  <si>
    <t>Naples</t>
  </si>
  <si>
    <t>First National Bank of the Gulf Coast</t>
  </si>
  <si>
    <t>Glasgow Savings Bank</t>
  </si>
  <si>
    <t>Glasgow</t>
  </si>
  <si>
    <t>Regional Missouri Bank</t>
  </si>
  <si>
    <t>Montgomery Bank &amp; Trust</t>
  </si>
  <si>
    <t>Ailey</t>
  </si>
  <si>
    <t>Ameris Bank</t>
  </si>
  <si>
    <t>The Farmers Bank of Lynchburg</t>
  </si>
  <si>
    <t>Lynchburg</t>
  </si>
  <si>
    <t>Clayton Bank and Trust</t>
  </si>
  <si>
    <t>Security Exchange Bank</t>
  </si>
  <si>
    <t>Marietta</t>
  </si>
  <si>
    <t>Putnam State Bank</t>
  </si>
  <si>
    <t>Palatka</t>
  </si>
  <si>
    <t>Harbor Community Bank</t>
  </si>
  <si>
    <t>Waccamaw Bank</t>
  </si>
  <si>
    <t>Whiteville</t>
  </si>
  <si>
    <t>First Community Bank</t>
  </si>
  <si>
    <t>Farmers' and Traders' State Bank</t>
  </si>
  <si>
    <t>Shabbona</t>
  </si>
  <si>
    <t>First State Bank</t>
  </si>
  <si>
    <t>Carolina Federal Savings Bank</t>
  </si>
  <si>
    <t>Charleston</t>
  </si>
  <si>
    <t>Bank of North Carolina</t>
  </si>
  <si>
    <t>First Capital Bank</t>
  </si>
  <si>
    <t>Kingfisher</t>
  </si>
  <si>
    <t>F &amp; M Bank</t>
  </si>
  <si>
    <t>Alabama Trust Bank, National Association</t>
  </si>
  <si>
    <t>Sylacauga</t>
  </si>
  <si>
    <t>AL</t>
  </si>
  <si>
    <t>Southern States Bank</t>
  </si>
  <si>
    <t>Security Bank, National Association</t>
  </si>
  <si>
    <t>North Lauderdale</t>
  </si>
  <si>
    <t>Banesco USA</t>
  </si>
  <si>
    <t>Palm Desert National Bank</t>
  </si>
  <si>
    <t>Pacific Premier Bank</t>
  </si>
  <si>
    <t>Plantation Federal Bank</t>
  </si>
  <si>
    <t>Pawleys Island</t>
  </si>
  <si>
    <t>Inter Savings Bank, fsb D/B/A InterBank, fsb</t>
  </si>
  <si>
    <t>Maple Grove</t>
  </si>
  <si>
    <t>HarVest Bank of Maryland</t>
  </si>
  <si>
    <t>Gaithersburg</t>
  </si>
  <si>
    <t>Sonabank</t>
  </si>
  <si>
    <t>Bank of the Eastern Shore</t>
  </si>
  <si>
    <t>Cambridge</t>
  </si>
  <si>
    <t>Fort Lee Federal Savings Bank, FSB</t>
  </si>
  <si>
    <t>Fort Lee</t>
  </si>
  <si>
    <t>Alma Bank</t>
  </si>
  <si>
    <t>Dearborn</t>
  </si>
  <si>
    <t>MI</t>
  </si>
  <si>
    <t>The Huntington National Bank</t>
  </si>
  <si>
    <t>Wilmette</t>
  </si>
  <si>
    <t>International Bank of Chicago</t>
  </si>
  <si>
    <t>Covenant Bank &amp; Trust</t>
  </si>
  <si>
    <t>Rock Spring</t>
  </si>
  <si>
    <t>Stearns Bank, N.A.</t>
  </si>
  <si>
    <t>New City Bank</t>
  </si>
  <si>
    <t>Global Commerce Bank</t>
  </si>
  <si>
    <t>Doraville</t>
  </si>
  <si>
    <t>Metro City Bank</t>
  </si>
  <si>
    <t>Home Savings of America</t>
  </si>
  <si>
    <t>Little Falls</t>
  </si>
  <si>
    <t>Central Bank of Georgia</t>
  </si>
  <si>
    <t>Ellaville</t>
  </si>
  <si>
    <t>SCB Bank</t>
  </si>
  <si>
    <t>Shelbyville</t>
  </si>
  <si>
    <t>IN</t>
  </si>
  <si>
    <t>First Merchants Bank, National Association</t>
  </si>
  <si>
    <t>Charter National Bank and Trust</t>
  </si>
  <si>
    <t>Hoffman Estates</t>
  </si>
  <si>
    <t>Barrington Bank &amp; Trust Company, National Association</t>
  </si>
  <si>
    <t>BankEast</t>
  </si>
  <si>
    <t>Knoxville</t>
  </si>
  <si>
    <t>U.S. Bank, N.A.</t>
  </si>
  <si>
    <t>Patriot Bank Minnesota</t>
  </si>
  <si>
    <t>Forest Lake</t>
  </si>
  <si>
    <t>First Resource Bank</t>
  </si>
  <si>
    <t>Tennessee Commerce Bank</t>
  </si>
  <si>
    <t>Franklin</t>
  </si>
  <si>
    <t>First Guaranty Bank and Trust Company of Jacksonville</t>
  </si>
  <si>
    <t>Jacksonville</t>
  </si>
  <si>
    <t>CenterState Bank of Florida, N.A.</t>
  </si>
  <si>
    <t>American Eagle Savings Bank</t>
  </si>
  <si>
    <t>Boothwyn</t>
  </si>
  <si>
    <t>Stockbridge</t>
  </si>
  <si>
    <t>Central Florida State Bank</t>
  </si>
  <si>
    <t>Belleview</t>
  </si>
  <si>
    <t>Western National Bank</t>
  </si>
  <si>
    <t>Washington Federal</t>
  </si>
  <si>
    <t>Premier Community Bank of the Emerald Coast</t>
  </si>
  <si>
    <t>Summit Bank</t>
  </si>
  <si>
    <t>Central Progressive Bank</t>
  </si>
  <si>
    <t>Lacombe</t>
  </si>
  <si>
    <t>Polk County Bank</t>
  </si>
  <si>
    <t>Johnston</t>
  </si>
  <si>
    <t>IA</t>
  </si>
  <si>
    <t>Grinnell State Bank</t>
  </si>
  <si>
    <t>Community Bank of Rockmart</t>
  </si>
  <si>
    <t>Rockmart</t>
  </si>
  <si>
    <t>Century Bank of Georgia</t>
  </si>
  <si>
    <t>SunFirst Bank</t>
  </si>
  <si>
    <t>Saint George</t>
  </si>
  <si>
    <t>Mid City Bank, Inc.</t>
  </si>
  <si>
    <t>Omaha</t>
  </si>
  <si>
    <t>All American Bank</t>
  </si>
  <si>
    <t>Des Plaines</t>
  </si>
  <si>
    <t>Community Banks of Colorado</t>
  </si>
  <si>
    <t>Greenwood Village</t>
  </si>
  <si>
    <t>Bank Midwest, N.A.</t>
  </si>
  <si>
    <t>Community Capital Bank</t>
  </si>
  <si>
    <t>Jonesboro</t>
  </si>
  <si>
    <t>State Bank and Trust Company</t>
  </si>
  <si>
    <t>Decatur First Bank</t>
  </si>
  <si>
    <t>Decatur</t>
  </si>
  <si>
    <t>Old Harbor Bank</t>
  </si>
  <si>
    <t>Clearwater</t>
  </si>
  <si>
    <t>1st United Bank</t>
  </si>
  <si>
    <t>Country Bank</t>
  </si>
  <si>
    <t>Aledo</t>
  </si>
  <si>
    <t>Blackhawk Bank &amp; Trust</t>
  </si>
  <si>
    <t>Cranford</t>
  </si>
  <si>
    <t>Northfield Bank</t>
  </si>
  <si>
    <t>Blue Ridge Savings Bank, Inc.</t>
  </si>
  <si>
    <t>Piedmont Community Bank</t>
  </si>
  <si>
    <t>Gray</t>
  </si>
  <si>
    <t>Sun Security Bank</t>
  </si>
  <si>
    <t>Ellington</t>
  </si>
  <si>
    <t>The RiverBank</t>
  </si>
  <si>
    <t>Wyoming</t>
  </si>
  <si>
    <t>Central Bank</t>
  </si>
  <si>
    <t>First International Bank</t>
  </si>
  <si>
    <t>Plano</t>
  </si>
  <si>
    <t>American First National Bank</t>
  </si>
  <si>
    <t>Citizens Bank of Northern California</t>
  </si>
  <si>
    <t>Nevada City</t>
  </si>
  <si>
    <t>Tri Counties Bank</t>
  </si>
  <si>
    <t>Bank of the Commonwealth</t>
  </si>
  <si>
    <t>Norfolk</t>
  </si>
  <si>
    <t>Southern Bank and Trust Company</t>
  </si>
  <si>
    <t>The First National Bank of Florida</t>
  </si>
  <si>
    <t>Milton</t>
  </si>
  <si>
    <t>CharterBank</t>
  </si>
  <si>
    <t>CreekSide Bank</t>
  </si>
  <si>
    <t>Georgia Commerce Bank</t>
  </si>
  <si>
    <t>Patriot Bank of Georgia</t>
  </si>
  <si>
    <t>Cumming</t>
  </si>
  <si>
    <t>Geneva</t>
  </si>
  <si>
    <t>Inland Bank &amp; Trust</t>
  </si>
  <si>
    <t>First Southern National Bank</t>
  </si>
  <si>
    <t>Statesboro</t>
  </si>
  <si>
    <t>Heritage Bank of the South</t>
  </si>
  <si>
    <t>Lydian Private Bank</t>
  </si>
  <si>
    <t>Palm Beach</t>
  </si>
  <si>
    <t>Sabadell United Bank, N.A.</t>
  </si>
  <si>
    <t>Public Savings Bank</t>
  </si>
  <si>
    <t>Huntingdon Valley</t>
  </si>
  <si>
    <t>The First National Bank of Olathe</t>
  </si>
  <si>
    <t>Olathe</t>
  </si>
  <si>
    <t>Enterprise Bank &amp; Trust</t>
  </si>
  <si>
    <t>Bank of Whitman</t>
  </si>
  <si>
    <t>Colfax</t>
  </si>
  <si>
    <t>Columbia State Bank</t>
  </si>
  <si>
    <t>Bank of Shorewood</t>
  </si>
  <si>
    <t>Shorewood</t>
  </si>
  <si>
    <t>Integra Bank National Association</t>
  </si>
  <si>
    <t>Evansville</t>
  </si>
  <si>
    <t>Old National Bank</t>
  </si>
  <si>
    <t>BankMeridian, N.A.</t>
  </si>
  <si>
    <t>Columbia</t>
  </si>
  <si>
    <t>SCBT National Association</t>
  </si>
  <si>
    <t>Virginia Business Bank</t>
  </si>
  <si>
    <t>Richmond</t>
  </si>
  <si>
    <t>Xenith Bank</t>
  </si>
  <si>
    <t>Bank of Choice</t>
  </si>
  <si>
    <t>Greeley</t>
  </si>
  <si>
    <t>LandMark Bank of Florida</t>
  </si>
  <si>
    <t>Sarasota</t>
  </si>
  <si>
    <t>American Momentum Bank</t>
  </si>
  <si>
    <t>Southshore Community Bank</t>
  </si>
  <si>
    <t>Apollo Beach</t>
  </si>
  <si>
    <t>Prescott</t>
  </si>
  <si>
    <t>The Foothills Bank</t>
  </si>
  <si>
    <t>First Peoples Bank</t>
  </si>
  <si>
    <t>Port St. Lucie</t>
  </si>
  <si>
    <t>Premier American Bank, N.A.</t>
  </si>
  <si>
    <t>High Trust Bank</t>
  </si>
  <si>
    <t>One Georgia Bank</t>
  </si>
  <si>
    <t>Windsor</t>
  </si>
  <si>
    <t>Points West Community Bank</t>
  </si>
  <si>
    <t>Colorado Capital Bank</t>
  </si>
  <si>
    <t>Castle Rock</t>
  </si>
  <si>
    <t>First Chicago Bank &amp; Trust</t>
  </si>
  <si>
    <t>Northbrook Bank &amp; Trust Company</t>
  </si>
  <si>
    <t>Mountain Heritage Bank</t>
  </si>
  <si>
    <t>Clayton</t>
  </si>
  <si>
    <t>First American Bank and Trust Company</t>
  </si>
  <si>
    <t>First Commercial Bank of Tampa Bay</t>
  </si>
  <si>
    <t>Tampa</t>
  </si>
  <si>
    <t>Stonegate Bank</t>
  </si>
  <si>
    <t>McIntosh State Bank</t>
  </si>
  <si>
    <t>Jackson</t>
  </si>
  <si>
    <t>Atlantic Bank and Trust</t>
  </si>
  <si>
    <t>First Citizens Bank and Trust Company, Inc.</t>
  </si>
  <si>
    <t>First Heritage Bank</t>
  </si>
  <si>
    <t>Snohomish</t>
  </si>
  <si>
    <t>Burlington</t>
  </si>
  <si>
    <t>First Georgia Banking Company</t>
  </si>
  <si>
    <t>Atlantic Southern Bank</t>
  </si>
  <si>
    <t>Macon</t>
  </si>
  <si>
    <t>Coastal Bank</t>
  </si>
  <si>
    <t>Cocoa Beach</t>
  </si>
  <si>
    <t>Florida Community Bank, a division of Premier American Bank, N.A.</t>
  </si>
  <si>
    <t>Community Central Bank</t>
  </si>
  <si>
    <t>Mount Clemens</t>
  </si>
  <si>
    <t>Talmer Bank &amp; Trust</t>
  </si>
  <si>
    <t>The Park Avenue Bank</t>
  </si>
  <si>
    <t>Bank of the Ozarks</t>
  </si>
  <si>
    <t>First Choice Community Bank</t>
  </si>
  <si>
    <t>Dallas</t>
  </si>
  <si>
    <t>Cortez Community Bank</t>
  </si>
  <si>
    <t>Brooksville</t>
  </si>
  <si>
    <t>First National Bank of Central Florida</t>
  </si>
  <si>
    <t>Winter Park</t>
  </si>
  <si>
    <t>Heritage Banking Group</t>
  </si>
  <si>
    <t>Carthage</t>
  </si>
  <si>
    <t>MS</t>
  </si>
  <si>
    <t>Trustmark National Bank</t>
  </si>
  <si>
    <t>Rosemount National Bank</t>
  </si>
  <si>
    <t>Rosemount</t>
  </si>
  <si>
    <t>Superior Bank</t>
  </si>
  <si>
    <t>Birmingham</t>
  </si>
  <si>
    <t>Superior Bank, National Association</t>
  </si>
  <si>
    <t>Nexity Bank</t>
  </si>
  <si>
    <t>AloStar Bank of Commerce</t>
  </si>
  <si>
    <t>New Horizons Bank</t>
  </si>
  <si>
    <t>East Ellijay</t>
  </si>
  <si>
    <t>Citizens South Bank</t>
  </si>
  <si>
    <t>Bartow County Bank</t>
  </si>
  <si>
    <t>Cartersville</t>
  </si>
  <si>
    <t>Nevada Commerce Bank</t>
  </si>
  <si>
    <t>Las Vegas</t>
  </si>
  <si>
    <t>City National Bank</t>
  </si>
  <si>
    <t>Western Springs National Bank and Trust</t>
  </si>
  <si>
    <t>Western Springs</t>
  </si>
  <si>
    <t>The Bank of Commerce</t>
  </si>
  <si>
    <t>Wood Dale</t>
  </si>
  <si>
    <t>Advantage National Bank Group</t>
  </si>
  <si>
    <t>Legacy Bank</t>
  </si>
  <si>
    <t>First National Bank of Davis</t>
  </si>
  <si>
    <t>Davis</t>
  </si>
  <si>
    <t>The Pauls Valley National Bank</t>
  </si>
  <si>
    <t>Valley Community Bank</t>
  </si>
  <si>
    <t>St. Charles</t>
  </si>
  <si>
    <t>San Luis Trust Bank, FSB</t>
  </si>
  <si>
    <t>San Luis Obispo</t>
  </si>
  <si>
    <t>First California Bank</t>
  </si>
  <si>
    <t>Charter Oak Bank</t>
  </si>
  <si>
    <t>Napa</t>
  </si>
  <si>
    <t>Bank of Marin</t>
  </si>
  <si>
    <t>Citizens Bank of Effingham</t>
  </si>
  <si>
    <t>Springfield</t>
  </si>
  <si>
    <t>Habersham Bank</t>
  </si>
  <si>
    <t>Clarkesville</t>
  </si>
  <si>
    <t>Canyon National Bank</t>
  </si>
  <si>
    <t>Palm Springs</t>
  </si>
  <si>
    <t>Badger State Bank</t>
  </si>
  <si>
    <t>Cassville</t>
  </si>
  <si>
    <t>Royal Bank</t>
  </si>
  <si>
    <t>Peoples State Bank</t>
  </si>
  <si>
    <t>Hamtramck</t>
  </si>
  <si>
    <t>First Michigan Bank</t>
  </si>
  <si>
    <t>Sunshine State Community Bank</t>
  </si>
  <si>
    <t>Port Orange</t>
  </si>
  <si>
    <t>Community First Bank Chicago</t>
  </si>
  <si>
    <t>North Georgia Bank</t>
  </si>
  <si>
    <t>Watkinsville</t>
  </si>
  <si>
    <t>BankSouth</t>
  </si>
  <si>
    <t>American Trust Bank</t>
  </si>
  <si>
    <t>Roswell</t>
  </si>
  <si>
    <t>Renasant Bank</t>
  </si>
  <si>
    <t>Taos</t>
  </si>
  <si>
    <t>NM</t>
  </si>
  <si>
    <t>FirsTier Bank</t>
  </si>
  <si>
    <t>Louisville</t>
  </si>
  <si>
    <t>Evergreen State Bank</t>
  </si>
  <si>
    <t>Stoughton</t>
  </si>
  <si>
    <t>McFarland State Bank</t>
  </si>
  <si>
    <t>Camargo</t>
  </si>
  <si>
    <t>Bank 7</t>
  </si>
  <si>
    <t>United Western Bank</t>
  </si>
  <si>
    <t>The Bank of Asheville</t>
  </si>
  <si>
    <t>First Bank</t>
  </si>
  <si>
    <t>CommunitySouth Bank &amp; Trust</t>
  </si>
  <si>
    <t>Easley</t>
  </si>
  <si>
    <t>Enterprise Banking Company</t>
  </si>
  <si>
    <t>McDonough</t>
  </si>
  <si>
    <t>Oglethorpe Bank</t>
  </si>
  <si>
    <t>Brunswick</t>
  </si>
  <si>
    <t>First Commercial Bank of Florida</t>
  </si>
  <si>
    <t>Orlando</t>
  </si>
  <si>
    <t>First Southern Bank</t>
  </si>
  <si>
    <t>Community National Bank</t>
  </si>
  <si>
    <t>Lino Lakes</t>
  </si>
  <si>
    <t>Farmers &amp; Merchants Savings Bank</t>
  </si>
  <si>
    <t>Batesville</t>
  </si>
  <si>
    <t>Southern Bank</t>
  </si>
  <si>
    <t>United Americas Bank, N.A.</t>
  </si>
  <si>
    <t>Appalachian Community Bank, FSB</t>
  </si>
  <si>
    <t>McCaysville</t>
  </si>
  <si>
    <t>Peoples Bank of East Tennessee</t>
  </si>
  <si>
    <t>Chestatee State Bank</t>
  </si>
  <si>
    <t>Dawsonville</t>
  </si>
  <si>
    <t>The Bank of Miami,N.A.</t>
  </si>
  <si>
    <t>Coral Gables</t>
  </si>
  <si>
    <t>Earthstar Bank</t>
  </si>
  <si>
    <t>Southampton</t>
  </si>
  <si>
    <t>Polonia Bank</t>
  </si>
  <si>
    <t>Paramount Bank</t>
  </si>
  <si>
    <t>Farmington Hills</t>
  </si>
  <si>
    <t>Level One Bank</t>
  </si>
  <si>
    <t>First Banking Center</t>
  </si>
  <si>
    <t>Allegiance Bank of North America</t>
  </si>
  <si>
    <t>Bala Cynwyd</t>
  </si>
  <si>
    <t>VIST Bank</t>
  </si>
  <si>
    <t>Gulf State Community Bank</t>
  </si>
  <si>
    <t>Carrabelle</t>
  </si>
  <si>
    <t>Copper Star Bank</t>
  </si>
  <si>
    <t>Darby Bank &amp; Trust Co.</t>
  </si>
  <si>
    <t>Vidalia</t>
  </si>
  <si>
    <t>Tifton Banking Company</t>
  </si>
  <si>
    <t>Tifton</t>
  </si>
  <si>
    <t>First Vietnamese American Bank</t>
  </si>
  <si>
    <t>Westminster</t>
  </si>
  <si>
    <t>Grandpoint Bank</t>
  </si>
  <si>
    <t>Pierce Commercial Bank</t>
  </si>
  <si>
    <t>Tacoma</t>
  </si>
  <si>
    <t>Heritage Bank</t>
  </si>
  <si>
    <t>Western Commercial Bank</t>
  </si>
  <si>
    <t>Woodland Hills</t>
  </si>
  <si>
    <t>K Bank</t>
  </si>
  <si>
    <t>Randallstown</t>
  </si>
  <si>
    <t>Manufacturers and Traders Trust Company (M&amp;T Bank)</t>
  </si>
  <si>
    <t>First Arizona Savings, A FSB</t>
  </si>
  <si>
    <t>Hillcrest Bank</t>
  </si>
  <si>
    <t>Overland Park</t>
  </si>
  <si>
    <t>Hillcrest Bank, N.A.</t>
  </si>
  <si>
    <t>First Suburban National Bank</t>
  </si>
  <si>
    <t>Maywood</t>
  </si>
  <si>
    <t>The First National Bank of Barnesville</t>
  </si>
  <si>
    <t>Barnesville</t>
  </si>
  <si>
    <t>The Gordon Bank</t>
  </si>
  <si>
    <t>Gordon</t>
  </si>
  <si>
    <t>Morris Bank</t>
  </si>
  <si>
    <t>Progress Bank of Florida</t>
  </si>
  <si>
    <t>Bay Cities Bank</t>
  </si>
  <si>
    <t>First Bank of Jacksonville</t>
  </si>
  <si>
    <t>Jefferson City</t>
  </si>
  <si>
    <t>Providence Bank</t>
  </si>
  <si>
    <t>WestBridge Bank and Trust Company</t>
  </si>
  <si>
    <t>Chesterfield</t>
  </si>
  <si>
    <t>Midland States Bank</t>
  </si>
  <si>
    <t>Security Savings Bank, F.S.B.</t>
  </si>
  <si>
    <t>Shoreline Bank</t>
  </si>
  <si>
    <t>Shoreline</t>
  </si>
  <si>
    <t>GBC International Bank</t>
  </si>
  <si>
    <t>Wakulla Bank</t>
  </si>
  <si>
    <t>Crawfordville</t>
  </si>
  <si>
    <t>North County Bank</t>
  </si>
  <si>
    <t>Arlington</t>
  </si>
  <si>
    <t>Whidbey Island Bank</t>
  </si>
  <si>
    <t>Haven Trust Bank Florida</t>
  </si>
  <si>
    <t>Ponte Vedra Beach</t>
  </si>
  <si>
    <t>Maritime Savings Bank</t>
  </si>
  <si>
    <t>West Allis</t>
  </si>
  <si>
    <t>Bramble Savings Bank</t>
  </si>
  <si>
    <t>Milford</t>
  </si>
  <si>
    <t>Foundation Bank</t>
  </si>
  <si>
    <t>The Peoples Bank</t>
  </si>
  <si>
    <t>Winder</t>
  </si>
  <si>
    <t>First Commerce Community Bank</t>
  </si>
  <si>
    <t>Bank of Ellijay</t>
  </si>
  <si>
    <t>Ellijay</t>
  </si>
  <si>
    <t>ISN Bank</t>
  </si>
  <si>
    <t>Cherry Hill</t>
  </si>
  <si>
    <t>Customers Bank</t>
  </si>
  <si>
    <t>Horizon Bank</t>
  </si>
  <si>
    <t>Bradenton</t>
  </si>
  <si>
    <t>Sonoma Valley Bank</t>
  </si>
  <si>
    <t>Sonoma</t>
  </si>
  <si>
    <t>Westamerica Bank</t>
  </si>
  <si>
    <t>Los Padres Bank</t>
  </si>
  <si>
    <t>Solvang</t>
  </si>
  <si>
    <t>Pacific Western Bank</t>
  </si>
  <si>
    <t>Butte Community Bank</t>
  </si>
  <si>
    <t>Chico</t>
  </si>
  <si>
    <t>Rabobank, N.A.</t>
  </si>
  <si>
    <t>Pacific State Bank</t>
  </si>
  <si>
    <t>Stockton</t>
  </si>
  <si>
    <t>ShoreBank</t>
  </si>
  <si>
    <t>Urban Partnership Bank</t>
  </si>
  <si>
    <t>Imperial Savings and Loan Association</t>
  </si>
  <si>
    <t>Martinsville</t>
  </si>
  <si>
    <t>River Community Bank, N.A.</t>
  </si>
  <si>
    <t>Independent National Bank</t>
  </si>
  <si>
    <t>Ocala</t>
  </si>
  <si>
    <t>Community National Bank at Bartow</t>
  </si>
  <si>
    <t>Bartow</t>
  </si>
  <si>
    <t>Palos Bank and Trust Company</t>
  </si>
  <si>
    <t>Palos Heights</t>
  </si>
  <si>
    <t>Ravenswood Bank</t>
  </si>
  <si>
    <t>LibertyBank</t>
  </si>
  <si>
    <t>Eugene</t>
  </si>
  <si>
    <t>OR</t>
  </si>
  <si>
    <t>Home Federal Bank</t>
  </si>
  <si>
    <t>The Cowlitz Bank</t>
  </si>
  <si>
    <t>Coastal Community Bank</t>
  </si>
  <si>
    <t>Panama City Beach</t>
  </si>
  <si>
    <t>Bayside Savings Bank</t>
  </si>
  <si>
    <t>Port Saint Joe</t>
  </si>
  <si>
    <t>Northwest Bank &amp; Trust</t>
  </si>
  <si>
    <t>Acworth</t>
  </si>
  <si>
    <t>Home Valley Bank</t>
  </si>
  <si>
    <t>Cave Junction</t>
  </si>
  <si>
    <t>South Valley Bank &amp; Trust</t>
  </si>
  <si>
    <t>SouthwestUSA Bank</t>
  </si>
  <si>
    <t>Community Security Bank</t>
  </si>
  <si>
    <t>New Prague</t>
  </si>
  <si>
    <t>Roundbank</t>
  </si>
  <si>
    <t>Thunder Bank</t>
  </si>
  <si>
    <t>Sylvan Grove</t>
  </si>
  <si>
    <t>The Bennington State Bank</t>
  </si>
  <si>
    <t>Williamsburg First National Bank</t>
  </si>
  <si>
    <t>Kingstree</t>
  </si>
  <si>
    <t>Crescent Bank and Trust Company</t>
  </si>
  <si>
    <t>Sterling Bank</t>
  </si>
  <si>
    <t>Lantana</t>
  </si>
  <si>
    <t>IBERIABANK</t>
  </si>
  <si>
    <t>Mainstreet Savings Bank, FSB</t>
  </si>
  <si>
    <t>Hastings</t>
  </si>
  <si>
    <t>Commercial Bank</t>
  </si>
  <si>
    <t>Olde Cypress Community Bank</t>
  </si>
  <si>
    <t>Clewiston</t>
  </si>
  <si>
    <t>Turnberry Bank</t>
  </si>
  <si>
    <t>Aventura</t>
  </si>
  <si>
    <t>NAFH National Bank</t>
  </si>
  <si>
    <t>Metro Bank of Dade County</t>
  </si>
  <si>
    <t>Miami</t>
  </si>
  <si>
    <t>First National Bank of the South</t>
  </si>
  <si>
    <t>Spartanburg</t>
  </si>
  <si>
    <t>Woodlands Bank</t>
  </si>
  <si>
    <t>Bluffton</t>
  </si>
  <si>
    <t>Home National Bank</t>
  </si>
  <si>
    <t>Blackwell</t>
  </si>
  <si>
    <t>RCB Bank</t>
  </si>
  <si>
    <t>USA Bank</t>
  </si>
  <si>
    <t>Port Chester</t>
  </si>
  <si>
    <t>New Century Bank</t>
  </si>
  <si>
    <t>Ideal Federal Savings Bank</t>
  </si>
  <si>
    <t>Baltimore</t>
  </si>
  <si>
    <t>Bay National Bank</t>
  </si>
  <si>
    <t>High Desert State Bank</t>
  </si>
  <si>
    <t>Albuquerque</t>
  </si>
  <si>
    <t>First American Bank</t>
  </si>
  <si>
    <t>First National Bank</t>
  </si>
  <si>
    <t>Savannah</t>
  </si>
  <si>
    <t>The Savannah Bank, N.A.</t>
  </si>
  <si>
    <t>Peninsula Bank</t>
  </si>
  <si>
    <t>Englewood</t>
  </si>
  <si>
    <t>Nevada Security Bank</t>
  </si>
  <si>
    <t>Reno</t>
  </si>
  <si>
    <t>Umpqua Bank</t>
  </si>
  <si>
    <t>Washington First International Bank</t>
  </si>
  <si>
    <t>Seattle</t>
  </si>
  <si>
    <t>East West Bank</t>
  </si>
  <si>
    <t>TierOne Bank</t>
  </si>
  <si>
    <t>Lincoln</t>
  </si>
  <si>
    <t>Great Western Bank</t>
  </si>
  <si>
    <t>Arcola Homestead Savings Bank</t>
  </si>
  <si>
    <t>Arcola</t>
  </si>
  <si>
    <t>Rosedale</t>
  </si>
  <si>
    <t>The Jefferson Bank</t>
  </si>
  <si>
    <t>Sun West Bank</t>
  </si>
  <si>
    <t>Granite Community Bank, NA</t>
  </si>
  <si>
    <t>Granite Bay</t>
  </si>
  <si>
    <t>Bank of Florida - Tampa</t>
  </si>
  <si>
    <t>EverBank</t>
  </si>
  <si>
    <t>Bank of Florida - Southwest</t>
  </si>
  <si>
    <t>Bank of Florida - Southeast</t>
  </si>
  <si>
    <t>Pinehurst Bank</t>
  </si>
  <si>
    <t>Saint Paul</t>
  </si>
  <si>
    <t>Coulee Bank</t>
  </si>
  <si>
    <t>Midwest Bank and Trust Company</t>
  </si>
  <si>
    <t>Elmwood Park</t>
  </si>
  <si>
    <t>FirstMerit Bank, N.A.</t>
  </si>
  <si>
    <t>Southwest Community Bank</t>
  </si>
  <si>
    <t>New Liberty Bank</t>
  </si>
  <si>
    <t>Plymouth</t>
  </si>
  <si>
    <t>Bank of Ann Arbor</t>
  </si>
  <si>
    <t>Satilla Community Bank</t>
  </si>
  <si>
    <t>Saint Marys</t>
  </si>
  <si>
    <t>1st Pacific Bank of California</t>
  </si>
  <si>
    <t>San Diego</t>
  </si>
  <si>
    <t>Towne Bank of Arizona</t>
  </si>
  <si>
    <t>Mesa</t>
  </si>
  <si>
    <t>Commerce Bank of Arizona</t>
  </si>
  <si>
    <t>Access Bank</t>
  </si>
  <si>
    <t>Champlin</t>
  </si>
  <si>
    <t>PrinsBank</t>
  </si>
  <si>
    <t>The Bank of Bonifay</t>
  </si>
  <si>
    <t>Bonifay</t>
  </si>
  <si>
    <t>Everett</t>
  </si>
  <si>
    <t>Union Bank, N.A.</t>
  </si>
  <si>
    <t>BC National Banks</t>
  </si>
  <si>
    <t>Butler</t>
  </si>
  <si>
    <t>Community First Bank</t>
  </si>
  <si>
    <t>Champion Bank</t>
  </si>
  <si>
    <t>Creve Coeur</t>
  </si>
  <si>
    <t>BankLiberty</t>
  </si>
  <si>
    <t>CF Bancorp</t>
  </si>
  <si>
    <t>Port Huron</t>
  </si>
  <si>
    <t>Westernbank Puerto Rico
En Español</t>
  </si>
  <si>
    <t>Mayaguez</t>
  </si>
  <si>
    <t>R-G Premier Bank of Puerto Rico
En Español</t>
  </si>
  <si>
    <t>Hato Rey</t>
  </si>
  <si>
    <t>Scotiabank de Puerto Rico</t>
  </si>
  <si>
    <t>Eurobank
En Español</t>
  </si>
  <si>
    <t>Oriental Bank and Trust</t>
  </si>
  <si>
    <t>Wheatland Bank</t>
  </si>
  <si>
    <t>Naperville</t>
  </si>
  <si>
    <t>Wheaton Bank &amp; Trust</t>
  </si>
  <si>
    <t>Peotone Bank and Trust Company</t>
  </si>
  <si>
    <t>Peotone</t>
  </si>
  <si>
    <t>Lincoln Park Savings Bank</t>
  </si>
  <si>
    <t>MB Financial Bank, N.A.</t>
  </si>
  <si>
    <t>Citizens Bank and Trust Company of Chicago</t>
  </si>
  <si>
    <t>Broadway Bank</t>
  </si>
  <si>
    <t>Amcore Bank, National Association</t>
  </si>
  <si>
    <t>Rockford</t>
  </si>
  <si>
    <t>Harris N.A.</t>
  </si>
  <si>
    <t>City Bank</t>
  </si>
  <si>
    <t>Lynnwood</t>
  </si>
  <si>
    <t>Tamalpais Bank</t>
  </si>
  <si>
    <t>San Rafael</t>
  </si>
  <si>
    <t>Innovative Bank</t>
  </si>
  <si>
    <t>Oakland</t>
  </si>
  <si>
    <t>Center Bank</t>
  </si>
  <si>
    <t>Butler Bank</t>
  </si>
  <si>
    <t>Lowell</t>
  </si>
  <si>
    <t>MA</t>
  </si>
  <si>
    <t>People's United Bank</t>
  </si>
  <si>
    <t>Riverside National Bank of Florida</t>
  </si>
  <si>
    <t>Fort Pierce</t>
  </si>
  <si>
    <t>TD Bank, N.A.</t>
  </si>
  <si>
    <t>AmericanFirst Bank</t>
  </si>
  <si>
    <t>Clermont</t>
  </si>
  <si>
    <t>First Federal Bank of North Florida</t>
  </si>
  <si>
    <t>Lakeside Community Bank</t>
  </si>
  <si>
    <t>Sterling Heights</t>
  </si>
  <si>
    <t>Beach First National Bank</t>
  </si>
  <si>
    <t>Myrtle Beach</t>
  </si>
  <si>
    <t>Desert Hills Bank</t>
  </si>
  <si>
    <t>New York Community Bank</t>
  </si>
  <si>
    <t>Unity National Bank</t>
  </si>
  <si>
    <t>Key West Bank</t>
  </si>
  <si>
    <t>Key West</t>
  </si>
  <si>
    <t>McIntosh Commercial Bank</t>
  </si>
  <si>
    <t>Carrollton</t>
  </si>
  <si>
    <t>State Bank of Aurora</t>
  </si>
  <si>
    <t>Aurora</t>
  </si>
  <si>
    <t>Northern State Bank</t>
  </si>
  <si>
    <t>First Lowndes Bank</t>
  </si>
  <si>
    <t>Fort Deposit</t>
  </si>
  <si>
    <t>First Citizens Bank</t>
  </si>
  <si>
    <t>Bank of Hiawassee</t>
  </si>
  <si>
    <t>Hiawassee</t>
  </si>
  <si>
    <t>Appalachian Community Bank</t>
  </si>
  <si>
    <t>Advanta Bank Corp.</t>
  </si>
  <si>
    <t>Draper</t>
  </si>
  <si>
    <t>Century Security Bank</t>
  </si>
  <si>
    <t>Duluth</t>
  </si>
  <si>
    <t>Bank of Upson</t>
  </si>
  <si>
    <t>American National Bank</t>
  </si>
  <si>
    <t>Parma</t>
  </si>
  <si>
    <t>The National Bank and Trust Company</t>
  </si>
  <si>
    <t>Statewide Bank</t>
  </si>
  <si>
    <t>Covington</t>
  </si>
  <si>
    <t>Home Bank</t>
  </si>
  <si>
    <t>Old Southern Bank</t>
  </si>
  <si>
    <t>Valley National Bank</t>
  </si>
  <si>
    <t>LibertyPointe Bank</t>
  </si>
  <si>
    <t>Ogden</t>
  </si>
  <si>
    <t>Waterfield Bank</t>
  </si>
  <si>
    <t>Germantown</t>
  </si>
  <si>
    <t>Bank of Illinois</t>
  </si>
  <si>
    <t>Normal</t>
  </si>
  <si>
    <t>Sun American Bank</t>
  </si>
  <si>
    <t>Boca Raton</t>
  </si>
  <si>
    <t>Rainier Pacific Bank</t>
  </si>
  <si>
    <t>Carson River Community Bank</t>
  </si>
  <si>
    <t>Carson City</t>
  </si>
  <si>
    <t>Heritage Bank of Nevada</t>
  </si>
  <si>
    <t>La Jolla Bank, FSB</t>
  </si>
  <si>
    <t>La Jolla</t>
  </si>
  <si>
    <t>OneWest Bank, FSB</t>
  </si>
  <si>
    <t>George Washington Savings Bank</t>
  </si>
  <si>
    <t>Orland Park</t>
  </si>
  <si>
    <t>The La Coste National Bank</t>
  </si>
  <si>
    <t>La Coste</t>
  </si>
  <si>
    <t>Marco Community Bank</t>
  </si>
  <si>
    <t>Marco Island</t>
  </si>
  <si>
    <t>Mutual of Omaha Bank</t>
  </si>
  <si>
    <t>1st American State Bank of Minnesota</t>
  </si>
  <si>
    <t>Hancock</t>
  </si>
  <si>
    <t>Community Development Bank, FSB</t>
  </si>
  <si>
    <t>American Marine Bank</t>
  </si>
  <si>
    <t>Bainbridge Island</t>
  </si>
  <si>
    <t>First Regional Bank</t>
  </si>
  <si>
    <t>Los Angeles</t>
  </si>
  <si>
    <t>Community Bank and Trust</t>
  </si>
  <si>
    <t>Cornelia</t>
  </si>
  <si>
    <t>Marshall Bank, N.A.</t>
  </si>
  <si>
    <t>Hallock</t>
  </si>
  <si>
    <t>United Valley Bank</t>
  </si>
  <si>
    <t>Florida Community Bank</t>
  </si>
  <si>
    <t>Immokalee</t>
  </si>
  <si>
    <t>First National Bank of Georgia</t>
  </si>
  <si>
    <t>Columbia River Bank</t>
  </si>
  <si>
    <t>The Dalles</t>
  </si>
  <si>
    <t>Evergreen Bank</t>
  </si>
  <si>
    <t>Charter Bank</t>
  </si>
  <si>
    <t>Santa Fe</t>
  </si>
  <si>
    <t>Bank of Leeton</t>
  </si>
  <si>
    <t>Leeton</t>
  </si>
  <si>
    <t>Sunflower Bank, N.A.</t>
  </si>
  <si>
    <t>Premier American Bank</t>
  </si>
  <si>
    <t>Barnes Banking Company</t>
  </si>
  <si>
    <t>Kaysville</t>
  </si>
  <si>
    <t>St. Stephen State Bank</t>
  </si>
  <si>
    <t>St. Stephen</t>
  </si>
  <si>
    <t>First State Bank of St. Joseph</t>
  </si>
  <si>
    <t>Town Community Bank &amp; Trust</t>
  </si>
  <si>
    <t>Antioch</t>
  </si>
  <si>
    <t>Bellingham</t>
  </si>
  <si>
    <t>Washington Federal Savings and Loan Association</t>
  </si>
  <si>
    <t>First Federal Bank of California, F.S.B.</t>
  </si>
  <si>
    <t>Santa Monica</t>
  </si>
  <si>
    <t>Imperial Capital Bank</t>
  </si>
  <si>
    <t>Independent Bankers' Bank</t>
  </si>
  <si>
    <t>The Independent BankersBank (TIB)</t>
  </si>
  <si>
    <t>New South Federal Savings Bank</t>
  </si>
  <si>
    <t>Irondale</t>
  </si>
  <si>
    <t>Beal Bank</t>
  </si>
  <si>
    <t>Citizens State Bank</t>
  </si>
  <si>
    <t>New Baltimore</t>
  </si>
  <si>
    <t>Peoples First Community Bank</t>
  </si>
  <si>
    <t>Panama City</t>
  </si>
  <si>
    <t>Hancock Bank</t>
  </si>
  <si>
    <t>RockBridge Commercial Bank</t>
  </si>
  <si>
    <t>SolutionsBank</t>
  </si>
  <si>
    <t>Arvest Bank</t>
  </si>
  <si>
    <t>Valley Capital Bank, N.A.</t>
  </si>
  <si>
    <t>Republic Federal Bank, N.A.</t>
  </si>
  <si>
    <t>Greater Atlantic Bank</t>
  </si>
  <si>
    <t>Reston</t>
  </si>
  <si>
    <t>Benchmark Bank</t>
  </si>
  <si>
    <t>AmTrust Bank</t>
  </si>
  <si>
    <t>Cleveland</t>
  </si>
  <si>
    <t>The Tattnall Bank</t>
  </si>
  <si>
    <t>Reidsville</t>
  </si>
  <si>
    <t>First Security National Bank</t>
  </si>
  <si>
    <t>Norcross</t>
  </si>
  <si>
    <t>The Buckhead Community Bank</t>
  </si>
  <si>
    <t>Commerce Bank of Southwest Florida</t>
  </si>
  <si>
    <t>Pacific Coast National Bank</t>
  </si>
  <si>
    <t>San Clemente</t>
  </si>
  <si>
    <t>Orion Bank</t>
  </si>
  <si>
    <t>Century Bank, F.S.B.</t>
  </si>
  <si>
    <t>United Commercial Bank</t>
  </si>
  <si>
    <t>San Francisco</t>
  </si>
  <si>
    <t>Gateway Bank of St. Louis</t>
  </si>
  <si>
    <t>Central Bank of Kansas City</t>
  </si>
  <si>
    <t>Prosperan Bank</t>
  </si>
  <si>
    <t>Oakdale</t>
  </si>
  <si>
    <t>Alerus Financial, N.A.</t>
  </si>
  <si>
    <t>Home Federal Savings Bank</t>
  </si>
  <si>
    <t>Detroit</t>
  </si>
  <si>
    <t>United Security Bank</t>
  </si>
  <si>
    <t>Sparta</t>
  </si>
  <si>
    <t>North Houston Bank</t>
  </si>
  <si>
    <t>Houston</t>
  </si>
  <si>
    <t>U.S. Bank N.A.</t>
  </si>
  <si>
    <t>Madisonville State Bank</t>
  </si>
  <si>
    <t>Madisonville</t>
  </si>
  <si>
    <t>Citizens National Bank</t>
  </si>
  <si>
    <t>Teague</t>
  </si>
  <si>
    <t>Park National Bank</t>
  </si>
  <si>
    <t>Pacific National Bank</t>
  </si>
  <si>
    <t>California National Bank</t>
  </si>
  <si>
    <t>San Diego National Bank</t>
  </si>
  <si>
    <t>Community Bank of Lemont</t>
  </si>
  <si>
    <t>Lemont</t>
  </si>
  <si>
    <t>Bank USA, N.A.</t>
  </si>
  <si>
    <t>First DuPage Bank</t>
  </si>
  <si>
    <t>Westmont</t>
  </si>
  <si>
    <t>Riverview Community Bank</t>
  </si>
  <si>
    <t>Otsego</t>
  </si>
  <si>
    <t>Bank of Elmwood</t>
  </si>
  <si>
    <t>Racine</t>
  </si>
  <si>
    <t>Tri City National Bank</t>
  </si>
  <si>
    <t>Flagship National Bank</t>
  </si>
  <si>
    <t>Hillcrest Bank Florida</t>
  </si>
  <si>
    <t>American United Bank</t>
  </si>
  <si>
    <t>Lawrenceville</t>
  </si>
  <si>
    <t>Partners Bank</t>
  </si>
  <si>
    <t>San Joaquin Bank</t>
  </si>
  <si>
    <t>Bakersfield</t>
  </si>
  <si>
    <t>Citizens Business Bank</t>
  </si>
  <si>
    <t>Southern Colorado National Bank</t>
  </si>
  <si>
    <t>Pueblo</t>
  </si>
  <si>
    <t>Jennings State Bank</t>
  </si>
  <si>
    <t>Spring Grove</t>
  </si>
  <si>
    <t>Warren Bank</t>
  </si>
  <si>
    <t>Warren</t>
  </si>
  <si>
    <t>Georgian Bank</t>
  </si>
  <si>
    <t>Irwin Union Bank, F.S.B.</t>
  </si>
  <si>
    <t>First Financial Bank, N.A.</t>
  </si>
  <si>
    <t>Irwin Union Bank and Trust Company</t>
  </si>
  <si>
    <t>Columbus</t>
  </si>
  <si>
    <t>Venture Bank</t>
  </si>
  <si>
    <t>Lacey</t>
  </si>
  <si>
    <t>Brickwell Community Bank</t>
  </si>
  <si>
    <t>CorTrust Bank N.A.</t>
  </si>
  <si>
    <t>Corus Bank, N.A.</t>
  </si>
  <si>
    <t>Flagstaff</t>
  </si>
  <si>
    <t>Platinum Community Bank</t>
  </si>
  <si>
    <t>Rolling Meadows</t>
  </si>
  <si>
    <t>Vantus Bank</t>
  </si>
  <si>
    <t>Sioux City</t>
  </si>
  <si>
    <t>InBank</t>
  </si>
  <si>
    <t>Oak Forest</t>
  </si>
  <si>
    <t>First Bank of Kansas City</t>
  </si>
  <si>
    <t>Kansas City</t>
  </si>
  <si>
    <t>Great American Bank</t>
  </si>
  <si>
    <t>Affinity Bank</t>
  </si>
  <si>
    <t>Ventura</t>
  </si>
  <si>
    <t>Mainstreet Bank</t>
  </si>
  <si>
    <t>Bradford Bank</t>
  </si>
  <si>
    <t>Guaranty Bank</t>
  </si>
  <si>
    <t>Austin</t>
  </si>
  <si>
    <t>BBVA Compass</t>
  </si>
  <si>
    <t>CapitalSouth Bank</t>
  </si>
  <si>
    <t>First Coweta Bank</t>
  </si>
  <si>
    <t>Newnan</t>
  </si>
  <si>
    <t>ebank</t>
  </si>
  <si>
    <t>Community Bank of Nevada</t>
  </si>
  <si>
    <t>Community Bank of Arizona</t>
  </si>
  <si>
    <t>MidFirst Bank</t>
  </si>
  <si>
    <t>Union Bank, National Association</t>
  </si>
  <si>
    <t>Gilbert</t>
  </si>
  <si>
    <t>Colonial Bank</t>
  </si>
  <si>
    <t>Montgomery</t>
  </si>
  <si>
    <t>Branch Banking &amp; Trust Company, (BB&amp;T)</t>
  </si>
  <si>
    <t>Dwelling House Savings and Loan Association</t>
  </si>
  <si>
    <t>Pittsburgh</t>
  </si>
  <si>
    <t>PNC Bank, N.A.</t>
  </si>
  <si>
    <t>Prineville</t>
  </si>
  <si>
    <t>Community National Bank of Sarasota County</t>
  </si>
  <si>
    <t>Venice</t>
  </si>
  <si>
    <t>Mutual Bank</t>
  </si>
  <si>
    <t>Harvey</t>
  </si>
  <si>
    <t>United Central Bank</t>
  </si>
  <si>
    <t>First BankAmericano</t>
  </si>
  <si>
    <t>Elizabeth</t>
  </si>
  <si>
    <t>Crown Bank</t>
  </si>
  <si>
    <t>Peoples Community Bank</t>
  </si>
  <si>
    <t>West Chester</t>
  </si>
  <si>
    <t>Integrity Bank</t>
  </si>
  <si>
    <t>Jupiter</t>
  </si>
  <si>
    <t>First State Bank of Altus</t>
  </si>
  <si>
    <t>Altus</t>
  </si>
  <si>
    <t>Herring Bank</t>
  </si>
  <si>
    <t>Security Bank of Jones County</t>
  </si>
  <si>
    <t>Security Bank of Houston County</t>
  </si>
  <si>
    <t>Perry</t>
  </si>
  <si>
    <t>Security Bank of Bibb County</t>
  </si>
  <si>
    <t>Security Bank of North Metro</t>
  </si>
  <si>
    <t>Security Bank of North Fulton</t>
  </si>
  <si>
    <t>Alpharetta</t>
  </si>
  <si>
    <t>Security Bank of Gwinnett County</t>
  </si>
  <si>
    <t>Suwanee</t>
  </si>
  <si>
    <t>Waterford Village Bank</t>
  </si>
  <si>
    <t>Williamsville</t>
  </si>
  <si>
    <t>Evans Bank, N.A.</t>
  </si>
  <si>
    <t>Temecula Valley Bank</t>
  </si>
  <si>
    <t>Temecula</t>
  </si>
  <si>
    <t>Vineyard Bank</t>
  </si>
  <si>
    <t>Rancho Cucamonga</t>
  </si>
  <si>
    <t>California Bank &amp; Trust</t>
  </si>
  <si>
    <t>BankFirst</t>
  </si>
  <si>
    <t>Sioux Falls</t>
  </si>
  <si>
    <t>SD</t>
  </si>
  <si>
    <t>First Piedmont Bank</t>
  </si>
  <si>
    <t>Bank of Wyoming</t>
  </si>
  <si>
    <t>Thermopolis</t>
  </si>
  <si>
    <t>WY</t>
  </si>
  <si>
    <t>Central Bank &amp; Trust</t>
  </si>
  <si>
    <t>Founders Bank</t>
  </si>
  <si>
    <t>Worth</t>
  </si>
  <si>
    <t>The PrivateBank and Trust Company</t>
  </si>
  <si>
    <t>Millennium State Bank of Texas</t>
  </si>
  <si>
    <t>First National Bank of Danville</t>
  </si>
  <si>
    <t>Danville</t>
  </si>
  <si>
    <t>The Elizabeth State Bank</t>
  </si>
  <si>
    <t>Galena State Bank and Trust Company</t>
  </si>
  <si>
    <t>Rock River Bank</t>
  </si>
  <si>
    <t>Oregon</t>
  </si>
  <si>
    <t>The Harvard State Bank</t>
  </si>
  <si>
    <t>First State Bank of Winchester</t>
  </si>
  <si>
    <t>Winchester</t>
  </si>
  <si>
    <t>The First National Bank of Beardstown</t>
  </si>
  <si>
    <t>John Warner Bank</t>
  </si>
  <si>
    <t>Clinton</t>
  </si>
  <si>
    <t>State Bank of Lincoln</t>
  </si>
  <si>
    <t>Mirae Bank</t>
  </si>
  <si>
    <t>Wilshire State Bank</t>
  </si>
  <si>
    <t>MetroPacific Bank</t>
  </si>
  <si>
    <t>Irvine</t>
  </si>
  <si>
    <t>Pine City</t>
  </si>
  <si>
    <t>Neighborhood Community Bank</t>
  </si>
  <si>
    <t>Community Bank of West Georgia</t>
  </si>
  <si>
    <t>Villa Rica</t>
  </si>
  <si>
    <t>First National Bank of Anthony</t>
  </si>
  <si>
    <t>Anthony</t>
  </si>
  <si>
    <t>Bank of Kansas</t>
  </si>
  <si>
    <t>Cooperative Bank</t>
  </si>
  <si>
    <t>Wilmington</t>
  </si>
  <si>
    <t>Southern Community Bank</t>
  </si>
  <si>
    <t>Fayetteville</t>
  </si>
  <si>
    <t>United Community Bank</t>
  </si>
  <si>
    <t>Bank of Lincolnwood</t>
  </si>
  <si>
    <t>Lincolnwood</t>
  </si>
  <si>
    <t>Macomb</t>
  </si>
  <si>
    <t>Morton Community Bank</t>
  </si>
  <si>
    <t>Strategic Capital Bank</t>
  </si>
  <si>
    <t>Champaign</t>
  </si>
  <si>
    <t>BankUnited, FSB</t>
  </si>
  <si>
    <t>BankUnited</t>
  </si>
  <si>
    <t>Westsound Bank</t>
  </si>
  <si>
    <t>Bremerton</t>
  </si>
  <si>
    <t>Kitsap Bank</t>
  </si>
  <si>
    <t>America West Bank</t>
  </si>
  <si>
    <t>Layton</t>
  </si>
  <si>
    <t>Citizens Community Bank</t>
  </si>
  <si>
    <t>Ridgewood</t>
  </si>
  <si>
    <t>North Jersey Community Bank</t>
  </si>
  <si>
    <t>Silverton Bank, NA</t>
  </si>
  <si>
    <t>First Bank of Idaho</t>
  </si>
  <si>
    <t>Ketchum</t>
  </si>
  <si>
    <t>First Bank of Beverly Hills</t>
  </si>
  <si>
    <t>Calabasas</t>
  </si>
  <si>
    <t>Michigan Heritage Bank</t>
  </si>
  <si>
    <t>American Southern Bank</t>
  </si>
  <si>
    <t>Kennesaw</t>
  </si>
  <si>
    <t>Bank of North Georgia</t>
  </si>
  <si>
    <t>Great Basin Bank of Nevada</t>
  </si>
  <si>
    <t>Elko</t>
  </si>
  <si>
    <t>Nevada State Bank</t>
  </si>
  <si>
    <t>American Sterling Bank</t>
  </si>
  <si>
    <t>Sugar Creek</t>
  </si>
  <si>
    <t>New Frontier Bank</t>
  </si>
  <si>
    <t>Cape Fear Bank</t>
  </si>
  <si>
    <t>First Federal Savings and Loan Association</t>
  </si>
  <si>
    <t>Omni National Bank</t>
  </si>
  <si>
    <t>TeamBank, NA</t>
  </si>
  <si>
    <t>Paola</t>
  </si>
  <si>
    <t>Colorado National Bank</t>
  </si>
  <si>
    <t>Colorado Springs</t>
  </si>
  <si>
    <t>FirstCity Bank</t>
  </si>
  <si>
    <t>Freedom Bank of Georgia</t>
  </si>
  <si>
    <t>Commerce</t>
  </si>
  <si>
    <t>Northeast Georgia Bank</t>
  </si>
  <si>
    <t>Security Savings Bank</t>
  </si>
  <si>
    <t>Henderson</t>
  </si>
  <si>
    <t>Bank of Nevada</t>
  </si>
  <si>
    <t>Heritage Community Bank</t>
  </si>
  <si>
    <t>Glenwood</t>
  </si>
  <si>
    <t>Silver Falls Bank</t>
  </si>
  <si>
    <t>Silverton</t>
  </si>
  <si>
    <t>Citizens Bank</t>
  </si>
  <si>
    <t>Pinnacle Bank of Oregon</t>
  </si>
  <si>
    <t>Beaverton</t>
  </si>
  <si>
    <t>Washington Trust Bank of Spokane</t>
  </si>
  <si>
    <t>Corn Belt Bank &amp; Trust Co.</t>
  </si>
  <si>
    <t>Pittsfield</t>
  </si>
  <si>
    <t>The Carlinville National Bank</t>
  </si>
  <si>
    <t>Riverside Bank of the Gulf Coast</t>
  </si>
  <si>
    <t>Cape Coral</t>
  </si>
  <si>
    <t>TIB Bank</t>
  </si>
  <si>
    <t>Sherman County Bank</t>
  </si>
  <si>
    <t>Loup City</t>
  </si>
  <si>
    <t>County Bank</t>
  </si>
  <si>
    <t>Merced</t>
  </si>
  <si>
    <t>Alliance Bank</t>
  </si>
  <si>
    <t>Culver City</t>
  </si>
  <si>
    <t>FirstBank Financial Services</t>
  </si>
  <si>
    <t>Regions Bank</t>
  </si>
  <si>
    <t>Ocala National Bank</t>
  </si>
  <si>
    <t>Suburban FSB</t>
  </si>
  <si>
    <t>Crofton</t>
  </si>
  <si>
    <t>Bank of Essex</t>
  </si>
  <si>
    <t>MagnetBank</t>
  </si>
  <si>
    <t>Salt Lake City</t>
  </si>
  <si>
    <t>1st Centennial Bank</t>
  </si>
  <si>
    <t>Redlands</t>
  </si>
  <si>
    <t>Bank of Clark County</t>
  </si>
  <si>
    <t>Vancouver</t>
  </si>
  <si>
    <t>National Bank of Commerce</t>
  </si>
  <si>
    <t>Berkeley</t>
  </si>
  <si>
    <t>Sanderson State Bank
En Español</t>
  </si>
  <si>
    <t>Sanderson</t>
  </si>
  <si>
    <t>The Pecos County State Bank</t>
  </si>
  <si>
    <t>Haven Trust Bank</t>
  </si>
  <si>
    <t>First Georgia Community Bank</t>
  </si>
  <si>
    <t>PFF Bank &amp; Trust</t>
  </si>
  <si>
    <t>Pomona</t>
  </si>
  <si>
    <t>Downey Savings &amp; Loan</t>
  </si>
  <si>
    <t>Newport Beach</t>
  </si>
  <si>
    <t>Community Bank</t>
  </si>
  <si>
    <t>Loganville</t>
  </si>
  <si>
    <t>Security Pacific Bank</t>
  </si>
  <si>
    <t>Franklin Bank, SSB</t>
  </si>
  <si>
    <t>Prosperity Bank</t>
  </si>
  <si>
    <t>Freedom Bank</t>
  </si>
  <si>
    <t>Fifth Third Bank</t>
  </si>
  <si>
    <t>Alpha Bank &amp; Trust</t>
  </si>
  <si>
    <t>Meridian Bank</t>
  </si>
  <si>
    <t>Eldred</t>
  </si>
  <si>
    <t>National Bank</t>
  </si>
  <si>
    <t>Main Street Bank</t>
  </si>
  <si>
    <t>Northville</t>
  </si>
  <si>
    <t>Monroe Bank &amp; Trust</t>
  </si>
  <si>
    <t>Washington Mutual Bank (Including its subsidiary Washington Mutual Bank FSB)</t>
  </si>
  <si>
    <t>JP Morgan Chase Bank</t>
  </si>
  <si>
    <t>Ameribank</t>
  </si>
  <si>
    <t>Northfork</t>
  </si>
  <si>
    <t>The Citizens Savings Bank ********** Pioneer Community Bank, Inc.</t>
  </si>
  <si>
    <t>Silver State Bank
En Español</t>
  </si>
  <si>
    <t>Columbian Bank &amp; Trust</t>
  </si>
  <si>
    <t>Topeka</t>
  </si>
  <si>
    <t>Citizens Bank &amp; Trust</t>
  </si>
  <si>
    <t>First Priority Bank</t>
  </si>
  <si>
    <t>SunTrust Bank</t>
  </si>
  <si>
    <t>First Heritage Bank, NA</t>
  </si>
  <si>
    <t>First National Bank of Nevada</t>
  </si>
  <si>
    <t>IndyMac Bank</t>
  </si>
  <si>
    <t>Pasadena</t>
  </si>
  <si>
    <t>First Integrity Bank, NA</t>
  </si>
  <si>
    <t>Staples</t>
  </si>
  <si>
    <t>First International Bank and Trust</t>
  </si>
  <si>
    <t>ANB Financial, NA</t>
  </si>
  <si>
    <t>Bentonville</t>
  </si>
  <si>
    <t>Pulaski Bank and Trust Company</t>
  </si>
  <si>
    <t>Hume Bank</t>
  </si>
  <si>
    <t>Hume</t>
  </si>
  <si>
    <t>Security Bank</t>
  </si>
  <si>
    <t>Douglass National Bank</t>
  </si>
  <si>
    <t>Miami Valley Bank</t>
  </si>
  <si>
    <t>Lakeview</t>
  </si>
  <si>
    <t>The Citizens Banking Company</t>
  </si>
  <si>
    <t>NetBank</t>
  </si>
  <si>
    <t>ING DIRECT</t>
  </si>
  <si>
    <t>Metropolitan Savings Bank</t>
  </si>
  <si>
    <t>Allegheny Valley Bank of Pittsburgh</t>
  </si>
  <si>
    <t>Bank of Ephraim</t>
  </si>
  <si>
    <t>Ephraim</t>
  </si>
  <si>
    <t>Far West Bank</t>
  </si>
  <si>
    <t>Reliance Bank</t>
  </si>
  <si>
    <t>White Plains</t>
  </si>
  <si>
    <t>Union State Bank</t>
  </si>
  <si>
    <t>Guaranty National Bank of Tallahassee</t>
  </si>
  <si>
    <t>Tallahassee</t>
  </si>
  <si>
    <t>Hancock Bank of Florida</t>
  </si>
  <si>
    <t>Dollar Savings Bank</t>
  </si>
  <si>
    <t>Pulaski Savings Bank</t>
  </si>
  <si>
    <t>Philadelphia</t>
  </si>
  <si>
    <t>First National Bank of Blanchardville</t>
  </si>
  <si>
    <t>Blanchardville</t>
  </si>
  <si>
    <t>The Park Bank</t>
  </si>
  <si>
    <t>Southern Pacific Bank</t>
  </si>
  <si>
    <t>Torrance</t>
  </si>
  <si>
    <t>Farmers Bank of Cheneyville</t>
  </si>
  <si>
    <t>Cheneyville</t>
  </si>
  <si>
    <t>Sabine State Bank &amp; Trust</t>
  </si>
  <si>
    <t>Bank of Alamo</t>
  </si>
  <si>
    <t>Alamo</t>
  </si>
  <si>
    <t>AmTrade International Bank
En Español</t>
  </si>
  <si>
    <t>Universal Federal Savings Bank</t>
  </si>
  <si>
    <t>Chicago Community Bank</t>
  </si>
  <si>
    <t>Connecticut Bank of Commerce</t>
  </si>
  <si>
    <t>Stamford</t>
  </si>
  <si>
    <t>Hudson United Bank</t>
  </si>
  <si>
    <t>Shelby Township</t>
  </si>
  <si>
    <t>Net 1st National Bank</t>
  </si>
  <si>
    <t>Bank Leumi USA</t>
  </si>
  <si>
    <t>NextBank, NA</t>
  </si>
  <si>
    <t>Oakwood Deposit Bank Co.</t>
  </si>
  <si>
    <t>Oakwood</t>
  </si>
  <si>
    <t>The State Bank &amp; Trust Company</t>
  </si>
  <si>
    <t>Bank of Sierra Blanca</t>
  </si>
  <si>
    <t>Sierra Blanca</t>
  </si>
  <si>
    <t>The Security State Bank of Pecos</t>
  </si>
  <si>
    <t>Hamilton Bank, NA
En Español</t>
  </si>
  <si>
    <t>Israel Discount Bank of New York</t>
  </si>
  <si>
    <t>Sinclair National Bank</t>
  </si>
  <si>
    <t>Gravette</t>
  </si>
  <si>
    <t>Delta Trust &amp; Bank</t>
  </si>
  <si>
    <t>Superior Bank, FSB</t>
  </si>
  <si>
    <t>Hinsdale</t>
  </si>
  <si>
    <t>Superior Federal, FSB</t>
  </si>
  <si>
    <t>Malta National Bank</t>
  </si>
  <si>
    <t>Malta</t>
  </si>
  <si>
    <t>North Valley Bank</t>
  </si>
  <si>
    <t>First Alliance Bank &amp; Trust Co.</t>
  </si>
  <si>
    <t>Manchester</t>
  </si>
  <si>
    <t>NH</t>
  </si>
  <si>
    <t>Southern New Hampshire Bank &amp; Trust</t>
  </si>
  <si>
    <t>National State Bank of Metropolis</t>
  </si>
  <si>
    <t>Metropolis</t>
  </si>
  <si>
    <t>Banterra Bank of Marion</t>
  </si>
  <si>
    <t>Bank of Honolulu</t>
  </si>
  <si>
    <t>Honolulu</t>
  </si>
  <si>
    <t>HI</t>
  </si>
  <si>
    <t>Bank of the Orient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</si>
</sst>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d, yyyy"/>
    <numFmt numFmtId="165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IFERROR(__xludf.DUMMYFUNCTION("IMPORTHTML(""https://www.fdic.gov/resources/resolutions/bank-failures/failed-bank-list/"",""table"",0)"),"Bank NameBank")</f>
        <v>Bank NameBank</v>
      </c>
      <c r="B1" s="1" t="str">
        <f>IFERROR(__xludf.DUMMYFUNCTION("""COMPUTED_VALUE"""),"CityCity")</f>
        <v>CityCity</v>
      </c>
      <c r="C1" s="1" t="str">
        <f>IFERROR(__xludf.DUMMYFUNCTION("""COMPUTED_VALUE"""),"StateSt")</f>
        <v>StateSt</v>
      </c>
      <c r="D1" s="1" t="str">
        <f>IFERROR(__xludf.DUMMYFUNCTION("""COMPUTED_VALUE"""),"CertCert")</f>
        <v>CertCert</v>
      </c>
      <c r="E1" s="1" t="str">
        <f>IFERROR(__xludf.DUMMYFUNCTION("""COMPUTED_VALUE"""),"Acquiring InstitutionAI")</f>
        <v>Acquiring InstitutionAI</v>
      </c>
      <c r="F1" s="1" t="str">
        <f>IFERROR(__xludf.DUMMYFUNCTION("""COMPUTED_VALUE"""),"Closing DateClosing")</f>
        <v>Closing DateClosing</v>
      </c>
      <c r="G1" s="1" t="str">
        <f>IFERROR(__xludf.DUMMYFUNCTION("""COMPUTED_VALUE"""),"FundFund")</f>
        <v>FundFund</v>
      </c>
    </row>
    <row r="2">
      <c r="A2" s="1" t="str">
        <f>IFERROR(__xludf.DUMMYFUNCTION("""COMPUTED_VALUE"""),"Signature Bank")</f>
        <v>Signature Bank</v>
      </c>
      <c r="B2" s="1" t="str">
        <f>IFERROR(__xludf.DUMMYFUNCTION("""COMPUTED_VALUE"""),"New York")</f>
        <v>New York</v>
      </c>
      <c r="C2" s="1" t="str">
        <f>IFERROR(__xludf.DUMMYFUNCTION("""COMPUTED_VALUE"""),"NY")</f>
        <v>NY</v>
      </c>
      <c r="D2" s="1">
        <f>IFERROR(__xludf.DUMMYFUNCTION("""COMPUTED_VALUE"""),57053.0)</f>
        <v>57053</v>
      </c>
      <c r="E2" s="1" t="str">
        <f>IFERROR(__xludf.DUMMYFUNCTION("""COMPUTED_VALUE"""),"Flagstar Bank, N.A.")</f>
        <v>Flagstar Bank, N.A.</v>
      </c>
      <c r="F2" s="2">
        <f>IFERROR(__xludf.DUMMYFUNCTION("""COMPUTED_VALUE"""),44997.0)</f>
        <v>44997</v>
      </c>
      <c r="G2" s="1">
        <f>IFERROR(__xludf.DUMMYFUNCTION("""COMPUTED_VALUE"""),10540.0)</f>
        <v>10540</v>
      </c>
    </row>
    <row r="3">
      <c r="A3" s="1" t="str">
        <f>IFERROR(__xludf.DUMMYFUNCTION("""COMPUTED_VALUE"""),"Silicon Valley Bank")</f>
        <v>Silicon Valley Bank</v>
      </c>
      <c r="B3" s="1" t="str">
        <f>IFERROR(__xludf.DUMMYFUNCTION("""COMPUTED_VALUE"""),"Santa Clara")</f>
        <v>Santa Clara</v>
      </c>
      <c r="C3" s="1" t="str">
        <f>IFERROR(__xludf.DUMMYFUNCTION("""COMPUTED_VALUE"""),"CA")</f>
        <v>CA</v>
      </c>
      <c r="D3" s="1">
        <f>IFERROR(__xludf.DUMMYFUNCTION("""COMPUTED_VALUE"""),24735.0)</f>
        <v>24735</v>
      </c>
      <c r="E3" s="1" t="str">
        <f>IFERROR(__xludf.DUMMYFUNCTION("""COMPUTED_VALUE"""),"First–Citizens Bank &amp; Trust Company")</f>
        <v>First–Citizens Bank &amp; Trust Company</v>
      </c>
      <c r="F3" s="2">
        <f>IFERROR(__xludf.DUMMYFUNCTION("""COMPUTED_VALUE"""),44995.0)</f>
        <v>44995</v>
      </c>
      <c r="G3" s="1">
        <f>IFERROR(__xludf.DUMMYFUNCTION("""COMPUTED_VALUE"""),10539.0)</f>
        <v>10539</v>
      </c>
    </row>
    <row r="4">
      <c r="A4" s="1" t="str">
        <f>IFERROR(__xludf.DUMMYFUNCTION("""COMPUTED_VALUE"""),"Almena State Bank")</f>
        <v>Almena State Bank</v>
      </c>
      <c r="B4" s="1" t="str">
        <f>IFERROR(__xludf.DUMMYFUNCTION("""COMPUTED_VALUE"""),"Almena")</f>
        <v>Almena</v>
      </c>
      <c r="C4" s="1" t="str">
        <f>IFERROR(__xludf.DUMMYFUNCTION("""COMPUTED_VALUE"""),"KS")</f>
        <v>KS</v>
      </c>
      <c r="D4" s="1">
        <f>IFERROR(__xludf.DUMMYFUNCTION("""COMPUTED_VALUE"""),15426.0)</f>
        <v>15426</v>
      </c>
      <c r="E4" s="1" t="str">
        <f>IFERROR(__xludf.DUMMYFUNCTION("""COMPUTED_VALUE"""),"Equity Bank")</f>
        <v>Equity Bank</v>
      </c>
      <c r="F4" s="2">
        <f>IFERROR(__xludf.DUMMYFUNCTION("""COMPUTED_VALUE"""),44127.0)</f>
        <v>44127</v>
      </c>
      <c r="G4" s="1">
        <f>IFERROR(__xludf.DUMMYFUNCTION("""COMPUTED_VALUE"""),10538.0)</f>
        <v>10538</v>
      </c>
    </row>
    <row r="5">
      <c r="A5" s="1" t="str">
        <f>IFERROR(__xludf.DUMMYFUNCTION("""COMPUTED_VALUE"""),"First City Bank of Florida")</f>
        <v>First City Bank of Florida</v>
      </c>
      <c r="B5" s="1" t="str">
        <f>IFERROR(__xludf.DUMMYFUNCTION("""COMPUTED_VALUE"""),"Fort Walton Beach")</f>
        <v>Fort Walton Beach</v>
      </c>
      <c r="C5" s="1" t="str">
        <f>IFERROR(__xludf.DUMMYFUNCTION("""COMPUTED_VALUE"""),"FL")</f>
        <v>FL</v>
      </c>
      <c r="D5" s="1">
        <f>IFERROR(__xludf.DUMMYFUNCTION("""COMPUTED_VALUE"""),16748.0)</f>
        <v>16748</v>
      </c>
      <c r="E5" s="1" t="str">
        <f>IFERROR(__xludf.DUMMYFUNCTION("""COMPUTED_VALUE"""),"United Fidelity Bank, fsb")</f>
        <v>United Fidelity Bank, fsb</v>
      </c>
      <c r="F5" s="2">
        <f>IFERROR(__xludf.DUMMYFUNCTION("""COMPUTED_VALUE"""),44120.0)</f>
        <v>44120</v>
      </c>
      <c r="G5" s="1">
        <f>IFERROR(__xludf.DUMMYFUNCTION("""COMPUTED_VALUE"""),10537.0)</f>
        <v>10537</v>
      </c>
    </row>
    <row r="6">
      <c r="A6" s="1" t="str">
        <f>IFERROR(__xludf.DUMMYFUNCTION("""COMPUTED_VALUE"""),"The First State Bank")</f>
        <v>The First State Bank</v>
      </c>
      <c r="B6" s="1" t="str">
        <f>IFERROR(__xludf.DUMMYFUNCTION("""COMPUTED_VALUE"""),"Barboursville")</f>
        <v>Barboursville</v>
      </c>
      <c r="C6" s="1" t="str">
        <f>IFERROR(__xludf.DUMMYFUNCTION("""COMPUTED_VALUE"""),"WV")</f>
        <v>WV</v>
      </c>
      <c r="D6" s="1">
        <f>IFERROR(__xludf.DUMMYFUNCTION("""COMPUTED_VALUE"""),14361.0)</f>
        <v>14361</v>
      </c>
      <c r="E6" s="1" t="str">
        <f>IFERROR(__xludf.DUMMYFUNCTION("""COMPUTED_VALUE"""),"MVB Bank, Inc.")</f>
        <v>MVB Bank, Inc.</v>
      </c>
      <c r="F6" s="2">
        <f>IFERROR(__xludf.DUMMYFUNCTION("""COMPUTED_VALUE"""),43924.0)</f>
        <v>43924</v>
      </c>
      <c r="G6" s="1">
        <f>IFERROR(__xludf.DUMMYFUNCTION("""COMPUTED_VALUE"""),10536.0)</f>
        <v>10536</v>
      </c>
    </row>
    <row r="7">
      <c r="A7" s="1" t="str">
        <f>IFERROR(__xludf.DUMMYFUNCTION("""COMPUTED_VALUE"""),"Ericson State Bank")</f>
        <v>Ericson State Bank</v>
      </c>
      <c r="B7" s="1" t="str">
        <f>IFERROR(__xludf.DUMMYFUNCTION("""COMPUTED_VALUE"""),"Ericson")</f>
        <v>Ericson</v>
      </c>
      <c r="C7" s="1" t="str">
        <f>IFERROR(__xludf.DUMMYFUNCTION("""COMPUTED_VALUE"""),"NE")</f>
        <v>NE</v>
      </c>
      <c r="D7" s="1">
        <f>IFERROR(__xludf.DUMMYFUNCTION("""COMPUTED_VALUE"""),18265.0)</f>
        <v>18265</v>
      </c>
      <c r="E7" s="1" t="str">
        <f>IFERROR(__xludf.DUMMYFUNCTION("""COMPUTED_VALUE"""),"Farmers and Merchants Bank")</f>
        <v>Farmers and Merchants Bank</v>
      </c>
      <c r="F7" s="2">
        <f>IFERROR(__xludf.DUMMYFUNCTION("""COMPUTED_VALUE"""),43875.0)</f>
        <v>43875</v>
      </c>
      <c r="G7" s="1">
        <f>IFERROR(__xludf.DUMMYFUNCTION("""COMPUTED_VALUE"""),10535.0)</f>
        <v>10535</v>
      </c>
    </row>
    <row r="8">
      <c r="A8" s="1" t="str">
        <f>IFERROR(__xludf.DUMMYFUNCTION("""COMPUTED_VALUE"""),"City National Bank of New Jersey")</f>
        <v>City National Bank of New Jersey</v>
      </c>
      <c r="B8" s="1" t="str">
        <f>IFERROR(__xludf.DUMMYFUNCTION("""COMPUTED_VALUE"""),"Newark")</f>
        <v>Newark</v>
      </c>
      <c r="C8" s="1" t="str">
        <f>IFERROR(__xludf.DUMMYFUNCTION("""COMPUTED_VALUE"""),"NJ")</f>
        <v>NJ</v>
      </c>
      <c r="D8" s="1">
        <f>IFERROR(__xludf.DUMMYFUNCTION("""COMPUTED_VALUE"""),21111.0)</f>
        <v>21111</v>
      </c>
      <c r="E8" s="1" t="str">
        <f>IFERROR(__xludf.DUMMYFUNCTION("""COMPUTED_VALUE"""),"Industrial Bank")</f>
        <v>Industrial Bank</v>
      </c>
      <c r="F8" s="2">
        <f>IFERROR(__xludf.DUMMYFUNCTION("""COMPUTED_VALUE"""),43770.0)</f>
        <v>43770</v>
      </c>
      <c r="G8" s="1">
        <f>IFERROR(__xludf.DUMMYFUNCTION("""COMPUTED_VALUE"""),10534.0)</f>
        <v>10534</v>
      </c>
    </row>
    <row r="9">
      <c r="A9" s="1" t="str">
        <f>IFERROR(__xludf.DUMMYFUNCTION("""COMPUTED_VALUE"""),"Resolute Bank")</f>
        <v>Resolute Bank</v>
      </c>
      <c r="B9" s="1" t="str">
        <f>IFERROR(__xludf.DUMMYFUNCTION("""COMPUTED_VALUE"""),"Maumee")</f>
        <v>Maumee</v>
      </c>
      <c r="C9" s="1" t="str">
        <f>IFERROR(__xludf.DUMMYFUNCTION("""COMPUTED_VALUE"""),"OH")</f>
        <v>OH</v>
      </c>
      <c r="D9" s="1">
        <f>IFERROR(__xludf.DUMMYFUNCTION("""COMPUTED_VALUE"""),58317.0)</f>
        <v>58317</v>
      </c>
      <c r="E9" s="1" t="str">
        <f>IFERROR(__xludf.DUMMYFUNCTION("""COMPUTED_VALUE"""),"Buckeye State Bank")</f>
        <v>Buckeye State Bank</v>
      </c>
      <c r="F9" s="2">
        <f>IFERROR(__xludf.DUMMYFUNCTION("""COMPUTED_VALUE"""),43763.0)</f>
        <v>43763</v>
      </c>
      <c r="G9" s="1">
        <f>IFERROR(__xludf.DUMMYFUNCTION("""COMPUTED_VALUE"""),10533.0)</f>
        <v>10533</v>
      </c>
    </row>
    <row r="10">
      <c r="A10" s="1" t="str">
        <f>IFERROR(__xludf.DUMMYFUNCTION("""COMPUTED_VALUE"""),"Louisa Community Bank")</f>
        <v>Louisa Community Bank</v>
      </c>
      <c r="B10" s="1" t="str">
        <f>IFERROR(__xludf.DUMMYFUNCTION("""COMPUTED_VALUE"""),"Louisa")</f>
        <v>Louisa</v>
      </c>
      <c r="C10" s="1" t="str">
        <f>IFERROR(__xludf.DUMMYFUNCTION("""COMPUTED_VALUE"""),"KY")</f>
        <v>KY</v>
      </c>
      <c r="D10" s="1">
        <f>IFERROR(__xludf.DUMMYFUNCTION("""COMPUTED_VALUE"""),58112.0)</f>
        <v>58112</v>
      </c>
      <c r="E10" s="1" t="str">
        <f>IFERROR(__xludf.DUMMYFUNCTION("""COMPUTED_VALUE"""),"Kentucky Farmers Bank Corporation")</f>
        <v>Kentucky Farmers Bank Corporation</v>
      </c>
      <c r="F10" s="2">
        <f>IFERROR(__xludf.DUMMYFUNCTION("""COMPUTED_VALUE"""),43763.0)</f>
        <v>43763</v>
      </c>
      <c r="G10" s="1">
        <f>IFERROR(__xludf.DUMMYFUNCTION("""COMPUTED_VALUE"""),10532.0)</f>
        <v>10532</v>
      </c>
    </row>
    <row r="11">
      <c r="A11" s="1" t="str">
        <f>IFERROR(__xludf.DUMMYFUNCTION("""COMPUTED_VALUE"""),"The Enloe State Bank")</f>
        <v>The Enloe State Bank</v>
      </c>
      <c r="B11" s="1" t="str">
        <f>IFERROR(__xludf.DUMMYFUNCTION("""COMPUTED_VALUE"""),"Cooper")</f>
        <v>Cooper</v>
      </c>
      <c r="C11" s="1" t="str">
        <f>IFERROR(__xludf.DUMMYFUNCTION("""COMPUTED_VALUE"""),"TX")</f>
        <v>TX</v>
      </c>
      <c r="D11" s="1">
        <f>IFERROR(__xludf.DUMMYFUNCTION("""COMPUTED_VALUE"""),10716.0)</f>
        <v>10716</v>
      </c>
      <c r="E11" s="1" t="str">
        <f>IFERROR(__xludf.DUMMYFUNCTION("""COMPUTED_VALUE"""),"Legend Bank, N. A.")</f>
        <v>Legend Bank, N. A.</v>
      </c>
      <c r="F11" s="2">
        <f>IFERROR(__xludf.DUMMYFUNCTION("""COMPUTED_VALUE"""),43616.0)</f>
        <v>43616</v>
      </c>
      <c r="G11" s="1">
        <f>IFERROR(__xludf.DUMMYFUNCTION("""COMPUTED_VALUE"""),10531.0)</f>
        <v>10531</v>
      </c>
    </row>
    <row r="12">
      <c r="A12" s="1" t="str">
        <f>IFERROR(__xludf.DUMMYFUNCTION("""COMPUTED_VALUE"""),"Washington Federal Bank for Savings")</f>
        <v>Washington Federal Bank for Savings</v>
      </c>
      <c r="B12" s="1" t="str">
        <f>IFERROR(__xludf.DUMMYFUNCTION("""COMPUTED_VALUE"""),"Chicago")</f>
        <v>Chicago</v>
      </c>
      <c r="C12" s="1" t="str">
        <f>IFERROR(__xludf.DUMMYFUNCTION("""COMPUTED_VALUE"""),"IL")</f>
        <v>IL</v>
      </c>
      <c r="D12" s="1">
        <f>IFERROR(__xludf.DUMMYFUNCTION("""COMPUTED_VALUE"""),30570.0)</f>
        <v>30570</v>
      </c>
      <c r="E12" s="1" t="str">
        <f>IFERROR(__xludf.DUMMYFUNCTION("""COMPUTED_VALUE"""),"Royal Savings Bank")</f>
        <v>Royal Savings Bank</v>
      </c>
      <c r="F12" s="2">
        <f>IFERROR(__xludf.DUMMYFUNCTION("""COMPUTED_VALUE"""),43084.0)</f>
        <v>43084</v>
      </c>
      <c r="G12" s="1">
        <f>IFERROR(__xludf.DUMMYFUNCTION("""COMPUTED_VALUE"""),10530.0)</f>
        <v>10530</v>
      </c>
    </row>
    <row r="13">
      <c r="A13" s="1" t="str">
        <f>IFERROR(__xludf.DUMMYFUNCTION("""COMPUTED_VALUE"""),"The Farmers and Merchants State Bank of Argonia")</f>
        <v>The Farmers and Merchants State Bank of Argonia</v>
      </c>
      <c r="B13" s="1" t="str">
        <f>IFERROR(__xludf.DUMMYFUNCTION("""COMPUTED_VALUE"""),"Argonia")</f>
        <v>Argonia</v>
      </c>
      <c r="C13" s="1" t="str">
        <f>IFERROR(__xludf.DUMMYFUNCTION("""COMPUTED_VALUE"""),"KS")</f>
        <v>KS</v>
      </c>
      <c r="D13" s="1">
        <f>IFERROR(__xludf.DUMMYFUNCTION("""COMPUTED_VALUE"""),17719.0)</f>
        <v>17719</v>
      </c>
      <c r="E13" s="1" t="str">
        <f>IFERROR(__xludf.DUMMYFUNCTION("""COMPUTED_VALUE"""),"Conway Bank")</f>
        <v>Conway Bank</v>
      </c>
      <c r="F13" s="2">
        <f>IFERROR(__xludf.DUMMYFUNCTION("""COMPUTED_VALUE"""),43021.0)</f>
        <v>43021</v>
      </c>
      <c r="G13" s="1">
        <f>IFERROR(__xludf.DUMMYFUNCTION("""COMPUTED_VALUE"""),10529.0)</f>
        <v>10529</v>
      </c>
    </row>
    <row r="14">
      <c r="A14" s="1" t="str">
        <f>IFERROR(__xludf.DUMMYFUNCTION("""COMPUTED_VALUE"""),"Fayette County Bank")</f>
        <v>Fayette County Bank</v>
      </c>
      <c r="B14" s="1" t="str">
        <f>IFERROR(__xludf.DUMMYFUNCTION("""COMPUTED_VALUE"""),"Saint Elmo")</f>
        <v>Saint Elmo</v>
      </c>
      <c r="C14" s="1" t="str">
        <f>IFERROR(__xludf.DUMMYFUNCTION("""COMPUTED_VALUE"""),"IL")</f>
        <v>IL</v>
      </c>
      <c r="D14" s="1">
        <f>IFERROR(__xludf.DUMMYFUNCTION("""COMPUTED_VALUE"""),1802.0)</f>
        <v>1802</v>
      </c>
      <c r="E14" s="1" t="str">
        <f>IFERROR(__xludf.DUMMYFUNCTION("""COMPUTED_VALUE"""),"United Fidelity Bank, fsb")</f>
        <v>United Fidelity Bank, fsb</v>
      </c>
      <c r="F14" s="2">
        <f>IFERROR(__xludf.DUMMYFUNCTION("""COMPUTED_VALUE"""),42881.0)</f>
        <v>42881</v>
      </c>
      <c r="G14" s="1">
        <f>IFERROR(__xludf.DUMMYFUNCTION("""COMPUTED_VALUE"""),10528.0)</f>
        <v>10528</v>
      </c>
    </row>
    <row r="15">
      <c r="A15" s="1" t="str">
        <f>IFERROR(__xludf.DUMMYFUNCTION("""COMPUTED_VALUE"""),"Guaranty Bank, (d/b/a BestBank in Georgia &amp; Michigan)")</f>
        <v>Guaranty Bank, (d/b/a BestBank in Georgia &amp; Michigan)</v>
      </c>
      <c r="B15" s="1" t="str">
        <f>IFERROR(__xludf.DUMMYFUNCTION("""COMPUTED_VALUE"""),"Milwaukee")</f>
        <v>Milwaukee</v>
      </c>
      <c r="C15" s="1" t="str">
        <f>IFERROR(__xludf.DUMMYFUNCTION("""COMPUTED_VALUE"""),"WI")</f>
        <v>WI</v>
      </c>
      <c r="D15" s="1">
        <f>IFERROR(__xludf.DUMMYFUNCTION("""COMPUTED_VALUE"""),30003.0)</f>
        <v>30003</v>
      </c>
      <c r="E15" s="1" t="str">
        <f>IFERROR(__xludf.DUMMYFUNCTION("""COMPUTED_VALUE"""),"First-Citizens Bank &amp; Trust Company")</f>
        <v>First-Citizens Bank &amp; Trust Company</v>
      </c>
      <c r="F15" s="2">
        <f>IFERROR(__xludf.DUMMYFUNCTION("""COMPUTED_VALUE"""),42860.0)</f>
        <v>42860</v>
      </c>
      <c r="G15" s="1">
        <f>IFERROR(__xludf.DUMMYFUNCTION("""COMPUTED_VALUE"""),10527.0)</f>
        <v>10527</v>
      </c>
    </row>
    <row r="16">
      <c r="A16" s="1" t="str">
        <f>IFERROR(__xludf.DUMMYFUNCTION("""COMPUTED_VALUE"""),"First NBC Bank")</f>
        <v>First NBC Bank</v>
      </c>
      <c r="B16" s="1" t="str">
        <f>IFERROR(__xludf.DUMMYFUNCTION("""COMPUTED_VALUE"""),"New Orleans")</f>
        <v>New Orleans</v>
      </c>
      <c r="C16" s="1" t="str">
        <f>IFERROR(__xludf.DUMMYFUNCTION("""COMPUTED_VALUE"""),"LA")</f>
        <v>LA</v>
      </c>
      <c r="D16" s="1">
        <f>IFERROR(__xludf.DUMMYFUNCTION("""COMPUTED_VALUE"""),58302.0)</f>
        <v>58302</v>
      </c>
      <c r="E16" s="1" t="str">
        <f>IFERROR(__xludf.DUMMYFUNCTION("""COMPUTED_VALUE"""),"Whitney Bank")</f>
        <v>Whitney Bank</v>
      </c>
      <c r="F16" s="2">
        <f>IFERROR(__xludf.DUMMYFUNCTION("""COMPUTED_VALUE"""),42853.0)</f>
        <v>42853</v>
      </c>
      <c r="G16" s="1">
        <f>IFERROR(__xludf.DUMMYFUNCTION("""COMPUTED_VALUE"""),10526.0)</f>
        <v>10526</v>
      </c>
    </row>
    <row r="17">
      <c r="A17" s="1" t="str">
        <f>IFERROR(__xludf.DUMMYFUNCTION("""COMPUTED_VALUE"""),"Proficio Bank")</f>
        <v>Proficio Bank</v>
      </c>
      <c r="B17" s="1" t="str">
        <f>IFERROR(__xludf.DUMMYFUNCTION("""COMPUTED_VALUE"""),"Cottonwood Heights")</f>
        <v>Cottonwood Heights</v>
      </c>
      <c r="C17" s="1" t="str">
        <f>IFERROR(__xludf.DUMMYFUNCTION("""COMPUTED_VALUE"""),"UT")</f>
        <v>UT</v>
      </c>
      <c r="D17" s="1">
        <f>IFERROR(__xludf.DUMMYFUNCTION("""COMPUTED_VALUE"""),35495.0)</f>
        <v>35495</v>
      </c>
      <c r="E17" s="1" t="str">
        <f>IFERROR(__xludf.DUMMYFUNCTION("""COMPUTED_VALUE"""),"Cache Valley Bank")</f>
        <v>Cache Valley Bank</v>
      </c>
      <c r="F17" s="2">
        <f>IFERROR(__xludf.DUMMYFUNCTION("""COMPUTED_VALUE"""),42797.0)</f>
        <v>42797</v>
      </c>
      <c r="G17" s="1">
        <f>IFERROR(__xludf.DUMMYFUNCTION("""COMPUTED_VALUE"""),10525.0)</f>
        <v>10525</v>
      </c>
    </row>
    <row r="18">
      <c r="A18" s="1" t="str">
        <f>IFERROR(__xludf.DUMMYFUNCTION("""COMPUTED_VALUE"""),"Seaway Bank and Trust Company")</f>
        <v>Seaway Bank and Trust Company</v>
      </c>
      <c r="B18" s="1" t="str">
        <f>IFERROR(__xludf.DUMMYFUNCTION("""COMPUTED_VALUE"""),"Chicago")</f>
        <v>Chicago</v>
      </c>
      <c r="C18" s="1" t="str">
        <f>IFERROR(__xludf.DUMMYFUNCTION("""COMPUTED_VALUE"""),"IL")</f>
        <v>IL</v>
      </c>
      <c r="D18" s="1">
        <f>IFERROR(__xludf.DUMMYFUNCTION("""COMPUTED_VALUE"""),19328.0)</f>
        <v>19328</v>
      </c>
      <c r="E18" s="1" t="str">
        <f>IFERROR(__xludf.DUMMYFUNCTION("""COMPUTED_VALUE"""),"State Bank of Texas")</f>
        <v>State Bank of Texas</v>
      </c>
      <c r="F18" s="2">
        <f>IFERROR(__xludf.DUMMYFUNCTION("""COMPUTED_VALUE"""),42762.0)</f>
        <v>42762</v>
      </c>
      <c r="G18" s="1">
        <f>IFERROR(__xludf.DUMMYFUNCTION("""COMPUTED_VALUE"""),10524.0)</f>
        <v>10524</v>
      </c>
    </row>
    <row r="19">
      <c r="A19" s="1" t="str">
        <f>IFERROR(__xludf.DUMMYFUNCTION("""COMPUTED_VALUE"""),"Harvest Community Bank")</f>
        <v>Harvest Community Bank</v>
      </c>
      <c r="B19" s="1" t="str">
        <f>IFERROR(__xludf.DUMMYFUNCTION("""COMPUTED_VALUE"""),"Pennsville")</f>
        <v>Pennsville</v>
      </c>
      <c r="C19" s="1" t="str">
        <f>IFERROR(__xludf.DUMMYFUNCTION("""COMPUTED_VALUE"""),"NJ")</f>
        <v>NJ</v>
      </c>
      <c r="D19" s="1">
        <f>IFERROR(__xludf.DUMMYFUNCTION("""COMPUTED_VALUE"""),34951.0)</f>
        <v>34951</v>
      </c>
      <c r="E19" s="1" t="str">
        <f>IFERROR(__xludf.DUMMYFUNCTION("""COMPUTED_VALUE"""),"First-Citizens Bank &amp; Trust Company")</f>
        <v>First-Citizens Bank &amp; Trust Company</v>
      </c>
      <c r="F19" s="2">
        <f>IFERROR(__xludf.DUMMYFUNCTION("""COMPUTED_VALUE"""),42748.0)</f>
        <v>42748</v>
      </c>
      <c r="G19" s="1">
        <f>IFERROR(__xludf.DUMMYFUNCTION("""COMPUTED_VALUE"""),10523.0)</f>
        <v>10523</v>
      </c>
    </row>
    <row r="20">
      <c r="A20" s="1" t="str">
        <f>IFERROR(__xludf.DUMMYFUNCTION("""COMPUTED_VALUE"""),"Allied Bank")</f>
        <v>Allied Bank</v>
      </c>
      <c r="B20" s="1" t="str">
        <f>IFERROR(__xludf.DUMMYFUNCTION("""COMPUTED_VALUE"""),"Mulberry")</f>
        <v>Mulberry</v>
      </c>
      <c r="C20" s="1" t="str">
        <f>IFERROR(__xludf.DUMMYFUNCTION("""COMPUTED_VALUE"""),"AR")</f>
        <v>AR</v>
      </c>
      <c r="D20" s="1">
        <f>IFERROR(__xludf.DUMMYFUNCTION("""COMPUTED_VALUE"""),91.0)</f>
        <v>91</v>
      </c>
      <c r="E20" s="1" t="str">
        <f>IFERROR(__xludf.DUMMYFUNCTION("""COMPUTED_VALUE"""),"Today's Bank")</f>
        <v>Today's Bank</v>
      </c>
      <c r="F20" s="2">
        <f>IFERROR(__xludf.DUMMYFUNCTION("""COMPUTED_VALUE"""),42636.0)</f>
        <v>42636</v>
      </c>
      <c r="G20" s="1">
        <f>IFERROR(__xludf.DUMMYFUNCTION("""COMPUTED_VALUE"""),10522.0)</f>
        <v>10522</v>
      </c>
    </row>
    <row r="21">
      <c r="A21" s="1" t="str">
        <f>IFERROR(__xludf.DUMMYFUNCTION("""COMPUTED_VALUE"""),"The Woodbury Banking Company")</f>
        <v>The Woodbury Banking Company</v>
      </c>
      <c r="B21" s="1" t="str">
        <f>IFERROR(__xludf.DUMMYFUNCTION("""COMPUTED_VALUE"""),"Woodbury")</f>
        <v>Woodbury</v>
      </c>
      <c r="C21" s="1" t="str">
        <f>IFERROR(__xludf.DUMMYFUNCTION("""COMPUTED_VALUE"""),"GA")</f>
        <v>GA</v>
      </c>
      <c r="D21" s="1">
        <f>IFERROR(__xludf.DUMMYFUNCTION("""COMPUTED_VALUE"""),11297.0)</f>
        <v>11297</v>
      </c>
      <c r="E21" s="1" t="str">
        <f>IFERROR(__xludf.DUMMYFUNCTION("""COMPUTED_VALUE"""),"United Bank")</f>
        <v>United Bank</v>
      </c>
      <c r="F21" s="2">
        <f>IFERROR(__xludf.DUMMYFUNCTION("""COMPUTED_VALUE"""),42601.0)</f>
        <v>42601</v>
      </c>
      <c r="G21" s="1">
        <f>IFERROR(__xludf.DUMMYFUNCTION("""COMPUTED_VALUE"""),10521.0)</f>
        <v>10521</v>
      </c>
    </row>
    <row r="22">
      <c r="A22" s="1" t="str">
        <f>IFERROR(__xludf.DUMMYFUNCTION("""COMPUTED_VALUE"""),"First CornerStone Bank")</f>
        <v>First CornerStone Bank</v>
      </c>
      <c r="B22" s="1" t="str">
        <f>IFERROR(__xludf.DUMMYFUNCTION("""COMPUTED_VALUE"""),"King of Prussia")</f>
        <v>King of Prussia</v>
      </c>
      <c r="C22" s="1" t="str">
        <f>IFERROR(__xludf.DUMMYFUNCTION("""COMPUTED_VALUE"""),"PA")</f>
        <v>PA</v>
      </c>
      <c r="D22" s="1">
        <f>IFERROR(__xludf.DUMMYFUNCTION("""COMPUTED_VALUE"""),35312.0)</f>
        <v>35312</v>
      </c>
      <c r="E22" s="1" t="str">
        <f>IFERROR(__xludf.DUMMYFUNCTION("""COMPUTED_VALUE"""),"First-Citizens Bank &amp; Trust Company")</f>
        <v>First-Citizens Bank &amp; Trust Company</v>
      </c>
      <c r="F22" s="2">
        <f>IFERROR(__xludf.DUMMYFUNCTION("""COMPUTED_VALUE"""),42496.0)</f>
        <v>42496</v>
      </c>
      <c r="G22" s="1">
        <f>IFERROR(__xludf.DUMMYFUNCTION("""COMPUTED_VALUE"""),10520.0)</f>
        <v>10520</v>
      </c>
    </row>
    <row r="23">
      <c r="A23" s="1" t="str">
        <f>IFERROR(__xludf.DUMMYFUNCTION("""COMPUTED_VALUE"""),"Trust Company Bank")</f>
        <v>Trust Company Bank</v>
      </c>
      <c r="B23" s="1" t="str">
        <f>IFERROR(__xludf.DUMMYFUNCTION("""COMPUTED_VALUE"""),"Memphis")</f>
        <v>Memphis</v>
      </c>
      <c r="C23" s="1" t="str">
        <f>IFERROR(__xludf.DUMMYFUNCTION("""COMPUTED_VALUE"""),"TN")</f>
        <v>TN</v>
      </c>
      <c r="D23" s="1">
        <f>IFERROR(__xludf.DUMMYFUNCTION("""COMPUTED_VALUE"""),9956.0)</f>
        <v>9956</v>
      </c>
      <c r="E23" s="1" t="str">
        <f>IFERROR(__xludf.DUMMYFUNCTION("""COMPUTED_VALUE"""),"The Bank of Fayette County")</f>
        <v>The Bank of Fayette County</v>
      </c>
      <c r="F23" s="2">
        <f>IFERROR(__xludf.DUMMYFUNCTION("""COMPUTED_VALUE"""),42489.0)</f>
        <v>42489</v>
      </c>
      <c r="G23" s="1">
        <f>IFERROR(__xludf.DUMMYFUNCTION("""COMPUTED_VALUE"""),10519.0)</f>
        <v>10519</v>
      </c>
    </row>
    <row r="24">
      <c r="A24" s="1" t="str">
        <f>IFERROR(__xludf.DUMMYFUNCTION("""COMPUTED_VALUE"""),"North Milwaukee State Bank")</f>
        <v>North Milwaukee State Bank</v>
      </c>
      <c r="B24" s="1" t="str">
        <f>IFERROR(__xludf.DUMMYFUNCTION("""COMPUTED_VALUE"""),"Milwaukee")</f>
        <v>Milwaukee</v>
      </c>
      <c r="C24" s="1" t="str">
        <f>IFERROR(__xludf.DUMMYFUNCTION("""COMPUTED_VALUE"""),"WI")</f>
        <v>WI</v>
      </c>
      <c r="D24" s="1">
        <f>IFERROR(__xludf.DUMMYFUNCTION("""COMPUTED_VALUE"""),20364.0)</f>
        <v>20364</v>
      </c>
      <c r="E24" s="1" t="str">
        <f>IFERROR(__xludf.DUMMYFUNCTION("""COMPUTED_VALUE"""),"First-Citizens Bank &amp; Trust Company")</f>
        <v>First-Citizens Bank &amp; Trust Company</v>
      </c>
      <c r="F24" s="2">
        <f>IFERROR(__xludf.DUMMYFUNCTION("""COMPUTED_VALUE"""),42440.0)</f>
        <v>42440</v>
      </c>
      <c r="G24" s="1">
        <f>IFERROR(__xludf.DUMMYFUNCTION("""COMPUTED_VALUE"""),10518.0)</f>
        <v>10518</v>
      </c>
    </row>
    <row r="25">
      <c r="A25" s="1" t="str">
        <f>IFERROR(__xludf.DUMMYFUNCTION("""COMPUTED_VALUE"""),"Hometown National Bank")</f>
        <v>Hometown National Bank</v>
      </c>
      <c r="B25" s="1" t="str">
        <f>IFERROR(__xludf.DUMMYFUNCTION("""COMPUTED_VALUE"""),"Longview")</f>
        <v>Longview</v>
      </c>
      <c r="C25" s="1" t="str">
        <f>IFERROR(__xludf.DUMMYFUNCTION("""COMPUTED_VALUE"""),"WA")</f>
        <v>WA</v>
      </c>
      <c r="D25" s="1">
        <f>IFERROR(__xludf.DUMMYFUNCTION("""COMPUTED_VALUE"""),35156.0)</f>
        <v>35156</v>
      </c>
      <c r="E25" s="1" t="str">
        <f>IFERROR(__xludf.DUMMYFUNCTION("""COMPUTED_VALUE"""),"Twin City Bank")</f>
        <v>Twin City Bank</v>
      </c>
      <c r="F25" s="2">
        <f>IFERROR(__xludf.DUMMYFUNCTION("""COMPUTED_VALUE"""),42279.0)</f>
        <v>42279</v>
      </c>
      <c r="G25" s="1">
        <f>IFERROR(__xludf.DUMMYFUNCTION("""COMPUTED_VALUE"""),10517.0)</f>
        <v>10517</v>
      </c>
    </row>
    <row r="26">
      <c r="A26" s="1" t="str">
        <f>IFERROR(__xludf.DUMMYFUNCTION("""COMPUTED_VALUE"""),"The Bank of Georgia")</f>
        <v>The Bank of Georgia</v>
      </c>
      <c r="B26" s="1" t="str">
        <f>IFERROR(__xludf.DUMMYFUNCTION("""COMPUTED_VALUE"""),"Peachtree City")</f>
        <v>Peachtree City</v>
      </c>
      <c r="C26" s="1" t="str">
        <f>IFERROR(__xludf.DUMMYFUNCTION("""COMPUTED_VALUE"""),"GA")</f>
        <v>GA</v>
      </c>
      <c r="D26" s="1">
        <f>IFERROR(__xludf.DUMMYFUNCTION("""COMPUTED_VALUE"""),35259.0)</f>
        <v>35259</v>
      </c>
      <c r="E26" s="1" t="str">
        <f>IFERROR(__xludf.DUMMYFUNCTION("""COMPUTED_VALUE"""),"Fidelity Bank")</f>
        <v>Fidelity Bank</v>
      </c>
      <c r="F26" s="2">
        <f>IFERROR(__xludf.DUMMYFUNCTION("""COMPUTED_VALUE"""),42279.0)</f>
        <v>42279</v>
      </c>
      <c r="G26" s="1">
        <f>IFERROR(__xludf.DUMMYFUNCTION("""COMPUTED_VALUE"""),10516.0)</f>
        <v>10516</v>
      </c>
    </row>
    <row r="27">
      <c r="A27" s="1" t="str">
        <f>IFERROR(__xludf.DUMMYFUNCTION("""COMPUTED_VALUE"""),"Premier Bank")</f>
        <v>Premier Bank</v>
      </c>
      <c r="B27" s="1" t="str">
        <f>IFERROR(__xludf.DUMMYFUNCTION("""COMPUTED_VALUE"""),"Denver")</f>
        <v>Denver</v>
      </c>
      <c r="C27" s="1" t="str">
        <f>IFERROR(__xludf.DUMMYFUNCTION("""COMPUTED_VALUE"""),"CO")</f>
        <v>CO</v>
      </c>
      <c r="D27" s="1">
        <f>IFERROR(__xludf.DUMMYFUNCTION("""COMPUTED_VALUE"""),34112.0)</f>
        <v>34112</v>
      </c>
      <c r="E27" s="1" t="str">
        <f>IFERROR(__xludf.DUMMYFUNCTION("""COMPUTED_VALUE"""),"United Fidelity Bank, fsb")</f>
        <v>United Fidelity Bank, fsb</v>
      </c>
      <c r="F27" s="2">
        <f>IFERROR(__xludf.DUMMYFUNCTION("""COMPUTED_VALUE"""),42195.0)</f>
        <v>42195</v>
      </c>
      <c r="G27" s="1">
        <f>IFERROR(__xludf.DUMMYFUNCTION("""COMPUTED_VALUE"""),10515.0)</f>
        <v>10515</v>
      </c>
    </row>
    <row r="28">
      <c r="A28" s="1" t="str">
        <f>IFERROR(__xludf.DUMMYFUNCTION("""COMPUTED_VALUE"""),"Edgebrook Bank")</f>
        <v>Edgebrook Bank</v>
      </c>
      <c r="B28" s="1" t="str">
        <f>IFERROR(__xludf.DUMMYFUNCTION("""COMPUTED_VALUE"""),"Chicago")</f>
        <v>Chicago</v>
      </c>
      <c r="C28" s="1" t="str">
        <f>IFERROR(__xludf.DUMMYFUNCTION("""COMPUTED_VALUE"""),"IL")</f>
        <v>IL</v>
      </c>
      <c r="D28" s="1">
        <f>IFERROR(__xludf.DUMMYFUNCTION("""COMPUTED_VALUE"""),57772.0)</f>
        <v>57772</v>
      </c>
      <c r="E28" s="1" t="str">
        <f>IFERROR(__xludf.DUMMYFUNCTION("""COMPUTED_VALUE"""),"Republic Bank of Chicago")</f>
        <v>Republic Bank of Chicago</v>
      </c>
      <c r="F28" s="2">
        <f>IFERROR(__xludf.DUMMYFUNCTION("""COMPUTED_VALUE"""),42132.0)</f>
        <v>42132</v>
      </c>
      <c r="G28" s="1">
        <f>IFERROR(__xludf.DUMMYFUNCTION("""COMPUTED_VALUE"""),10514.0)</f>
        <v>10514</v>
      </c>
    </row>
    <row r="29">
      <c r="A29" s="1" t="str">
        <f>IFERROR(__xludf.DUMMYFUNCTION("""COMPUTED_VALUE"""),"Doral Bank
En Español")</f>
        <v>Doral Bank
En Español</v>
      </c>
      <c r="B29" s="1" t="str">
        <f>IFERROR(__xludf.DUMMYFUNCTION("""COMPUTED_VALUE"""),"San Juan")</f>
        <v>San Juan</v>
      </c>
      <c r="C29" s="1" t="str">
        <f>IFERROR(__xludf.DUMMYFUNCTION("""COMPUTED_VALUE"""),"PR")</f>
        <v>PR</v>
      </c>
      <c r="D29" s="1">
        <f>IFERROR(__xludf.DUMMYFUNCTION("""COMPUTED_VALUE"""),32102.0)</f>
        <v>32102</v>
      </c>
      <c r="E29" s="1" t="str">
        <f>IFERROR(__xludf.DUMMYFUNCTION("""COMPUTED_VALUE"""),"Banco Popular de Puerto Rico")</f>
        <v>Banco Popular de Puerto Rico</v>
      </c>
      <c r="F29" s="2">
        <f>IFERROR(__xludf.DUMMYFUNCTION("""COMPUTED_VALUE"""),42062.0)</f>
        <v>42062</v>
      </c>
      <c r="G29" s="1">
        <f>IFERROR(__xludf.DUMMYFUNCTION("""COMPUTED_VALUE"""),10513.0)</f>
        <v>10513</v>
      </c>
    </row>
    <row r="30">
      <c r="A30" s="1" t="str">
        <f>IFERROR(__xludf.DUMMYFUNCTION("""COMPUTED_VALUE"""),"Capitol City Bank &amp; Trust Company")</f>
        <v>Capitol City Bank &amp; Trust Company</v>
      </c>
      <c r="B30" s="1" t="str">
        <f>IFERROR(__xludf.DUMMYFUNCTION("""COMPUTED_VALUE"""),"Atlanta")</f>
        <v>Atlanta</v>
      </c>
      <c r="C30" s="1" t="str">
        <f>IFERROR(__xludf.DUMMYFUNCTION("""COMPUTED_VALUE"""),"GA")</f>
        <v>GA</v>
      </c>
      <c r="D30" s="1">
        <f>IFERROR(__xludf.DUMMYFUNCTION("""COMPUTED_VALUE"""),33938.0)</f>
        <v>33938</v>
      </c>
      <c r="E30" s="1" t="str">
        <f>IFERROR(__xludf.DUMMYFUNCTION("""COMPUTED_VALUE"""),"First-Citizens Bank &amp; Trust Company")</f>
        <v>First-Citizens Bank &amp; Trust Company</v>
      </c>
      <c r="F30" s="2">
        <f>IFERROR(__xludf.DUMMYFUNCTION("""COMPUTED_VALUE"""),42048.0)</f>
        <v>42048</v>
      </c>
      <c r="G30" s="1">
        <f>IFERROR(__xludf.DUMMYFUNCTION("""COMPUTED_VALUE"""),10512.0)</f>
        <v>10512</v>
      </c>
    </row>
    <row r="31">
      <c r="A31" s="1" t="str">
        <f>IFERROR(__xludf.DUMMYFUNCTION("""COMPUTED_VALUE"""),"Highland Community Bank")</f>
        <v>Highland Community Bank</v>
      </c>
      <c r="B31" s="1" t="str">
        <f>IFERROR(__xludf.DUMMYFUNCTION("""COMPUTED_VALUE"""),"Chicago")</f>
        <v>Chicago</v>
      </c>
      <c r="C31" s="1" t="str">
        <f>IFERROR(__xludf.DUMMYFUNCTION("""COMPUTED_VALUE"""),"IL")</f>
        <v>IL</v>
      </c>
      <c r="D31" s="1">
        <f>IFERROR(__xludf.DUMMYFUNCTION("""COMPUTED_VALUE"""),20290.0)</f>
        <v>20290</v>
      </c>
      <c r="E31" s="1" t="str">
        <f>IFERROR(__xludf.DUMMYFUNCTION("""COMPUTED_VALUE"""),"United Fidelity Bank, fsb")</f>
        <v>United Fidelity Bank, fsb</v>
      </c>
      <c r="F31" s="2">
        <f>IFERROR(__xludf.DUMMYFUNCTION("""COMPUTED_VALUE"""),42027.0)</f>
        <v>42027</v>
      </c>
      <c r="G31" s="1">
        <f>IFERROR(__xludf.DUMMYFUNCTION("""COMPUTED_VALUE"""),10511.0)</f>
        <v>10511</v>
      </c>
    </row>
    <row r="32">
      <c r="A32" s="1" t="str">
        <f>IFERROR(__xludf.DUMMYFUNCTION("""COMPUTED_VALUE"""),"First National Bank of Crestview")</f>
        <v>First National Bank of Crestview</v>
      </c>
      <c r="B32" s="1" t="str">
        <f>IFERROR(__xludf.DUMMYFUNCTION("""COMPUTED_VALUE"""),"Crestview")</f>
        <v>Crestview</v>
      </c>
      <c r="C32" s="1" t="str">
        <f>IFERROR(__xludf.DUMMYFUNCTION("""COMPUTED_VALUE"""),"FL")</f>
        <v>FL</v>
      </c>
      <c r="D32" s="1">
        <f>IFERROR(__xludf.DUMMYFUNCTION("""COMPUTED_VALUE"""),17557.0)</f>
        <v>17557</v>
      </c>
      <c r="E32" s="1" t="str">
        <f>IFERROR(__xludf.DUMMYFUNCTION("""COMPUTED_VALUE"""),"First NBC Bank")</f>
        <v>First NBC Bank</v>
      </c>
      <c r="F32" s="2">
        <f>IFERROR(__xludf.DUMMYFUNCTION("""COMPUTED_VALUE"""),42020.0)</f>
        <v>42020</v>
      </c>
      <c r="G32" s="1">
        <f>IFERROR(__xludf.DUMMYFUNCTION("""COMPUTED_VALUE"""),10510.0)</f>
        <v>10510</v>
      </c>
    </row>
    <row r="33">
      <c r="A33" s="1" t="str">
        <f>IFERROR(__xludf.DUMMYFUNCTION("""COMPUTED_VALUE"""),"Northern Star Bank")</f>
        <v>Northern Star Bank</v>
      </c>
      <c r="B33" s="1" t="str">
        <f>IFERROR(__xludf.DUMMYFUNCTION("""COMPUTED_VALUE"""),"Mankato")</f>
        <v>Mankato</v>
      </c>
      <c r="C33" s="1" t="str">
        <f>IFERROR(__xludf.DUMMYFUNCTION("""COMPUTED_VALUE"""),"MN")</f>
        <v>MN</v>
      </c>
      <c r="D33" s="1">
        <f>IFERROR(__xludf.DUMMYFUNCTION("""COMPUTED_VALUE"""),34983.0)</f>
        <v>34983</v>
      </c>
      <c r="E33" s="1" t="str">
        <f>IFERROR(__xludf.DUMMYFUNCTION("""COMPUTED_VALUE"""),"BankVista")</f>
        <v>BankVista</v>
      </c>
      <c r="F33" s="2">
        <f>IFERROR(__xludf.DUMMYFUNCTION("""COMPUTED_VALUE"""),41992.0)</f>
        <v>41992</v>
      </c>
      <c r="G33" s="1">
        <f>IFERROR(__xludf.DUMMYFUNCTION("""COMPUTED_VALUE"""),10509.0)</f>
        <v>10509</v>
      </c>
    </row>
    <row r="34">
      <c r="A34" s="1" t="str">
        <f>IFERROR(__xludf.DUMMYFUNCTION("""COMPUTED_VALUE"""),"Frontier Bank, FSB D/B/A El Paseo Bank")</f>
        <v>Frontier Bank, FSB D/B/A El Paseo Bank</v>
      </c>
      <c r="B34" s="1" t="str">
        <f>IFERROR(__xludf.DUMMYFUNCTION("""COMPUTED_VALUE"""),"Palm Desert")</f>
        <v>Palm Desert</v>
      </c>
      <c r="C34" s="1" t="str">
        <f>IFERROR(__xludf.DUMMYFUNCTION("""COMPUTED_VALUE"""),"CA")</f>
        <v>CA</v>
      </c>
      <c r="D34" s="1">
        <f>IFERROR(__xludf.DUMMYFUNCTION("""COMPUTED_VALUE"""),34738.0)</f>
        <v>34738</v>
      </c>
      <c r="E34" s="1" t="str">
        <f>IFERROR(__xludf.DUMMYFUNCTION("""COMPUTED_VALUE"""),"Bank of Southern California, N.A.")</f>
        <v>Bank of Southern California, N.A.</v>
      </c>
      <c r="F34" s="2">
        <f>IFERROR(__xludf.DUMMYFUNCTION("""COMPUTED_VALUE"""),41950.0)</f>
        <v>41950</v>
      </c>
      <c r="G34" s="1">
        <f>IFERROR(__xludf.DUMMYFUNCTION("""COMPUTED_VALUE"""),10508.0)</f>
        <v>10508</v>
      </c>
    </row>
    <row r="35">
      <c r="A35" s="1" t="str">
        <f>IFERROR(__xludf.DUMMYFUNCTION("""COMPUTED_VALUE"""),"The National Republic Bank of Chicago")</f>
        <v>The National Republic Bank of Chicago</v>
      </c>
      <c r="B35" s="1" t="str">
        <f>IFERROR(__xludf.DUMMYFUNCTION("""COMPUTED_VALUE"""),"Chicago")</f>
        <v>Chicago</v>
      </c>
      <c r="C35" s="1" t="str">
        <f>IFERROR(__xludf.DUMMYFUNCTION("""COMPUTED_VALUE"""),"IL")</f>
        <v>IL</v>
      </c>
      <c r="D35" s="1">
        <f>IFERROR(__xludf.DUMMYFUNCTION("""COMPUTED_VALUE"""),916.0)</f>
        <v>916</v>
      </c>
      <c r="E35" s="1" t="str">
        <f>IFERROR(__xludf.DUMMYFUNCTION("""COMPUTED_VALUE"""),"State Bank of Texas")</f>
        <v>State Bank of Texas</v>
      </c>
      <c r="F35" s="2">
        <f>IFERROR(__xludf.DUMMYFUNCTION("""COMPUTED_VALUE"""),41936.0)</f>
        <v>41936</v>
      </c>
      <c r="G35" s="1">
        <f>IFERROR(__xludf.DUMMYFUNCTION("""COMPUTED_VALUE"""),10507.0)</f>
        <v>10507</v>
      </c>
    </row>
    <row r="36">
      <c r="A36" s="1" t="str">
        <f>IFERROR(__xludf.DUMMYFUNCTION("""COMPUTED_VALUE"""),"NBRS Financial")</f>
        <v>NBRS Financial</v>
      </c>
      <c r="B36" s="1" t="str">
        <f>IFERROR(__xludf.DUMMYFUNCTION("""COMPUTED_VALUE"""),"Rising Sun")</f>
        <v>Rising Sun</v>
      </c>
      <c r="C36" s="1" t="str">
        <f>IFERROR(__xludf.DUMMYFUNCTION("""COMPUTED_VALUE"""),"MD")</f>
        <v>MD</v>
      </c>
      <c r="D36" s="1">
        <f>IFERROR(__xludf.DUMMYFUNCTION("""COMPUTED_VALUE"""),4862.0)</f>
        <v>4862</v>
      </c>
      <c r="E36" s="1" t="str">
        <f>IFERROR(__xludf.DUMMYFUNCTION("""COMPUTED_VALUE"""),"Howard Bank")</f>
        <v>Howard Bank</v>
      </c>
      <c r="F36" s="2">
        <f>IFERROR(__xludf.DUMMYFUNCTION("""COMPUTED_VALUE"""),41929.0)</f>
        <v>41929</v>
      </c>
      <c r="G36" s="1">
        <f>IFERROR(__xludf.DUMMYFUNCTION("""COMPUTED_VALUE"""),10506.0)</f>
        <v>10506</v>
      </c>
    </row>
    <row r="37">
      <c r="A37" s="1" t="str">
        <f>IFERROR(__xludf.DUMMYFUNCTION("""COMPUTED_VALUE"""),"GreenChoice Bank, fsb")</f>
        <v>GreenChoice Bank, fsb</v>
      </c>
      <c r="B37" s="1" t="str">
        <f>IFERROR(__xludf.DUMMYFUNCTION("""COMPUTED_VALUE"""),"Chicago")</f>
        <v>Chicago</v>
      </c>
      <c r="C37" s="1" t="str">
        <f>IFERROR(__xludf.DUMMYFUNCTION("""COMPUTED_VALUE"""),"IL")</f>
        <v>IL</v>
      </c>
      <c r="D37" s="1">
        <f>IFERROR(__xludf.DUMMYFUNCTION("""COMPUTED_VALUE"""),28462.0)</f>
        <v>28462</v>
      </c>
      <c r="E37" s="1" t="str">
        <f>IFERROR(__xludf.DUMMYFUNCTION("""COMPUTED_VALUE"""),"Providence Bank, LLC")</f>
        <v>Providence Bank, LLC</v>
      </c>
      <c r="F37" s="2">
        <f>IFERROR(__xludf.DUMMYFUNCTION("""COMPUTED_VALUE"""),41845.0)</f>
        <v>41845</v>
      </c>
      <c r="G37" s="1">
        <f>IFERROR(__xludf.DUMMYFUNCTION("""COMPUTED_VALUE"""),10505.0)</f>
        <v>10505</v>
      </c>
    </row>
    <row r="38">
      <c r="A38" s="1" t="str">
        <f>IFERROR(__xludf.DUMMYFUNCTION("""COMPUTED_VALUE"""),"Eastside Commercial Bank")</f>
        <v>Eastside Commercial Bank</v>
      </c>
      <c r="B38" s="1" t="str">
        <f>IFERROR(__xludf.DUMMYFUNCTION("""COMPUTED_VALUE"""),"Conyers")</f>
        <v>Conyers</v>
      </c>
      <c r="C38" s="1" t="str">
        <f>IFERROR(__xludf.DUMMYFUNCTION("""COMPUTED_VALUE"""),"GA")</f>
        <v>GA</v>
      </c>
      <c r="D38" s="1">
        <f>IFERROR(__xludf.DUMMYFUNCTION("""COMPUTED_VALUE"""),58125.0)</f>
        <v>58125</v>
      </c>
      <c r="E38" s="1" t="str">
        <f>IFERROR(__xludf.DUMMYFUNCTION("""COMPUTED_VALUE"""),"Community &amp; Southern Bank")</f>
        <v>Community &amp; Southern Bank</v>
      </c>
      <c r="F38" s="2">
        <f>IFERROR(__xludf.DUMMYFUNCTION("""COMPUTED_VALUE"""),41838.0)</f>
        <v>41838</v>
      </c>
      <c r="G38" s="1">
        <f>IFERROR(__xludf.DUMMYFUNCTION("""COMPUTED_VALUE"""),10504.0)</f>
        <v>10504</v>
      </c>
    </row>
    <row r="39">
      <c r="A39" s="1" t="str">
        <f>IFERROR(__xludf.DUMMYFUNCTION("""COMPUTED_VALUE"""),"The Freedom State Bank")</f>
        <v>The Freedom State Bank</v>
      </c>
      <c r="B39" s="1" t="str">
        <f>IFERROR(__xludf.DUMMYFUNCTION("""COMPUTED_VALUE"""),"Freedom")</f>
        <v>Freedom</v>
      </c>
      <c r="C39" s="1" t="str">
        <f>IFERROR(__xludf.DUMMYFUNCTION("""COMPUTED_VALUE"""),"OK")</f>
        <v>OK</v>
      </c>
      <c r="D39" s="1">
        <f>IFERROR(__xludf.DUMMYFUNCTION("""COMPUTED_VALUE"""),12483.0)</f>
        <v>12483</v>
      </c>
      <c r="E39" s="1" t="str">
        <f>IFERROR(__xludf.DUMMYFUNCTION("""COMPUTED_VALUE"""),"Alva State Bank &amp; Trust Company")</f>
        <v>Alva State Bank &amp; Trust Company</v>
      </c>
      <c r="F39" s="2">
        <f>IFERROR(__xludf.DUMMYFUNCTION("""COMPUTED_VALUE"""),41817.0)</f>
        <v>41817</v>
      </c>
      <c r="G39" s="1">
        <f>IFERROR(__xludf.DUMMYFUNCTION("""COMPUTED_VALUE"""),10503.0)</f>
        <v>10503</v>
      </c>
    </row>
    <row r="40">
      <c r="A40" s="1" t="str">
        <f>IFERROR(__xludf.DUMMYFUNCTION("""COMPUTED_VALUE"""),"Valley Bank")</f>
        <v>Valley Bank</v>
      </c>
      <c r="B40" s="1" t="str">
        <f>IFERROR(__xludf.DUMMYFUNCTION("""COMPUTED_VALUE"""),"Fort Lauderdale")</f>
        <v>Fort Lauderdale</v>
      </c>
      <c r="C40" s="1" t="str">
        <f>IFERROR(__xludf.DUMMYFUNCTION("""COMPUTED_VALUE"""),"FL")</f>
        <v>FL</v>
      </c>
      <c r="D40" s="1">
        <f>IFERROR(__xludf.DUMMYFUNCTION("""COMPUTED_VALUE"""),21793.0)</f>
        <v>21793</v>
      </c>
      <c r="E40" s="1" t="str">
        <f>IFERROR(__xludf.DUMMYFUNCTION("""COMPUTED_VALUE"""),"Landmark Bank, National Association")</f>
        <v>Landmark Bank, National Association</v>
      </c>
      <c r="F40" s="2">
        <f>IFERROR(__xludf.DUMMYFUNCTION("""COMPUTED_VALUE"""),41810.0)</f>
        <v>41810</v>
      </c>
      <c r="G40" s="1">
        <f>IFERROR(__xludf.DUMMYFUNCTION("""COMPUTED_VALUE"""),10501.0)</f>
        <v>10501</v>
      </c>
    </row>
    <row r="41">
      <c r="A41" s="1" t="str">
        <f>IFERROR(__xludf.DUMMYFUNCTION("""COMPUTED_VALUE"""),"Valley Bank")</f>
        <v>Valley Bank</v>
      </c>
      <c r="B41" s="1" t="str">
        <f>IFERROR(__xludf.DUMMYFUNCTION("""COMPUTED_VALUE"""),"Moline")</f>
        <v>Moline</v>
      </c>
      <c r="C41" s="1" t="str">
        <f>IFERROR(__xludf.DUMMYFUNCTION("""COMPUTED_VALUE"""),"IL")</f>
        <v>IL</v>
      </c>
      <c r="D41" s="1">
        <f>IFERROR(__xludf.DUMMYFUNCTION("""COMPUTED_VALUE"""),10450.0)</f>
        <v>10450</v>
      </c>
      <c r="E41" s="1" t="str">
        <f>IFERROR(__xludf.DUMMYFUNCTION("""COMPUTED_VALUE"""),"Great Southern Bank")</f>
        <v>Great Southern Bank</v>
      </c>
      <c r="F41" s="2">
        <f>IFERROR(__xludf.DUMMYFUNCTION("""COMPUTED_VALUE"""),41810.0)</f>
        <v>41810</v>
      </c>
      <c r="G41" s="1">
        <f>IFERROR(__xludf.DUMMYFUNCTION("""COMPUTED_VALUE"""),10502.0)</f>
        <v>10502</v>
      </c>
    </row>
    <row r="42">
      <c r="A42" s="1" t="str">
        <f>IFERROR(__xludf.DUMMYFUNCTION("""COMPUTED_VALUE"""),"Slavie Federal Savings Bank")</f>
        <v>Slavie Federal Savings Bank</v>
      </c>
      <c r="B42" s="1" t="str">
        <f>IFERROR(__xludf.DUMMYFUNCTION("""COMPUTED_VALUE"""),"Bel Air")</f>
        <v>Bel Air</v>
      </c>
      <c r="C42" s="1" t="str">
        <f>IFERROR(__xludf.DUMMYFUNCTION("""COMPUTED_VALUE"""),"MD")</f>
        <v>MD</v>
      </c>
      <c r="D42" s="1">
        <f>IFERROR(__xludf.DUMMYFUNCTION("""COMPUTED_VALUE"""),32368.0)</f>
        <v>32368</v>
      </c>
      <c r="E42" s="1" t="str">
        <f>IFERROR(__xludf.DUMMYFUNCTION("""COMPUTED_VALUE"""),"Bay Bank, FSB")</f>
        <v>Bay Bank, FSB</v>
      </c>
      <c r="F42" s="2">
        <f>IFERROR(__xludf.DUMMYFUNCTION("""COMPUTED_VALUE"""),41789.0)</f>
        <v>41789</v>
      </c>
      <c r="G42" s="1">
        <f>IFERROR(__xludf.DUMMYFUNCTION("""COMPUTED_VALUE"""),10500.0)</f>
        <v>10500</v>
      </c>
    </row>
    <row r="43">
      <c r="A43" s="1" t="str">
        <f>IFERROR(__xludf.DUMMYFUNCTION("""COMPUTED_VALUE"""),"Columbia Savings Bank")</f>
        <v>Columbia Savings Bank</v>
      </c>
      <c r="B43" s="1" t="str">
        <f>IFERROR(__xludf.DUMMYFUNCTION("""COMPUTED_VALUE"""),"Cincinnati")</f>
        <v>Cincinnati</v>
      </c>
      <c r="C43" s="1" t="str">
        <f>IFERROR(__xludf.DUMMYFUNCTION("""COMPUTED_VALUE"""),"OH")</f>
        <v>OH</v>
      </c>
      <c r="D43" s="1">
        <f>IFERROR(__xludf.DUMMYFUNCTION("""COMPUTED_VALUE"""),32284.0)</f>
        <v>32284</v>
      </c>
      <c r="E43" s="1" t="str">
        <f>IFERROR(__xludf.DUMMYFUNCTION("""COMPUTED_VALUE"""),"United Fidelity Bank, fsb")</f>
        <v>United Fidelity Bank, fsb</v>
      </c>
      <c r="F43" s="2">
        <f>IFERROR(__xludf.DUMMYFUNCTION("""COMPUTED_VALUE"""),41782.0)</f>
        <v>41782</v>
      </c>
      <c r="G43" s="1">
        <f>IFERROR(__xludf.DUMMYFUNCTION("""COMPUTED_VALUE"""),10499.0)</f>
        <v>10499</v>
      </c>
    </row>
    <row r="44">
      <c r="A44" s="1" t="str">
        <f>IFERROR(__xludf.DUMMYFUNCTION("""COMPUTED_VALUE"""),"AztecAmerica Bank
En Español")</f>
        <v>AztecAmerica Bank
En Español</v>
      </c>
      <c r="B44" s="1" t="str">
        <f>IFERROR(__xludf.DUMMYFUNCTION("""COMPUTED_VALUE"""),"Berwyn")</f>
        <v>Berwyn</v>
      </c>
      <c r="C44" s="1" t="str">
        <f>IFERROR(__xludf.DUMMYFUNCTION("""COMPUTED_VALUE"""),"IL")</f>
        <v>IL</v>
      </c>
      <c r="D44" s="1">
        <f>IFERROR(__xludf.DUMMYFUNCTION("""COMPUTED_VALUE"""),57866.0)</f>
        <v>57866</v>
      </c>
      <c r="E44" s="1" t="str">
        <f>IFERROR(__xludf.DUMMYFUNCTION("""COMPUTED_VALUE"""),"Republic Bank of Chicago")</f>
        <v>Republic Bank of Chicago</v>
      </c>
      <c r="F44" s="2">
        <f>IFERROR(__xludf.DUMMYFUNCTION("""COMPUTED_VALUE"""),41775.0)</f>
        <v>41775</v>
      </c>
      <c r="G44" s="1">
        <f>IFERROR(__xludf.DUMMYFUNCTION("""COMPUTED_VALUE"""),10498.0)</f>
        <v>10498</v>
      </c>
    </row>
    <row r="45">
      <c r="A45" s="1" t="str">
        <f>IFERROR(__xludf.DUMMYFUNCTION("""COMPUTED_VALUE"""),"Allendale County Bank")</f>
        <v>Allendale County Bank</v>
      </c>
      <c r="B45" s="1" t="str">
        <f>IFERROR(__xludf.DUMMYFUNCTION("""COMPUTED_VALUE"""),"Fairfax")</f>
        <v>Fairfax</v>
      </c>
      <c r="C45" s="1" t="str">
        <f>IFERROR(__xludf.DUMMYFUNCTION("""COMPUTED_VALUE"""),"SC")</f>
        <v>SC</v>
      </c>
      <c r="D45" s="1">
        <f>IFERROR(__xludf.DUMMYFUNCTION("""COMPUTED_VALUE"""),15062.0)</f>
        <v>15062</v>
      </c>
      <c r="E45" s="1" t="str">
        <f>IFERROR(__xludf.DUMMYFUNCTION("""COMPUTED_VALUE"""),"Palmetto State Bank")</f>
        <v>Palmetto State Bank</v>
      </c>
      <c r="F45" s="2">
        <f>IFERROR(__xludf.DUMMYFUNCTION("""COMPUTED_VALUE"""),41754.0)</f>
        <v>41754</v>
      </c>
      <c r="G45" s="1">
        <f>IFERROR(__xludf.DUMMYFUNCTION("""COMPUTED_VALUE"""),10497.0)</f>
        <v>10497</v>
      </c>
    </row>
    <row r="46">
      <c r="A46" s="1" t="str">
        <f>IFERROR(__xludf.DUMMYFUNCTION("""COMPUTED_VALUE"""),"Vantage Point Bank")</f>
        <v>Vantage Point Bank</v>
      </c>
      <c r="B46" s="1" t="str">
        <f>IFERROR(__xludf.DUMMYFUNCTION("""COMPUTED_VALUE"""),"Horsham")</f>
        <v>Horsham</v>
      </c>
      <c r="C46" s="1" t="str">
        <f>IFERROR(__xludf.DUMMYFUNCTION("""COMPUTED_VALUE"""),"PA")</f>
        <v>PA</v>
      </c>
      <c r="D46" s="1">
        <f>IFERROR(__xludf.DUMMYFUNCTION("""COMPUTED_VALUE"""),58531.0)</f>
        <v>58531</v>
      </c>
      <c r="E46" s="1" t="str">
        <f>IFERROR(__xludf.DUMMYFUNCTION("""COMPUTED_VALUE"""),"First Choice Bank")</f>
        <v>First Choice Bank</v>
      </c>
      <c r="F46" s="2">
        <f>IFERROR(__xludf.DUMMYFUNCTION("""COMPUTED_VALUE"""),41698.0)</f>
        <v>41698</v>
      </c>
      <c r="G46" s="1">
        <f>IFERROR(__xludf.DUMMYFUNCTION("""COMPUTED_VALUE"""),10496.0)</f>
        <v>10496</v>
      </c>
    </row>
    <row r="47">
      <c r="A47" s="1" t="str">
        <f>IFERROR(__xludf.DUMMYFUNCTION("""COMPUTED_VALUE"""),"Millennium Bank, National Association")</f>
        <v>Millennium Bank, National Association</v>
      </c>
      <c r="B47" s="1" t="str">
        <f>IFERROR(__xludf.DUMMYFUNCTION("""COMPUTED_VALUE"""),"Sterling")</f>
        <v>Sterling</v>
      </c>
      <c r="C47" s="1" t="str">
        <f>IFERROR(__xludf.DUMMYFUNCTION("""COMPUTED_VALUE"""),"VA")</f>
        <v>VA</v>
      </c>
      <c r="D47" s="1">
        <f>IFERROR(__xludf.DUMMYFUNCTION("""COMPUTED_VALUE"""),35096.0)</f>
        <v>35096</v>
      </c>
      <c r="E47" s="1" t="str">
        <f>IFERROR(__xludf.DUMMYFUNCTION("""COMPUTED_VALUE"""),"WashingtonFirst Bank")</f>
        <v>WashingtonFirst Bank</v>
      </c>
      <c r="F47" s="2">
        <f>IFERROR(__xludf.DUMMYFUNCTION("""COMPUTED_VALUE"""),41698.0)</f>
        <v>41698</v>
      </c>
      <c r="G47" s="1">
        <f>IFERROR(__xludf.DUMMYFUNCTION("""COMPUTED_VALUE"""),10495.0)</f>
        <v>10495</v>
      </c>
    </row>
    <row r="48">
      <c r="A48" s="1" t="str">
        <f>IFERROR(__xludf.DUMMYFUNCTION("""COMPUTED_VALUE"""),"Syringa Bank")</f>
        <v>Syringa Bank</v>
      </c>
      <c r="B48" s="1" t="str">
        <f>IFERROR(__xludf.DUMMYFUNCTION("""COMPUTED_VALUE"""),"Boise")</f>
        <v>Boise</v>
      </c>
      <c r="C48" s="1" t="str">
        <f>IFERROR(__xludf.DUMMYFUNCTION("""COMPUTED_VALUE"""),"ID")</f>
        <v>ID</v>
      </c>
      <c r="D48" s="1">
        <f>IFERROR(__xludf.DUMMYFUNCTION("""COMPUTED_VALUE"""),34296.0)</f>
        <v>34296</v>
      </c>
      <c r="E48" s="1" t="str">
        <f>IFERROR(__xludf.DUMMYFUNCTION("""COMPUTED_VALUE"""),"Sunwest Bank")</f>
        <v>Sunwest Bank</v>
      </c>
      <c r="F48" s="2">
        <f>IFERROR(__xludf.DUMMYFUNCTION("""COMPUTED_VALUE"""),41670.0)</f>
        <v>41670</v>
      </c>
      <c r="G48" s="1">
        <f>IFERROR(__xludf.DUMMYFUNCTION("""COMPUTED_VALUE"""),10494.0)</f>
        <v>10494</v>
      </c>
    </row>
    <row r="49">
      <c r="A49" s="1" t="str">
        <f>IFERROR(__xludf.DUMMYFUNCTION("""COMPUTED_VALUE"""),"The Bank of Union")</f>
        <v>The Bank of Union</v>
      </c>
      <c r="B49" s="1" t="str">
        <f>IFERROR(__xludf.DUMMYFUNCTION("""COMPUTED_VALUE"""),"El Reno")</f>
        <v>El Reno</v>
      </c>
      <c r="C49" s="1" t="str">
        <f>IFERROR(__xludf.DUMMYFUNCTION("""COMPUTED_VALUE"""),"OK")</f>
        <v>OK</v>
      </c>
      <c r="D49" s="1">
        <f>IFERROR(__xludf.DUMMYFUNCTION("""COMPUTED_VALUE"""),17967.0)</f>
        <v>17967</v>
      </c>
      <c r="E49" s="1" t="str">
        <f>IFERROR(__xludf.DUMMYFUNCTION("""COMPUTED_VALUE"""),"BancFirst")</f>
        <v>BancFirst</v>
      </c>
      <c r="F49" s="2">
        <f>IFERROR(__xludf.DUMMYFUNCTION("""COMPUTED_VALUE"""),41663.0)</f>
        <v>41663</v>
      </c>
      <c r="G49" s="1">
        <f>IFERROR(__xludf.DUMMYFUNCTION("""COMPUTED_VALUE"""),10493.0)</f>
        <v>10493</v>
      </c>
    </row>
    <row r="50">
      <c r="A50" s="1" t="str">
        <f>IFERROR(__xludf.DUMMYFUNCTION("""COMPUTED_VALUE"""),"DuPage National Bank")</f>
        <v>DuPage National Bank</v>
      </c>
      <c r="B50" s="1" t="str">
        <f>IFERROR(__xludf.DUMMYFUNCTION("""COMPUTED_VALUE"""),"West Chicago")</f>
        <v>West Chicago</v>
      </c>
      <c r="C50" s="1" t="str">
        <f>IFERROR(__xludf.DUMMYFUNCTION("""COMPUTED_VALUE"""),"IL")</f>
        <v>IL</v>
      </c>
      <c r="D50" s="1">
        <f>IFERROR(__xludf.DUMMYFUNCTION("""COMPUTED_VALUE"""),5732.0)</f>
        <v>5732</v>
      </c>
      <c r="E50" s="1" t="str">
        <f>IFERROR(__xludf.DUMMYFUNCTION("""COMPUTED_VALUE"""),"Republic Bank of Chicago")</f>
        <v>Republic Bank of Chicago</v>
      </c>
      <c r="F50" s="2">
        <f>IFERROR(__xludf.DUMMYFUNCTION("""COMPUTED_VALUE"""),41656.0)</f>
        <v>41656</v>
      </c>
      <c r="G50" s="1">
        <f>IFERROR(__xludf.DUMMYFUNCTION("""COMPUTED_VALUE"""),10492.0)</f>
        <v>10492</v>
      </c>
    </row>
    <row r="51">
      <c r="A51" s="1" t="str">
        <f>IFERROR(__xludf.DUMMYFUNCTION("""COMPUTED_VALUE"""),"Texas Community Bank, National Association")</f>
        <v>Texas Community Bank, National Association</v>
      </c>
      <c r="B51" s="1" t="str">
        <f>IFERROR(__xludf.DUMMYFUNCTION("""COMPUTED_VALUE"""),"The Woodlands")</f>
        <v>The Woodlands</v>
      </c>
      <c r="C51" s="1" t="str">
        <f>IFERROR(__xludf.DUMMYFUNCTION("""COMPUTED_VALUE"""),"TX")</f>
        <v>TX</v>
      </c>
      <c r="D51" s="1">
        <f>IFERROR(__xludf.DUMMYFUNCTION("""COMPUTED_VALUE"""),57431.0)</f>
        <v>57431</v>
      </c>
      <c r="E51" s="1" t="str">
        <f>IFERROR(__xludf.DUMMYFUNCTION("""COMPUTED_VALUE"""),"Spirit of Texas Bank, SSB")</f>
        <v>Spirit of Texas Bank, SSB</v>
      </c>
      <c r="F51" s="2">
        <f>IFERROR(__xludf.DUMMYFUNCTION("""COMPUTED_VALUE"""),41621.0)</f>
        <v>41621</v>
      </c>
      <c r="G51" s="1">
        <f>IFERROR(__xludf.DUMMYFUNCTION("""COMPUTED_VALUE"""),10491.0)</f>
        <v>10491</v>
      </c>
    </row>
    <row r="52">
      <c r="A52" s="1" t="str">
        <f>IFERROR(__xludf.DUMMYFUNCTION("""COMPUTED_VALUE"""),"Bank of Jackson County")</f>
        <v>Bank of Jackson County</v>
      </c>
      <c r="B52" s="1" t="str">
        <f>IFERROR(__xludf.DUMMYFUNCTION("""COMPUTED_VALUE"""),"Graceville")</f>
        <v>Graceville</v>
      </c>
      <c r="C52" s="1" t="str">
        <f>IFERROR(__xludf.DUMMYFUNCTION("""COMPUTED_VALUE"""),"FL")</f>
        <v>FL</v>
      </c>
      <c r="D52" s="1">
        <f>IFERROR(__xludf.DUMMYFUNCTION("""COMPUTED_VALUE"""),14794.0)</f>
        <v>14794</v>
      </c>
      <c r="E52" s="1" t="str">
        <f>IFERROR(__xludf.DUMMYFUNCTION("""COMPUTED_VALUE"""),"First Federal Bank of Florida")</f>
        <v>First Federal Bank of Florida</v>
      </c>
      <c r="F52" s="2">
        <f>IFERROR(__xludf.DUMMYFUNCTION("""COMPUTED_VALUE"""),41577.0)</f>
        <v>41577</v>
      </c>
      <c r="G52" s="1">
        <f>IFERROR(__xludf.DUMMYFUNCTION("""COMPUTED_VALUE"""),10490.0)</f>
        <v>10490</v>
      </c>
    </row>
    <row r="53">
      <c r="A53" s="1" t="str">
        <f>IFERROR(__xludf.DUMMYFUNCTION("""COMPUTED_VALUE"""),"First National Bank also operating as The National Bank of El Paso
En Español")</f>
        <v>First National Bank also operating as The National Bank of El Paso
En Español</v>
      </c>
      <c r="B53" s="1" t="str">
        <f>IFERROR(__xludf.DUMMYFUNCTION("""COMPUTED_VALUE"""),"Edinburg")</f>
        <v>Edinburg</v>
      </c>
      <c r="C53" s="1" t="str">
        <f>IFERROR(__xludf.DUMMYFUNCTION("""COMPUTED_VALUE"""),"TX")</f>
        <v>TX</v>
      </c>
      <c r="D53" s="1">
        <f>IFERROR(__xludf.DUMMYFUNCTION("""COMPUTED_VALUE"""),14318.0)</f>
        <v>14318</v>
      </c>
      <c r="E53" s="1" t="str">
        <f>IFERROR(__xludf.DUMMYFUNCTION("""COMPUTED_VALUE"""),"PlainsCapital Bank")</f>
        <v>PlainsCapital Bank</v>
      </c>
      <c r="F53" s="2">
        <f>IFERROR(__xludf.DUMMYFUNCTION("""COMPUTED_VALUE"""),41530.0)</f>
        <v>41530</v>
      </c>
      <c r="G53" s="1">
        <f>IFERROR(__xludf.DUMMYFUNCTION("""COMPUTED_VALUE"""),10488.0)</f>
        <v>10488</v>
      </c>
    </row>
    <row r="54">
      <c r="A54" s="1" t="str">
        <f>IFERROR(__xludf.DUMMYFUNCTION("""COMPUTED_VALUE"""),"The Community's Bank")</f>
        <v>The Community's Bank</v>
      </c>
      <c r="B54" s="1" t="str">
        <f>IFERROR(__xludf.DUMMYFUNCTION("""COMPUTED_VALUE"""),"Bridgeport")</f>
        <v>Bridgeport</v>
      </c>
      <c r="C54" s="1" t="str">
        <f>IFERROR(__xludf.DUMMYFUNCTION("""COMPUTED_VALUE"""),"CT")</f>
        <v>CT</v>
      </c>
      <c r="D54" s="1">
        <f>IFERROR(__xludf.DUMMYFUNCTION("""COMPUTED_VALUE"""),57041.0)</f>
        <v>57041</v>
      </c>
      <c r="E54" s="1" t="str">
        <f>IFERROR(__xludf.DUMMYFUNCTION("""COMPUTED_VALUE"""),"No Acquirer")</f>
        <v>No Acquirer</v>
      </c>
      <c r="F54" s="2">
        <f>IFERROR(__xludf.DUMMYFUNCTION("""COMPUTED_VALUE"""),41530.0)</f>
        <v>41530</v>
      </c>
      <c r="G54" s="1">
        <f>IFERROR(__xludf.DUMMYFUNCTION("""COMPUTED_VALUE"""),10489.0)</f>
        <v>10489</v>
      </c>
    </row>
    <row r="55">
      <c r="A55" s="1" t="str">
        <f>IFERROR(__xludf.DUMMYFUNCTION("""COMPUTED_VALUE"""),"Sunrise Bank of Arizona")</f>
        <v>Sunrise Bank of Arizona</v>
      </c>
      <c r="B55" s="1" t="str">
        <f>IFERROR(__xludf.DUMMYFUNCTION("""COMPUTED_VALUE"""),"Phoenix")</f>
        <v>Phoenix</v>
      </c>
      <c r="C55" s="1" t="str">
        <f>IFERROR(__xludf.DUMMYFUNCTION("""COMPUTED_VALUE"""),"AZ")</f>
        <v>AZ</v>
      </c>
      <c r="D55" s="1">
        <f>IFERROR(__xludf.DUMMYFUNCTION("""COMPUTED_VALUE"""),34707.0)</f>
        <v>34707</v>
      </c>
      <c r="E55" s="1" t="str">
        <f>IFERROR(__xludf.DUMMYFUNCTION("""COMPUTED_VALUE"""),"First Fidelity Bank, National Association")</f>
        <v>First Fidelity Bank, National Association</v>
      </c>
      <c r="F55" s="2">
        <f>IFERROR(__xludf.DUMMYFUNCTION("""COMPUTED_VALUE"""),41509.0)</f>
        <v>41509</v>
      </c>
      <c r="G55" s="1">
        <f>IFERROR(__xludf.DUMMYFUNCTION("""COMPUTED_VALUE"""),10487.0)</f>
        <v>10487</v>
      </c>
    </row>
    <row r="56">
      <c r="A56" s="1" t="str">
        <f>IFERROR(__xludf.DUMMYFUNCTION("""COMPUTED_VALUE"""),"Community South Bank")</f>
        <v>Community South Bank</v>
      </c>
      <c r="B56" s="1" t="str">
        <f>IFERROR(__xludf.DUMMYFUNCTION("""COMPUTED_VALUE"""),"Parsons")</f>
        <v>Parsons</v>
      </c>
      <c r="C56" s="1" t="str">
        <f>IFERROR(__xludf.DUMMYFUNCTION("""COMPUTED_VALUE"""),"TN")</f>
        <v>TN</v>
      </c>
      <c r="D56" s="1">
        <f>IFERROR(__xludf.DUMMYFUNCTION("""COMPUTED_VALUE"""),19849.0)</f>
        <v>19849</v>
      </c>
      <c r="E56" s="1" t="str">
        <f>IFERROR(__xludf.DUMMYFUNCTION("""COMPUTED_VALUE"""),"CB&amp;S Bank, Inc.")</f>
        <v>CB&amp;S Bank, Inc.</v>
      </c>
      <c r="F56" s="2">
        <f>IFERROR(__xludf.DUMMYFUNCTION("""COMPUTED_VALUE"""),41509.0)</f>
        <v>41509</v>
      </c>
      <c r="G56" s="1">
        <f>IFERROR(__xludf.DUMMYFUNCTION("""COMPUTED_VALUE"""),10486.0)</f>
        <v>10486</v>
      </c>
    </row>
    <row r="57">
      <c r="A57" s="1" t="str">
        <f>IFERROR(__xludf.DUMMYFUNCTION("""COMPUTED_VALUE"""),"Bank of Wausau")</f>
        <v>Bank of Wausau</v>
      </c>
      <c r="B57" s="1" t="str">
        <f>IFERROR(__xludf.DUMMYFUNCTION("""COMPUTED_VALUE"""),"Wausau")</f>
        <v>Wausau</v>
      </c>
      <c r="C57" s="1" t="str">
        <f>IFERROR(__xludf.DUMMYFUNCTION("""COMPUTED_VALUE"""),"WI")</f>
        <v>WI</v>
      </c>
      <c r="D57" s="1">
        <f>IFERROR(__xludf.DUMMYFUNCTION("""COMPUTED_VALUE"""),35016.0)</f>
        <v>35016</v>
      </c>
      <c r="E57" s="1" t="str">
        <f>IFERROR(__xludf.DUMMYFUNCTION("""COMPUTED_VALUE"""),"Nicolet National Bank")</f>
        <v>Nicolet National Bank</v>
      </c>
      <c r="F57" s="2">
        <f>IFERROR(__xludf.DUMMYFUNCTION("""COMPUTED_VALUE"""),41495.0)</f>
        <v>41495</v>
      </c>
      <c r="G57" s="1">
        <f>IFERROR(__xludf.DUMMYFUNCTION("""COMPUTED_VALUE"""),10485.0)</f>
        <v>10485</v>
      </c>
    </row>
    <row r="58">
      <c r="A58" s="1" t="str">
        <f>IFERROR(__xludf.DUMMYFUNCTION("""COMPUTED_VALUE"""),"First Community Bank of Southwest Florida (also operating as Community Bank 
of Cape Coral)")</f>
        <v>First Community Bank of Southwest Florida (also operating as Community Bank 
of Cape Coral)</v>
      </c>
      <c r="B58" s="1" t="str">
        <f>IFERROR(__xludf.DUMMYFUNCTION("""COMPUTED_VALUE"""),"Fort Myers")</f>
        <v>Fort Myers</v>
      </c>
      <c r="C58" s="1" t="str">
        <f>IFERROR(__xludf.DUMMYFUNCTION("""COMPUTED_VALUE"""),"FL")</f>
        <v>FL</v>
      </c>
      <c r="D58" s="1">
        <f>IFERROR(__xludf.DUMMYFUNCTION("""COMPUTED_VALUE"""),34943.0)</f>
        <v>34943</v>
      </c>
      <c r="E58" s="1" t="str">
        <f>IFERROR(__xludf.DUMMYFUNCTION("""COMPUTED_VALUE"""),"C1 Bank")</f>
        <v>C1 Bank</v>
      </c>
      <c r="F58" s="2">
        <f>IFERROR(__xludf.DUMMYFUNCTION("""COMPUTED_VALUE"""),41488.0)</f>
        <v>41488</v>
      </c>
      <c r="G58" s="1">
        <f>IFERROR(__xludf.DUMMYFUNCTION("""COMPUTED_VALUE"""),10484.0)</f>
        <v>10484</v>
      </c>
    </row>
    <row r="59">
      <c r="A59" s="1" t="str">
        <f>IFERROR(__xludf.DUMMYFUNCTION("""COMPUTED_VALUE"""),"Mountain National Bank")</f>
        <v>Mountain National Bank</v>
      </c>
      <c r="B59" s="1" t="str">
        <f>IFERROR(__xludf.DUMMYFUNCTION("""COMPUTED_VALUE"""),"Sevierville")</f>
        <v>Sevierville</v>
      </c>
      <c r="C59" s="1" t="str">
        <f>IFERROR(__xludf.DUMMYFUNCTION("""COMPUTED_VALUE"""),"TN")</f>
        <v>TN</v>
      </c>
      <c r="D59" s="1">
        <f>IFERROR(__xludf.DUMMYFUNCTION("""COMPUTED_VALUE"""),34789.0)</f>
        <v>34789</v>
      </c>
      <c r="E59" s="1" t="str">
        <f>IFERROR(__xludf.DUMMYFUNCTION("""COMPUTED_VALUE"""),"First Tennessee Bank, National Association")</f>
        <v>First Tennessee Bank, National Association</v>
      </c>
      <c r="F59" s="2">
        <f>IFERROR(__xludf.DUMMYFUNCTION("""COMPUTED_VALUE"""),41432.0)</f>
        <v>41432</v>
      </c>
      <c r="G59" s="1">
        <f>IFERROR(__xludf.DUMMYFUNCTION("""COMPUTED_VALUE"""),10483.0)</f>
        <v>10483</v>
      </c>
    </row>
    <row r="60">
      <c r="A60" s="1" t="str">
        <f>IFERROR(__xludf.DUMMYFUNCTION("""COMPUTED_VALUE"""),"1st Commerce Bank")</f>
        <v>1st Commerce Bank</v>
      </c>
      <c r="B60" s="1" t="str">
        <f>IFERROR(__xludf.DUMMYFUNCTION("""COMPUTED_VALUE"""),"North Las Vegas")</f>
        <v>North Las Vegas</v>
      </c>
      <c r="C60" s="1" t="str">
        <f>IFERROR(__xludf.DUMMYFUNCTION("""COMPUTED_VALUE"""),"NV")</f>
        <v>NV</v>
      </c>
      <c r="D60" s="1">
        <f>IFERROR(__xludf.DUMMYFUNCTION("""COMPUTED_VALUE"""),58358.0)</f>
        <v>58358</v>
      </c>
      <c r="E60" s="1" t="str">
        <f>IFERROR(__xludf.DUMMYFUNCTION("""COMPUTED_VALUE"""),"Plaza Bank")</f>
        <v>Plaza Bank</v>
      </c>
      <c r="F60" s="2">
        <f>IFERROR(__xludf.DUMMYFUNCTION("""COMPUTED_VALUE"""),41431.0)</f>
        <v>41431</v>
      </c>
      <c r="G60" s="1">
        <f>IFERROR(__xludf.DUMMYFUNCTION("""COMPUTED_VALUE"""),10482.0)</f>
        <v>10482</v>
      </c>
    </row>
    <row r="61">
      <c r="A61" s="1" t="str">
        <f>IFERROR(__xludf.DUMMYFUNCTION("""COMPUTED_VALUE"""),"Banks of Wisconsin d/b/a Bank of Kenosha")</f>
        <v>Banks of Wisconsin d/b/a Bank of Kenosha</v>
      </c>
      <c r="B61" s="1" t="str">
        <f>IFERROR(__xludf.DUMMYFUNCTION("""COMPUTED_VALUE"""),"Kenosha")</f>
        <v>Kenosha</v>
      </c>
      <c r="C61" s="1" t="str">
        <f>IFERROR(__xludf.DUMMYFUNCTION("""COMPUTED_VALUE"""),"WI")</f>
        <v>WI</v>
      </c>
      <c r="D61" s="1">
        <f>IFERROR(__xludf.DUMMYFUNCTION("""COMPUTED_VALUE"""),35386.0)</f>
        <v>35386</v>
      </c>
      <c r="E61" s="1" t="str">
        <f>IFERROR(__xludf.DUMMYFUNCTION("""COMPUTED_VALUE"""),"North Shore Bank, FSB")</f>
        <v>North Shore Bank, FSB</v>
      </c>
      <c r="F61" s="2">
        <f>IFERROR(__xludf.DUMMYFUNCTION("""COMPUTED_VALUE"""),41425.0)</f>
        <v>41425</v>
      </c>
      <c r="G61" s="1">
        <f>IFERROR(__xludf.DUMMYFUNCTION("""COMPUTED_VALUE"""),10478.0)</f>
        <v>10478</v>
      </c>
    </row>
    <row r="62">
      <c r="A62" s="1" t="str">
        <f>IFERROR(__xludf.DUMMYFUNCTION("""COMPUTED_VALUE"""),"Central Arizona Bank")</f>
        <v>Central Arizona Bank</v>
      </c>
      <c r="B62" s="1" t="str">
        <f>IFERROR(__xludf.DUMMYFUNCTION("""COMPUTED_VALUE"""),"Scottsdale")</f>
        <v>Scottsdale</v>
      </c>
      <c r="C62" s="1" t="str">
        <f>IFERROR(__xludf.DUMMYFUNCTION("""COMPUTED_VALUE"""),"AZ")</f>
        <v>AZ</v>
      </c>
      <c r="D62" s="1">
        <f>IFERROR(__xludf.DUMMYFUNCTION("""COMPUTED_VALUE"""),34527.0)</f>
        <v>34527</v>
      </c>
      <c r="E62" s="1" t="str">
        <f>IFERROR(__xludf.DUMMYFUNCTION("""COMPUTED_VALUE"""),"Western State Bank")</f>
        <v>Western State Bank</v>
      </c>
      <c r="F62" s="2">
        <f>IFERROR(__xludf.DUMMYFUNCTION("""COMPUTED_VALUE"""),41408.0)</f>
        <v>41408</v>
      </c>
      <c r="G62" s="1">
        <f>IFERROR(__xludf.DUMMYFUNCTION("""COMPUTED_VALUE"""),10479.0)</f>
        <v>10479</v>
      </c>
    </row>
    <row r="63">
      <c r="A63" s="1" t="str">
        <f>IFERROR(__xludf.DUMMYFUNCTION("""COMPUTED_VALUE"""),"Sunrise Bank")</f>
        <v>Sunrise Bank</v>
      </c>
      <c r="B63" s="1" t="str">
        <f>IFERROR(__xludf.DUMMYFUNCTION("""COMPUTED_VALUE"""),"Valdosta")</f>
        <v>Valdosta</v>
      </c>
      <c r="C63" s="1" t="str">
        <f>IFERROR(__xludf.DUMMYFUNCTION("""COMPUTED_VALUE"""),"GA")</f>
        <v>GA</v>
      </c>
      <c r="D63" s="1">
        <f>IFERROR(__xludf.DUMMYFUNCTION("""COMPUTED_VALUE"""),58185.0)</f>
        <v>58185</v>
      </c>
      <c r="E63" s="1" t="str">
        <f>IFERROR(__xludf.DUMMYFUNCTION("""COMPUTED_VALUE"""),"Synovus Bank")</f>
        <v>Synovus Bank</v>
      </c>
      <c r="F63" s="2">
        <f>IFERROR(__xludf.DUMMYFUNCTION("""COMPUTED_VALUE"""),41404.0)</f>
        <v>41404</v>
      </c>
      <c r="G63" s="1">
        <f>IFERROR(__xludf.DUMMYFUNCTION("""COMPUTED_VALUE"""),10481.0)</f>
        <v>10481</v>
      </c>
    </row>
    <row r="64">
      <c r="A64" s="1" t="str">
        <f>IFERROR(__xludf.DUMMYFUNCTION("""COMPUTED_VALUE"""),"Pisgah Community Bank")</f>
        <v>Pisgah Community Bank</v>
      </c>
      <c r="B64" s="1" t="str">
        <f>IFERROR(__xludf.DUMMYFUNCTION("""COMPUTED_VALUE"""),"Asheville")</f>
        <v>Asheville</v>
      </c>
      <c r="C64" s="1" t="str">
        <f>IFERROR(__xludf.DUMMYFUNCTION("""COMPUTED_VALUE"""),"NC")</f>
        <v>NC</v>
      </c>
      <c r="D64" s="1">
        <f>IFERROR(__xludf.DUMMYFUNCTION("""COMPUTED_VALUE"""),58701.0)</f>
        <v>58701</v>
      </c>
      <c r="E64" s="1" t="str">
        <f>IFERROR(__xludf.DUMMYFUNCTION("""COMPUTED_VALUE"""),"Capital Bank, N.A.")</f>
        <v>Capital Bank, N.A.</v>
      </c>
      <c r="F64" s="2">
        <f>IFERROR(__xludf.DUMMYFUNCTION("""COMPUTED_VALUE"""),41404.0)</f>
        <v>41404</v>
      </c>
      <c r="G64" s="1">
        <f>IFERROR(__xludf.DUMMYFUNCTION("""COMPUTED_VALUE"""),10480.0)</f>
        <v>10480</v>
      </c>
    </row>
    <row r="65">
      <c r="A65" s="1" t="str">
        <f>IFERROR(__xludf.DUMMYFUNCTION("""COMPUTED_VALUE"""),"Douglas County Bank")</f>
        <v>Douglas County Bank</v>
      </c>
      <c r="B65" s="1" t="str">
        <f>IFERROR(__xludf.DUMMYFUNCTION("""COMPUTED_VALUE"""),"Douglasville")</f>
        <v>Douglasville</v>
      </c>
      <c r="C65" s="1" t="str">
        <f>IFERROR(__xludf.DUMMYFUNCTION("""COMPUTED_VALUE"""),"GA")</f>
        <v>GA</v>
      </c>
      <c r="D65" s="1">
        <f>IFERROR(__xludf.DUMMYFUNCTION("""COMPUTED_VALUE"""),21649.0)</f>
        <v>21649</v>
      </c>
      <c r="E65" s="1" t="str">
        <f>IFERROR(__xludf.DUMMYFUNCTION("""COMPUTED_VALUE"""),"Hamilton State Bank")</f>
        <v>Hamilton State Bank</v>
      </c>
      <c r="F65" s="2">
        <f>IFERROR(__xludf.DUMMYFUNCTION("""COMPUTED_VALUE"""),41390.0)</f>
        <v>41390</v>
      </c>
      <c r="G65" s="1">
        <f>IFERROR(__xludf.DUMMYFUNCTION("""COMPUTED_VALUE"""),10476.0)</f>
        <v>10476</v>
      </c>
    </row>
    <row r="66">
      <c r="A66" s="1" t="str">
        <f>IFERROR(__xludf.DUMMYFUNCTION("""COMPUTED_VALUE"""),"Parkway Bank")</f>
        <v>Parkway Bank</v>
      </c>
      <c r="B66" s="1" t="str">
        <f>IFERROR(__xludf.DUMMYFUNCTION("""COMPUTED_VALUE"""),"Lenoir")</f>
        <v>Lenoir</v>
      </c>
      <c r="C66" s="1" t="str">
        <f>IFERROR(__xludf.DUMMYFUNCTION("""COMPUTED_VALUE"""),"NC")</f>
        <v>NC</v>
      </c>
      <c r="D66" s="1">
        <f>IFERROR(__xludf.DUMMYFUNCTION("""COMPUTED_VALUE"""),57158.0)</f>
        <v>57158</v>
      </c>
      <c r="E66" s="1" t="str">
        <f>IFERROR(__xludf.DUMMYFUNCTION("""COMPUTED_VALUE"""),"CertusBank, National Association")</f>
        <v>CertusBank, National Association</v>
      </c>
      <c r="F66" s="2">
        <f>IFERROR(__xludf.DUMMYFUNCTION("""COMPUTED_VALUE"""),41390.0)</f>
        <v>41390</v>
      </c>
      <c r="G66" s="1">
        <f>IFERROR(__xludf.DUMMYFUNCTION("""COMPUTED_VALUE"""),10477.0)</f>
        <v>10477</v>
      </c>
    </row>
    <row r="67">
      <c r="A67" s="1" t="str">
        <f>IFERROR(__xludf.DUMMYFUNCTION("""COMPUTED_VALUE"""),"Chipola Community Bank")</f>
        <v>Chipola Community Bank</v>
      </c>
      <c r="B67" s="1" t="str">
        <f>IFERROR(__xludf.DUMMYFUNCTION("""COMPUTED_VALUE"""),"Marianna")</f>
        <v>Marianna</v>
      </c>
      <c r="C67" s="1" t="str">
        <f>IFERROR(__xludf.DUMMYFUNCTION("""COMPUTED_VALUE"""),"FL")</f>
        <v>FL</v>
      </c>
      <c r="D67" s="1">
        <f>IFERROR(__xludf.DUMMYFUNCTION("""COMPUTED_VALUE"""),58034.0)</f>
        <v>58034</v>
      </c>
      <c r="E67" s="1" t="str">
        <f>IFERROR(__xludf.DUMMYFUNCTION("""COMPUTED_VALUE"""),"First Federal Bank of Florida")</f>
        <v>First Federal Bank of Florida</v>
      </c>
      <c r="F67" s="2">
        <f>IFERROR(__xludf.DUMMYFUNCTION("""COMPUTED_VALUE"""),41383.0)</f>
        <v>41383</v>
      </c>
      <c r="G67" s="1">
        <f>IFERROR(__xludf.DUMMYFUNCTION("""COMPUTED_VALUE"""),10473.0)</f>
        <v>10473</v>
      </c>
    </row>
    <row r="68">
      <c r="A68" s="1" t="str">
        <f>IFERROR(__xludf.DUMMYFUNCTION("""COMPUTED_VALUE"""),"Heritage Bank of North Florida")</f>
        <v>Heritage Bank of North Florida</v>
      </c>
      <c r="B68" s="1" t="str">
        <f>IFERROR(__xludf.DUMMYFUNCTION("""COMPUTED_VALUE"""),"Orange Park")</f>
        <v>Orange Park</v>
      </c>
      <c r="C68" s="1" t="str">
        <f>IFERROR(__xludf.DUMMYFUNCTION("""COMPUTED_VALUE"""),"FL")</f>
        <v>FL</v>
      </c>
      <c r="D68" s="1">
        <f>IFERROR(__xludf.DUMMYFUNCTION("""COMPUTED_VALUE"""),26680.0)</f>
        <v>26680</v>
      </c>
      <c r="E68" s="1" t="str">
        <f>IFERROR(__xludf.DUMMYFUNCTION("""COMPUTED_VALUE"""),"FirstAtlantic Bank")</f>
        <v>FirstAtlantic Bank</v>
      </c>
      <c r="F68" s="2">
        <f>IFERROR(__xludf.DUMMYFUNCTION("""COMPUTED_VALUE"""),41383.0)</f>
        <v>41383</v>
      </c>
      <c r="G68" s="1">
        <f>IFERROR(__xludf.DUMMYFUNCTION("""COMPUTED_VALUE"""),10475.0)</f>
        <v>10475</v>
      </c>
    </row>
    <row r="69">
      <c r="A69" s="1" t="str">
        <f>IFERROR(__xludf.DUMMYFUNCTION("""COMPUTED_VALUE"""),"First Federal Bank")</f>
        <v>First Federal Bank</v>
      </c>
      <c r="B69" s="1" t="str">
        <f>IFERROR(__xludf.DUMMYFUNCTION("""COMPUTED_VALUE"""),"Lexington")</f>
        <v>Lexington</v>
      </c>
      <c r="C69" s="1" t="str">
        <f>IFERROR(__xludf.DUMMYFUNCTION("""COMPUTED_VALUE"""),"KY")</f>
        <v>KY</v>
      </c>
      <c r="D69" s="1">
        <f>IFERROR(__xludf.DUMMYFUNCTION("""COMPUTED_VALUE"""),29594.0)</f>
        <v>29594</v>
      </c>
      <c r="E69" s="1" t="str">
        <f>IFERROR(__xludf.DUMMYFUNCTION("""COMPUTED_VALUE"""),"Your Community Bank")</f>
        <v>Your Community Bank</v>
      </c>
      <c r="F69" s="2">
        <f>IFERROR(__xludf.DUMMYFUNCTION("""COMPUTED_VALUE"""),41383.0)</f>
        <v>41383</v>
      </c>
      <c r="G69" s="1">
        <f>IFERROR(__xludf.DUMMYFUNCTION("""COMPUTED_VALUE"""),10474.0)</f>
        <v>10474</v>
      </c>
    </row>
    <row r="70">
      <c r="A70" s="1" t="str">
        <f>IFERROR(__xludf.DUMMYFUNCTION("""COMPUTED_VALUE"""),"Gold Canyon Bank")</f>
        <v>Gold Canyon Bank</v>
      </c>
      <c r="B70" s="1" t="str">
        <f>IFERROR(__xludf.DUMMYFUNCTION("""COMPUTED_VALUE"""),"Gold Canyon")</f>
        <v>Gold Canyon</v>
      </c>
      <c r="C70" s="1" t="str">
        <f>IFERROR(__xludf.DUMMYFUNCTION("""COMPUTED_VALUE"""),"AZ")</f>
        <v>AZ</v>
      </c>
      <c r="D70" s="1">
        <f>IFERROR(__xludf.DUMMYFUNCTION("""COMPUTED_VALUE"""),58066.0)</f>
        <v>58066</v>
      </c>
      <c r="E70" s="1" t="str">
        <f>IFERROR(__xludf.DUMMYFUNCTION("""COMPUTED_VALUE"""),"First Scottsdale Bank, National Association")</f>
        <v>First Scottsdale Bank, National Association</v>
      </c>
      <c r="F70" s="2">
        <f>IFERROR(__xludf.DUMMYFUNCTION("""COMPUTED_VALUE"""),41369.0)</f>
        <v>41369</v>
      </c>
      <c r="G70" s="1">
        <f>IFERROR(__xludf.DUMMYFUNCTION("""COMPUTED_VALUE"""),10472.0)</f>
        <v>10472</v>
      </c>
    </row>
    <row r="71">
      <c r="A71" s="1" t="str">
        <f>IFERROR(__xludf.DUMMYFUNCTION("""COMPUTED_VALUE"""),"Frontier Bank")</f>
        <v>Frontier Bank</v>
      </c>
      <c r="B71" s="1" t="str">
        <f>IFERROR(__xludf.DUMMYFUNCTION("""COMPUTED_VALUE"""),"LaGrange")</f>
        <v>LaGrange</v>
      </c>
      <c r="C71" s="1" t="str">
        <f>IFERROR(__xludf.DUMMYFUNCTION("""COMPUTED_VALUE"""),"GA")</f>
        <v>GA</v>
      </c>
      <c r="D71" s="1">
        <f>IFERROR(__xludf.DUMMYFUNCTION("""COMPUTED_VALUE"""),16431.0)</f>
        <v>16431</v>
      </c>
      <c r="E71" s="1" t="str">
        <f>IFERROR(__xludf.DUMMYFUNCTION("""COMPUTED_VALUE"""),"HeritageBank of the South")</f>
        <v>HeritageBank of the South</v>
      </c>
      <c r="F71" s="2">
        <f>IFERROR(__xludf.DUMMYFUNCTION("""COMPUTED_VALUE"""),41341.0)</f>
        <v>41341</v>
      </c>
      <c r="G71" s="1">
        <f>IFERROR(__xludf.DUMMYFUNCTION("""COMPUTED_VALUE"""),10471.0)</f>
        <v>10471</v>
      </c>
    </row>
    <row r="72">
      <c r="A72" s="1" t="str">
        <f>IFERROR(__xludf.DUMMYFUNCTION("""COMPUTED_VALUE"""),"Covenant Bank")</f>
        <v>Covenant Bank</v>
      </c>
      <c r="B72" s="1" t="str">
        <f>IFERROR(__xludf.DUMMYFUNCTION("""COMPUTED_VALUE"""),"Chicago")</f>
        <v>Chicago</v>
      </c>
      <c r="C72" s="1" t="str">
        <f>IFERROR(__xludf.DUMMYFUNCTION("""COMPUTED_VALUE"""),"IL")</f>
        <v>IL</v>
      </c>
      <c r="D72" s="1">
        <f>IFERROR(__xludf.DUMMYFUNCTION("""COMPUTED_VALUE"""),22476.0)</f>
        <v>22476</v>
      </c>
      <c r="E72" s="1" t="str">
        <f>IFERROR(__xludf.DUMMYFUNCTION("""COMPUTED_VALUE"""),"Liberty Bank and Trust Company")</f>
        <v>Liberty Bank and Trust Company</v>
      </c>
      <c r="F72" s="2">
        <f>IFERROR(__xludf.DUMMYFUNCTION("""COMPUTED_VALUE"""),41320.0)</f>
        <v>41320</v>
      </c>
      <c r="G72" s="1">
        <f>IFERROR(__xludf.DUMMYFUNCTION("""COMPUTED_VALUE"""),10470.0)</f>
        <v>10470</v>
      </c>
    </row>
    <row r="73">
      <c r="A73" s="1" t="str">
        <f>IFERROR(__xludf.DUMMYFUNCTION("""COMPUTED_VALUE"""),"1st Regents Bank")</f>
        <v>1st Regents Bank</v>
      </c>
      <c r="B73" s="1" t="str">
        <f>IFERROR(__xludf.DUMMYFUNCTION("""COMPUTED_VALUE"""),"Andover")</f>
        <v>Andover</v>
      </c>
      <c r="C73" s="1" t="str">
        <f>IFERROR(__xludf.DUMMYFUNCTION("""COMPUTED_VALUE"""),"MN")</f>
        <v>MN</v>
      </c>
      <c r="D73" s="1">
        <f>IFERROR(__xludf.DUMMYFUNCTION("""COMPUTED_VALUE"""),57157.0)</f>
        <v>57157</v>
      </c>
      <c r="E73" s="1" t="str">
        <f>IFERROR(__xludf.DUMMYFUNCTION("""COMPUTED_VALUE"""),"First Minnesota Bank")</f>
        <v>First Minnesota Bank</v>
      </c>
      <c r="F73" s="2">
        <f>IFERROR(__xludf.DUMMYFUNCTION("""COMPUTED_VALUE"""),41292.0)</f>
        <v>41292</v>
      </c>
      <c r="G73" s="1">
        <f>IFERROR(__xludf.DUMMYFUNCTION("""COMPUTED_VALUE"""),10469.0)</f>
        <v>10469</v>
      </c>
    </row>
    <row r="74">
      <c r="A74" s="1" t="str">
        <f>IFERROR(__xludf.DUMMYFUNCTION("""COMPUTED_VALUE"""),"Westside Community Bank")</f>
        <v>Westside Community Bank</v>
      </c>
      <c r="B74" s="1" t="str">
        <f>IFERROR(__xludf.DUMMYFUNCTION("""COMPUTED_VALUE"""),"University Place")</f>
        <v>University Place</v>
      </c>
      <c r="C74" s="1" t="str">
        <f>IFERROR(__xludf.DUMMYFUNCTION("""COMPUTED_VALUE"""),"WA")</f>
        <v>WA</v>
      </c>
      <c r="D74" s="1">
        <f>IFERROR(__xludf.DUMMYFUNCTION("""COMPUTED_VALUE"""),33997.0)</f>
        <v>33997</v>
      </c>
      <c r="E74" s="1" t="str">
        <f>IFERROR(__xludf.DUMMYFUNCTION("""COMPUTED_VALUE"""),"Sunwest Bank")</f>
        <v>Sunwest Bank</v>
      </c>
      <c r="F74" s="2">
        <f>IFERROR(__xludf.DUMMYFUNCTION("""COMPUTED_VALUE"""),41285.0)</f>
        <v>41285</v>
      </c>
      <c r="G74" s="1">
        <f>IFERROR(__xludf.DUMMYFUNCTION("""COMPUTED_VALUE"""),10468.0)</f>
        <v>10468</v>
      </c>
    </row>
    <row r="75">
      <c r="A75" s="1" t="str">
        <f>IFERROR(__xludf.DUMMYFUNCTION("""COMPUTED_VALUE"""),"Community Bank of the Ozarks")</f>
        <v>Community Bank of the Ozarks</v>
      </c>
      <c r="B75" s="1" t="str">
        <f>IFERROR(__xludf.DUMMYFUNCTION("""COMPUTED_VALUE"""),"Sunrise Beach")</f>
        <v>Sunrise Beach</v>
      </c>
      <c r="C75" s="1" t="str">
        <f>IFERROR(__xludf.DUMMYFUNCTION("""COMPUTED_VALUE"""),"MO")</f>
        <v>MO</v>
      </c>
      <c r="D75" s="1">
        <f>IFERROR(__xludf.DUMMYFUNCTION("""COMPUTED_VALUE"""),27331.0)</f>
        <v>27331</v>
      </c>
      <c r="E75" s="1" t="str">
        <f>IFERROR(__xludf.DUMMYFUNCTION("""COMPUTED_VALUE"""),"Bank of Sullivan")</f>
        <v>Bank of Sullivan</v>
      </c>
      <c r="F75" s="2">
        <f>IFERROR(__xludf.DUMMYFUNCTION("""COMPUTED_VALUE"""),41257.0)</f>
        <v>41257</v>
      </c>
      <c r="G75" s="1">
        <f>IFERROR(__xludf.DUMMYFUNCTION("""COMPUTED_VALUE"""),10467.0)</f>
        <v>10467</v>
      </c>
    </row>
    <row r="76">
      <c r="A76" s="1" t="str">
        <f>IFERROR(__xludf.DUMMYFUNCTION("""COMPUTED_VALUE"""),"Hometown Community Bank")</f>
        <v>Hometown Community Bank</v>
      </c>
      <c r="B76" s="1" t="str">
        <f>IFERROR(__xludf.DUMMYFUNCTION("""COMPUTED_VALUE"""),"Braselton")</f>
        <v>Braselton</v>
      </c>
      <c r="C76" s="1" t="str">
        <f>IFERROR(__xludf.DUMMYFUNCTION("""COMPUTED_VALUE"""),"GA")</f>
        <v>GA</v>
      </c>
      <c r="D76" s="1">
        <f>IFERROR(__xludf.DUMMYFUNCTION("""COMPUTED_VALUE"""),57928.0)</f>
        <v>57928</v>
      </c>
      <c r="E76" s="1" t="str">
        <f>IFERROR(__xludf.DUMMYFUNCTION("""COMPUTED_VALUE"""),"CertusBank, National Association")</f>
        <v>CertusBank, National Association</v>
      </c>
      <c r="F76" s="2">
        <f>IFERROR(__xludf.DUMMYFUNCTION("""COMPUTED_VALUE"""),41229.0)</f>
        <v>41229</v>
      </c>
      <c r="G76" s="1">
        <f>IFERROR(__xludf.DUMMYFUNCTION("""COMPUTED_VALUE"""),10466.0)</f>
        <v>10466</v>
      </c>
    </row>
    <row r="77">
      <c r="A77" s="1" t="str">
        <f>IFERROR(__xludf.DUMMYFUNCTION("""COMPUTED_VALUE"""),"Citizens First National Bank")</f>
        <v>Citizens First National Bank</v>
      </c>
      <c r="B77" s="1" t="str">
        <f>IFERROR(__xludf.DUMMYFUNCTION("""COMPUTED_VALUE"""),"Princeton")</f>
        <v>Princeton</v>
      </c>
      <c r="C77" s="1" t="str">
        <f>IFERROR(__xludf.DUMMYFUNCTION("""COMPUTED_VALUE"""),"IL")</f>
        <v>IL</v>
      </c>
      <c r="D77" s="1">
        <f>IFERROR(__xludf.DUMMYFUNCTION("""COMPUTED_VALUE"""),3731.0)</f>
        <v>3731</v>
      </c>
      <c r="E77" s="1" t="str">
        <f>IFERROR(__xludf.DUMMYFUNCTION("""COMPUTED_VALUE"""),"Heartland Bank and Trust Company")</f>
        <v>Heartland Bank and Trust Company</v>
      </c>
      <c r="F77" s="2">
        <f>IFERROR(__xludf.DUMMYFUNCTION("""COMPUTED_VALUE"""),41215.0)</f>
        <v>41215</v>
      </c>
      <c r="G77" s="1">
        <f>IFERROR(__xludf.DUMMYFUNCTION("""COMPUTED_VALUE"""),10464.0)</f>
        <v>10464</v>
      </c>
    </row>
    <row r="78">
      <c r="A78" s="1" t="str">
        <f>IFERROR(__xludf.DUMMYFUNCTION("""COMPUTED_VALUE"""),"Heritage Bank of Florida")</f>
        <v>Heritage Bank of Florida</v>
      </c>
      <c r="B78" s="1" t="str">
        <f>IFERROR(__xludf.DUMMYFUNCTION("""COMPUTED_VALUE"""),"Lutz")</f>
        <v>Lutz</v>
      </c>
      <c r="C78" s="1" t="str">
        <f>IFERROR(__xludf.DUMMYFUNCTION("""COMPUTED_VALUE"""),"FL")</f>
        <v>FL</v>
      </c>
      <c r="D78" s="1">
        <f>IFERROR(__xludf.DUMMYFUNCTION("""COMPUTED_VALUE"""),35009.0)</f>
        <v>35009</v>
      </c>
      <c r="E78" s="1" t="str">
        <f>IFERROR(__xludf.DUMMYFUNCTION("""COMPUTED_VALUE"""),"Centennial Bank")</f>
        <v>Centennial Bank</v>
      </c>
      <c r="F78" s="2">
        <f>IFERROR(__xludf.DUMMYFUNCTION("""COMPUTED_VALUE"""),41215.0)</f>
        <v>41215</v>
      </c>
      <c r="G78" s="1">
        <f>IFERROR(__xludf.DUMMYFUNCTION("""COMPUTED_VALUE"""),10465.0)</f>
        <v>10465</v>
      </c>
    </row>
    <row r="79">
      <c r="A79" s="1" t="str">
        <f>IFERROR(__xludf.DUMMYFUNCTION("""COMPUTED_VALUE"""),"NOVA Bank")</f>
        <v>NOVA Bank</v>
      </c>
      <c r="B79" s="1" t="str">
        <f>IFERROR(__xludf.DUMMYFUNCTION("""COMPUTED_VALUE"""),"Berwyn")</f>
        <v>Berwyn</v>
      </c>
      <c r="C79" s="1" t="str">
        <f>IFERROR(__xludf.DUMMYFUNCTION("""COMPUTED_VALUE"""),"PA")</f>
        <v>PA</v>
      </c>
      <c r="D79" s="1">
        <f>IFERROR(__xludf.DUMMYFUNCTION("""COMPUTED_VALUE"""),27148.0)</f>
        <v>27148</v>
      </c>
      <c r="E79" s="1" t="str">
        <f>IFERROR(__xludf.DUMMYFUNCTION("""COMPUTED_VALUE"""),"No Acquirer")</f>
        <v>No Acquirer</v>
      </c>
      <c r="F79" s="2">
        <f>IFERROR(__xludf.DUMMYFUNCTION("""COMPUTED_VALUE"""),41208.0)</f>
        <v>41208</v>
      </c>
      <c r="G79" s="1">
        <f>IFERROR(__xludf.DUMMYFUNCTION("""COMPUTED_VALUE"""),10463.0)</f>
        <v>10463</v>
      </c>
    </row>
    <row r="80">
      <c r="A80" s="1" t="str">
        <f>IFERROR(__xludf.DUMMYFUNCTION("""COMPUTED_VALUE"""),"Excel Bank")</f>
        <v>Excel Bank</v>
      </c>
      <c r="B80" s="1" t="str">
        <f>IFERROR(__xludf.DUMMYFUNCTION("""COMPUTED_VALUE"""),"Sedalia")</f>
        <v>Sedalia</v>
      </c>
      <c r="C80" s="1" t="str">
        <f>IFERROR(__xludf.DUMMYFUNCTION("""COMPUTED_VALUE"""),"MO")</f>
        <v>MO</v>
      </c>
      <c r="D80" s="1">
        <f>IFERROR(__xludf.DUMMYFUNCTION("""COMPUTED_VALUE"""),19189.0)</f>
        <v>19189</v>
      </c>
      <c r="E80" s="1" t="str">
        <f>IFERROR(__xludf.DUMMYFUNCTION("""COMPUTED_VALUE"""),"Simmons First National Bank")</f>
        <v>Simmons First National Bank</v>
      </c>
      <c r="F80" s="2">
        <f>IFERROR(__xludf.DUMMYFUNCTION("""COMPUTED_VALUE"""),41201.0)</f>
        <v>41201</v>
      </c>
      <c r="G80" s="1">
        <f>IFERROR(__xludf.DUMMYFUNCTION("""COMPUTED_VALUE"""),10460.0)</f>
        <v>10460</v>
      </c>
    </row>
    <row r="81">
      <c r="A81" s="1" t="str">
        <f>IFERROR(__xludf.DUMMYFUNCTION("""COMPUTED_VALUE"""),"First East Side Savings Bank")</f>
        <v>First East Side Savings Bank</v>
      </c>
      <c r="B81" s="1" t="str">
        <f>IFERROR(__xludf.DUMMYFUNCTION("""COMPUTED_VALUE"""),"Tamarac")</f>
        <v>Tamarac</v>
      </c>
      <c r="C81" s="1" t="str">
        <f>IFERROR(__xludf.DUMMYFUNCTION("""COMPUTED_VALUE"""),"FL")</f>
        <v>FL</v>
      </c>
      <c r="D81" s="1">
        <f>IFERROR(__xludf.DUMMYFUNCTION("""COMPUTED_VALUE"""),28144.0)</f>
        <v>28144</v>
      </c>
      <c r="E81" s="1" t="str">
        <f>IFERROR(__xludf.DUMMYFUNCTION("""COMPUTED_VALUE"""),"Stearns Bank N.A.")</f>
        <v>Stearns Bank N.A.</v>
      </c>
      <c r="F81" s="2">
        <f>IFERROR(__xludf.DUMMYFUNCTION("""COMPUTED_VALUE"""),41201.0)</f>
        <v>41201</v>
      </c>
      <c r="G81" s="1">
        <f>IFERROR(__xludf.DUMMYFUNCTION("""COMPUTED_VALUE"""),10461.0)</f>
        <v>10461</v>
      </c>
    </row>
    <row r="82">
      <c r="A82" s="1" t="str">
        <f>IFERROR(__xludf.DUMMYFUNCTION("""COMPUTED_VALUE"""),"GulfSouth Private Bank")</f>
        <v>GulfSouth Private Bank</v>
      </c>
      <c r="B82" s="1" t="str">
        <f>IFERROR(__xludf.DUMMYFUNCTION("""COMPUTED_VALUE"""),"Destin")</f>
        <v>Destin</v>
      </c>
      <c r="C82" s="1" t="str">
        <f>IFERROR(__xludf.DUMMYFUNCTION("""COMPUTED_VALUE"""),"FL")</f>
        <v>FL</v>
      </c>
      <c r="D82" s="1">
        <f>IFERROR(__xludf.DUMMYFUNCTION("""COMPUTED_VALUE"""),58073.0)</f>
        <v>58073</v>
      </c>
      <c r="E82" s="1" t="str">
        <f>IFERROR(__xludf.DUMMYFUNCTION("""COMPUTED_VALUE"""),"SmartBank")</f>
        <v>SmartBank</v>
      </c>
      <c r="F82" s="2">
        <f>IFERROR(__xludf.DUMMYFUNCTION("""COMPUTED_VALUE"""),41201.0)</f>
        <v>41201</v>
      </c>
      <c r="G82" s="1">
        <f>IFERROR(__xludf.DUMMYFUNCTION("""COMPUTED_VALUE"""),10462.0)</f>
        <v>10462</v>
      </c>
    </row>
    <row r="83">
      <c r="A83" s="1" t="str">
        <f>IFERROR(__xludf.DUMMYFUNCTION("""COMPUTED_VALUE"""),"First United Bank")</f>
        <v>First United Bank</v>
      </c>
      <c r="B83" s="1" t="str">
        <f>IFERROR(__xludf.DUMMYFUNCTION("""COMPUTED_VALUE"""),"Crete")</f>
        <v>Crete</v>
      </c>
      <c r="C83" s="1" t="str">
        <f>IFERROR(__xludf.DUMMYFUNCTION("""COMPUTED_VALUE"""),"IL")</f>
        <v>IL</v>
      </c>
      <c r="D83" s="1">
        <f>IFERROR(__xludf.DUMMYFUNCTION("""COMPUTED_VALUE"""),20685.0)</f>
        <v>20685</v>
      </c>
      <c r="E83" s="1" t="str">
        <f>IFERROR(__xludf.DUMMYFUNCTION("""COMPUTED_VALUE"""),"Old Plank Trail Community Bank, National Association")</f>
        <v>Old Plank Trail Community Bank, National Association</v>
      </c>
      <c r="F83" s="2">
        <f>IFERROR(__xludf.DUMMYFUNCTION("""COMPUTED_VALUE"""),41180.0)</f>
        <v>41180</v>
      </c>
      <c r="G83" s="1">
        <f>IFERROR(__xludf.DUMMYFUNCTION("""COMPUTED_VALUE"""),10459.0)</f>
        <v>10459</v>
      </c>
    </row>
    <row r="84">
      <c r="A84" s="1" t="str">
        <f>IFERROR(__xludf.DUMMYFUNCTION("""COMPUTED_VALUE"""),"Truman Bank")</f>
        <v>Truman Bank</v>
      </c>
      <c r="B84" s="1" t="str">
        <f>IFERROR(__xludf.DUMMYFUNCTION("""COMPUTED_VALUE"""),"St. Louis")</f>
        <v>St. Louis</v>
      </c>
      <c r="C84" s="1" t="str">
        <f>IFERROR(__xludf.DUMMYFUNCTION("""COMPUTED_VALUE"""),"MO")</f>
        <v>MO</v>
      </c>
      <c r="D84" s="1">
        <f>IFERROR(__xludf.DUMMYFUNCTION("""COMPUTED_VALUE"""),27316.0)</f>
        <v>27316</v>
      </c>
      <c r="E84" s="1" t="str">
        <f>IFERROR(__xludf.DUMMYFUNCTION("""COMPUTED_VALUE"""),"Simmons First National Bank")</f>
        <v>Simmons First National Bank</v>
      </c>
      <c r="F84" s="2">
        <f>IFERROR(__xludf.DUMMYFUNCTION("""COMPUTED_VALUE"""),41166.0)</f>
        <v>41166</v>
      </c>
      <c r="G84" s="1">
        <f>IFERROR(__xludf.DUMMYFUNCTION("""COMPUTED_VALUE"""),10458.0)</f>
        <v>10458</v>
      </c>
    </row>
    <row r="85">
      <c r="A85" s="1" t="str">
        <f>IFERROR(__xludf.DUMMYFUNCTION("""COMPUTED_VALUE"""),"First Commercial Bank")</f>
        <v>First Commercial Bank</v>
      </c>
      <c r="B85" s="1" t="str">
        <f>IFERROR(__xludf.DUMMYFUNCTION("""COMPUTED_VALUE"""),"Bloomington")</f>
        <v>Bloomington</v>
      </c>
      <c r="C85" s="1" t="str">
        <f>IFERROR(__xludf.DUMMYFUNCTION("""COMPUTED_VALUE"""),"MN")</f>
        <v>MN</v>
      </c>
      <c r="D85" s="1">
        <f>IFERROR(__xludf.DUMMYFUNCTION("""COMPUTED_VALUE"""),35246.0)</f>
        <v>35246</v>
      </c>
      <c r="E85" s="1" t="str">
        <f>IFERROR(__xludf.DUMMYFUNCTION("""COMPUTED_VALUE"""),"Republic Bank &amp; Trust Company")</f>
        <v>Republic Bank &amp; Trust Company</v>
      </c>
      <c r="F85" s="2">
        <f>IFERROR(__xludf.DUMMYFUNCTION("""COMPUTED_VALUE"""),41159.0)</f>
        <v>41159</v>
      </c>
      <c r="G85" s="1">
        <f>IFERROR(__xludf.DUMMYFUNCTION("""COMPUTED_VALUE"""),10457.0)</f>
        <v>10457</v>
      </c>
    </row>
    <row r="86">
      <c r="A86" s="1" t="str">
        <f>IFERROR(__xludf.DUMMYFUNCTION("""COMPUTED_VALUE"""),"Waukegan Savings Bank")</f>
        <v>Waukegan Savings Bank</v>
      </c>
      <c r="B86" s="1" t="str">
        <f>IFERROR(__xludf.DUMMYFUNCTION("""COMPUTED_VALUE"""),"Waukegan")</f>
        <v>Waukegan</v>
      </c>
      <c r="C86" s="1" t="str">
        <f>IFERROR(__xludf.DUMMYFUNCTION("""COMPUTED_VALUE"""),"IL")</f>
        <v>IL</v>
      </c>
      <c r="D86" s="1">
        <f>IFERROR(__xludf.DUMMYFUNCTION("""COMPUTED_VALUE"""),28243.0)</f>
        <v>28243</v>
      </c>
      <c r="E86" s="1" t="str">
        <f>IFERROR(__xludf.DUMMYFUNCTION("""COMPUTED_VALUE"""),"First Midwest Bank")</f>
        <v>First Midwest Bank</v>
      </c>
      <c r="F86" s="2">
        <f>IFERROR(__xludf.DUMMYFUNCTION("""COMPUTED_VALUE"""),41124.0)</f>
        <v>41124</v>
      </c>
      <c r="G86" s="1">
        <f>IFERROR(__xludf.DUMMYFUNCTION("""COMPUTED_VALUE"""),10456.0)</f>
        <v>10456</v>
      </c>
    </row>
    <row r="87">
      <c r="A87" s="1" t="str">
        <f>IFERROR(__xludf.DUMMYFUNCTION("""COMPUTED_VALUE"""),"Jasper Banking Company")</f>
        <v>Jasper Banking Company</v>
      </c>
      <c r="B87" s="1" t="str">
        <f>IFERROR(__xludf.DUMMYFUNCTION("""COMPUTED_VALUE"""),"Jasper")</f>
        <v>Jasper</v>
      </c>
      <c r="C87" s="1" t="str">
        <f>IFERROR(__xludf.DUMMYFUNCTION("""COMPUTED_VALUE"""),"GA")</f>
        <v>GA</v>
      </c>
      <c r="D87" s="1">
        <f>IFERROR(__xludf.DUMMYFUNCTION("""COMPUTED_VALUE"""),16240.0)</f>
        <v>16240</v>
      </c>
      <c r="E87" s="1" t="str">
        <f>IFERROR(__xludf.DUMMYFUNCTION("""COMPUTED_VALUE"""),"Stearns Bank N.A.")</f>
        <v>Stearns Bank N.A.</v>
      </c>
      <c r="F87" s="2">
        <f>IFERROR(__xludf.DUMMYFUNCTION("""COMPUTED_VALUE"""),41117.0)</f>
        <v>41117</v>
      </c>
      <c r="G87" s="1">
        <f>IFERROR(__xludf.DUMMYFUNCTION("""COMPUTED_VALUE"""),10455.0)</f>
        <v>10455</v>
      </c>
    </row>
    <row r="88">
      <c r="A88" s="1" t="str">
        <f>IFERROR(__xludf.DUMMYFUNCTION("""COMPUTED_VALUE"""),"Second Federal Savings and Loan Association of Chicago")</f>
        <v>Second Federal Savings and Loan Association of Chicago</v>
      </c>
      <c r="B88" s="1" t="str">
        <f>IFERROR(__xludf.DUMMYFUNCTION("""COMPUTED_VALUE"""),"Chicago")</f>
        <v>Chicago</v>
      </c>
      <c r="C88" s="1" t="str">
        <f>IFERROR(__xludf.DUMMYFUNCTION("""COMPUTED_VALUE"""),"IL")</f>
        <v>IL</v>
      </c>
      <c r="D88" s="1">
        <f>IFERROR(__xludf.DUMMYFUNCTION("""COMPUTED_VALUE"""),27986.0)</f>
        <v>27986</v>
      </c>
      <c r="E88" s="1" t="str">
        <f>IFERROR(__xludf.DUMMYFUNCTION("""COMPUTED_VALUE"""),"Hinsdale Bank &amp; Trust Company")</f>
        <v>Hinsdale Bank &amp; Trust Company</v>
      </c>
      <c r="F88" s="2">
        <f>IFERROR(__xludf.DUMMYFUNCTION("""COMPUTED_VALUE"""),41110.0)</f>
        <v>41110</v>
      </c>
      <c r="G88" s="1">
        <f>IFERROR(__xludf.DUMMYFUNCTION("""COMPUTED_VALUE"""),10453.0)</f>
        <v>10453</v>
      </c>
    </row>
    <row r="89">
      <c r="A89" s="1" t="str">
        <f>IFERROR(__xludf.DUMMYFUNCTION("""COMPUTED_VALUE"""),"Heartland Bank")</f>
        <v>Heartland Bank</v>
      </c>
      <c r="B89" s="1" t="str">
        <f>IFERROR(__xludf.DUMMYFUNCTION("""COMPUTED_VALUE"""),"Leawood")</f>
        <v>Leawood</v>
      </c>
      <c r="C89" s="1" t="str">
        <f>IFERROR(__xludf.DUMMYFUNCTION("""COMPUTED_VALUE"""),"KS")</f>
        <v>KS</v>
      </c>
      <c r="D89" s="1">
        <f>IFERROR(__xludf.DUMMYFUNCTION("""COMPUTED_VALUE"""),1361.0)</f>
        <v>1361</v>
      </c>
      <c r="E89" s="1" t="str">
        <f>IFERROR(__xludf.DUMMYFUNCTION("""COMPUTED_VALUE"""),"Metcalf Bank")</f>
        <v>Metcalf Bank</v>
      </c>
      <c r="F89" s="2">
        <f>IFERROR(__xludf.DUMMYFUNCTION("""COMPUTED_VALUE"""),41110.0)</f>
        <v>41110</v>
      </c>
      <c r="G89" s="1">
        <f>IFERROR(__xludf.DUMMYFUNCTION("""COMPUTED_VALUE"""),10452.0)</f>
        <v>10452</v>
      </c>
    </row>
    <row r="90">
      <c r="A90" s="1" t="str">
        <f>IFERROR(__xludf.DUMMYFUNCTION("""COMPUTED_VALUE"""),"First Cherokee State Bank")</f>
        <v>First Cherokee State Bank</v>
      </c>
      <c r="B90" s="1" t="str">
        <f>IFERROR(__xludf.DUMMYFUNCTION("""COMPUTED_VALUE"""),"Woodstock")</f>
        <v>Woodstock</v>
      </c>
      <c r="C90" s="1" t="str">
        <f>IFERROR(__xludf.DUMMYFUNCTION("""COMPUTED_VALUE"""),"GA")</f>
        <v>GA</v>
      </c>
      <c r="D90" s="1">
        <f>IFERROR(__xludf.DUMMYFUNCTION("""COMPUTED_VALUE"""),32711.0)</f>
        <v>32711</v>
      </c>
      <c r="E90" s="1" t="str">
        <f>IFERROR(__xludf.DUMMYFUNCTION("""COMPUTED_VALUE"""),"Community &amp; Southern Bank")</f>
        <v>Community &amp; Southern Bank</v>
      </c>
      <c r="F90" s="2">
        <f>IFERROR(__xludf.DUMMYFUNCTION("""COMPUTED_VALUE"""),41110.0)</f>
        <v>41110</v>
      </c>
      <c r="G90" s="1">
        <f>IFERROR(__xludf.DUMMYFUNCTION("""COMPUTED_VALUE"""),10450.0)</f>
        <v>10450</v>
      </c>
    </row>
    <row r="91">
      <c r="A91" s="1" t="str">
        <f>IFERROR(__xludf.DUMMYFUNCTION("""COMPUTED_VALUE"""),"Georgia Trust Bank")</f>
        <v>Georgia Trust Bank</v>
      </c>
      <c r="B91" s="1" t="str">
        <f>IFERROR(__xludf.DUMMYFUNCTION("""COMPUTED_VALUE"""),"Buford")</f>
        <v>Buford</v>
      </c>
      <c r="C91" s="1" t="str">
        <f>IFERROR(__xludf.DUMMYFUNCTION("""COMPUTED_VALUE"""),"GA")</f>
        <v>GA</v>
      </c>
      <c r="D91" s="1">
        <f>IFERROR(__xludf.DUMMYFUNCTION("""COMPUTED_VALUE"""),57847.0)</f>
        <v>57847</v>
      </c>
      <c r="E91" s="1" t="str">
        <f>IFERROR(__xludf.DUMMYFUNCTION("""COMPUTED_VALUE"""),"Community &amp; Southern Bank")</f>
        <v>Community &amp; Southern Bank</v>
      </c>
      <c r="F91" s="2">
        <f>IFERROR(__xludf.DUMMYFUNCTION("""COMPUTED_VALUE"""),41110.0)</f>
        <v>41110</v>
      </c>
      <c r="G91" s="1">
        <f>IFERROR(__xludf.DUMMYFUNCTION("""COMPUTED_VALUE"""),10451.0)</f>
        <v>10451</v>
      </c>
    </row>
    <row r="92">
      <c r="A92" s="1" t="str">
        <f>IFERROR(__xludf.DUMMYFUNCTION("""COMPUTED_VALUE"""),"The Royal Palm Bank of Florida")</f>
        <v>The Royal Palm Bank of Florida</v>
      </c>
      <c r="B92" s="1" t="str">
        <f>IFERROR(__xludf.DUMMYFUNCTION("""COMPUTED_VALUE"""),"Naples")</f>
        <v>Naples</v>
      </c>
      <c r="C92" s="1" t="str">
        <f>IFERROR(__xludf.DUMMYFUNCTION("""COMPUTED_VALUE"""),"FL")</f>
        <v>FL</v>
      </c>
      <c r="D92" s="1">
        <f>IFERROR(__xludf.DUMMYFUNCTION("""COMPUTED_VALUE"""),57096.0)</f>
        <v>57096</v>
      </c>
      <c r="E92" s="1" t="str">
        <f>IFERROR(__xludf.DUMMYFUNCTION("""COMPUTED_VALUE"""),"First National Bank of the Gulf Coast")</f>
        <v>First National Bank of the Gulf Coast</v>
      </c>
      <c r="F92" s="2">
        <f>IFERROR(__xludf.DUMMYFUNCTION("""COMPUTED_VALUE"""),41110.0)</f>
        <v>41110</v>
      </c>
      <c r="G92" s="1">
        <f>IFERROR(__xludf.DUMMYFUNCTION("""COMPUTED_VALUE"""),10454.0)</f>
        <v>10454</v>
      </c>
    </row>
    <row r="93">
      <c r="A93" s="1" t="str">
        <f>IFERROR(__xludf.DUMMYFUNCTION("""COMPUTED_VALUE"""),"Glasgow Savings Bank")</f>
        <v>Glasgow Savings Bank</v>
      </c>
      <c r="B93" s="1" t="str">
        <f>IFERROR(__xludf.DUMMYFUNCTION("""COMPUTED_VALUE"""),"Glasgow")</f>
        <v>Glasgow</v>
      </c>
      <c r="C93" s="1" t="str">
        <f>IFERROR(__xludf.DUMMYFUNCTION("""COMPUTED_VALUE"""),"MO")</f>
        <v>MO</v>
      </c>
      <c r="D93" s="1">
        <f>IFERROR(__xludf.DUMMYFUNCTION("""COMPUTED_VALUE"""),1056.0)</f>
        <v>1056</v>
      </c>
      <c r="E93" s="1" t="str">
        <f>IFERROR(__xludf.DUMMYFUNCTION("""COMPUTED_VALUE"""),"Regional Missouri Bank")</f>
        <v>Regional Missouri Bank</v>
      </c>
      <c r="F93" s="2">
        <f>IFERROR(__xludf.DUMMYFUNCTION("""COMPUTED_VALUE"""),41103.0)</f>
        <v>41103</v>
      </c>
      <c r="G93" s="1">
        <f>IFERROR(__xludf.DUMMYFUNCTION("""COMPUTED_VALUE"""),10449.0)</f>
        <v>10449</v>
      </c>
    </row>
    <row r="94">
      <c r="A94" s="1" t="str">
        <f>IFERROR(__xludf.DUMMYFUNCTION("""COMPUTED_VALUE"""),"Montgomery Bank &amp; Trust")</f>
        <v>Montgomery Bank &amp; Trust</v>
      </c>
      <c r="B94" s="1" t="str">
        <f>IFERROR(__xludf.DUMMYFUNCTION("""COMPUTED_VALUE"""),"Ailey")</f>
        <v>Ailey</v>
      </c>
      <c r="C94" s="1" t="str">
        <f>IFERROR(__xludf.DUMMYFUNCTION("""COMPUTED_VALUE"""),"GA")</f>
        <v>GA</v>
      </c>
      <c r="D94" s="1">
        <f>IFERROR(__xludf.DUMMYFUNCTION("""COMPUTED_VALUE"""),19498.0)</f>
        <v>19498</v>
      </c>
      <c r="E94" s="1" t="str">
        <f>IFERROR(__xludf.DUMMYFUNCTION("""COMPUTED_VALUE"""),"Ameris Bank")</f>
        <v>Ameris Bank</v>
      </c>
      <c r="F94" s="2">
        <f>IFERROR(__xludf.DUMMYFUNCTION("""COMPUTED_VALUE"""),41096.0)</f>
        <v>41096</v>
      </c>
      <c r="G94" s="1">
        <f>IFERROR(__xludf.DUMMYFUNCTION("""COMPUTED_VALUE"""),10448.0)</f>
        <v>10448</v>
      </c>
    </row>
    <row r="95">
      <c r="A95" s="1" t="str">
        <f>IFERROR(__xludf.DUMMYFUNCTION("""COMPUTED_VALUE"""),"The Farmers Bank of Lynchburg")</f>
        <v>The Farmers Bank of Lynchburg</v>
      </c>
      <c r="B95" s="1" t="str">
        <f>IFERROR(__xludf.DUMMYFUNCTION("""COMPUTED_VALUE"""),"Lynchburg")</f>
        <v>Lynchburg</v>
      </c>
      <c r="C95" s="1" t="str">
        <f>IFERROR(__xludf.DUMMYFUNCTION("""COMPUTED_VALUE"""),"TN")</f>
        <v>TN</v>
      </c>
      <c r="D95" s="1">
        <f>IFERROR(__xludf.DUMMYFUNCTION("""COMPUTED_VALUE"""),1690.0)</f>
        <v>1690</v>
      </c>
      <c r="E95" s="1" t="str">
        <f>IFERROR(__xludf.DUMMYFUNCTION("""COMPUTED_VALUE"""),"Clayton Bank and Trust")</f>
        <v>Clayton Bank and Trust</v>
      </c>
      <c r="F95" s="2">
        <f>IFERROR(__xludf.DUMMYFUNCTION("""COMPUTED_VALUE"""),41075.0)</f>
        <v>41075</v>
      </c>
      <c r="G95" s="1">
        <f>IFERROR(__xludf.DUMMYFUNCTION("""COMPUTED_VALUE"""),10447.0)</f>
        <v>10447</v>
      </c>
    </row>
    <row r="96">
      <c r="A96" s="1" t="str">
        <f>IFERROR(__xludf.DUMMYFUNCTION("""COMPUTED_VALUE"""),"Security Exchange Bank")</f>
        <v>Security Exchange Bank</v>
      </c>
      <c r="B96" s="1" t="str">
        <f>IFERROR(__xludf.DUMMYFUNCTION("""COMPUTED_VALUE"""),"Marietta")</f>
        <v>Marietta</v>
      </c>
      <c r="C96" s="1" t="str">
        <f>IFERROR(__xludf.DUMMYFUNCTION("""COMPUTED_VALUE"""),"GA")</f>
        <v>GA</v>
      </c>
      <c r="D96" s="1">
        <f>IFERROR(__xludf.DUMMYFUNCTION("""COMPUTED_VALUE"""),35299.0)</f>
        <v>35299</v>
      </c>
      <c r="E96" s="1" t="str">
        <f>IFERROR(__xludf.DUMMYFUNCTION("""COMPUTED_VALUE"""),"Fidelity Bank")</f>
        <v>Fidelity Bank</v>
      </c>
      <c r="F96" s="2">
        <f>IFERROR(__xludf.DUMMYFUNCTION("""COMPUTED_VALUE"""),41075.0)</f>
        <v>41075</v>
      </c>
      <c r="G96" s="1">
        <f>IFERROR(__xludf.DUMMYFUNCTION("""COMPUTED_VALUE"""),10446.0)</f>
        <v>10446</v>
      </c>
    </row>
    <row r="97">
      <c r="A97" s="1" t="str">
        <f>IFERROR(__xludf.DUMMYFUNCTION("""COMPUTED_VALUE"""),"Putnam State Bank")</f>
        <v>Putnam State Bank</v>
      </c>
      <c r="B97" s="1" t="str">
        <f>IFERROR(__xludf.DUMMYFUNCTION("""COMPUTED_VALUE"""),"Palatka")</f>
        <v>Palatka</v>
      </c>
      <c r="C97" s="1" t="str">
        <f>IFERROR(__xludf.DUMMYFUNCTION("""COMPUTED_VALUE"""),"FL")</f>
        <v>FL</v>
      </c>
      <c r="D97" s="1">
        <f>IFERROR(__xludf.DUMMYFUNCTION("""COMPUTED_VALUE"""),27405.0)</f>
        <v>27405</v>
      </c>
      <c r="E97" s="1" t="str">
        <f>IFERROR(__xludf.DUMMYFUNCTION("""COMPUTED_VALUE"""),"Harbor Community Bank")</f>
        <v>Harbor Community Bank</v>
      </c>
      <c r="F97" s="2">
        <f>IFERROR(__xludf.DUMMYFUNCTION("""COMPUTED_VALUE"""),41075.0)</f>
        <v>41075</v>
      </c>
      <c r="G97" s="1">
        <f>IFERROR(__xludf.DUMMYFUNCTION("""COMPUTED_VALUE"""),10445.0)</f>
        <v>10445</v>
      </c>
    </row>
    <row r="98">
      <c r="A98" s="1" t="str">
        <f>IFERROR(__xludf.DUMMYFUNCTION("""COMPUTED_VALUE"""),"Waccamaw Bank")</f>
        <v>Waccamaw Bank</v>
      </c>
      <c r="B98" s="1" t="str">
        <f>IFERROR(__xludf.DUMMYFUNCTION("""COMPUTED_VALUE"""),"Whiteville")</f>
        <v>Whiteville</v>
      </c>
      <c r="C98" s="1" t="str">
        <f>IFERROR(__xludf.DUMMYFUNCTION("""COMPUTED_VALUE"""),"NC")</f>
        <v>NC</v>
      </c>
      <c r="D98" s="1">
        <f>IFERROR(__xludf.DUMMYFUNCTION("""COMPUTED_VALUE"""),34515.0)</f>
        <v>34515</v>
      </c>
      <c r="E98" s="1" t="str">
        <f>IFERROR(__xludf.DUMMYFUNCTION("""COMPUTED_VALUE"""),"First Community Bank")</f>
        <v>First Community Bank</v>
      </c>
      <c r="F98" s="2">
        <f>IFERROR(__xludf.DUMMYFUNCTION("""COMPUTED_VALUE"""),41068.0)</f>
        <v>41068</v>
      </c>
      <c r="G98" s="1">
        <f>IFERROR(__xludf.DUMMYFUNCTION("""COMPUTED_VALUE"""),10444.0)</f>
        <v>10444</v>
      </c>
    </row>
    <row r="99">
      <c r="A99" s="1" t="str">
        <f>IFERROR(__xludf.DUMMYFUNCTION("""COMPUTED_VALUE"""),"Farmers' and Traders' State Bank")</f>
        <v>Farmers' and Traders' State Bank</v>
      </c>
      <c r="B99" s="1" t="str">
        <f>IFERROR(__xludf.DUMMYFUNCTION("""COMPUTED_VALUE"""),"Shabbona")</f>
        <v>Shabbona</v>
      </c>
      <c r="C99" s="1" t="str">
        <f>IFERROR(__xludf.DUMMYFUNCTION("""COMPUTED_VALUE"""),"IL")</f>
        <v>IL</v>
      </c>
      <c r="D99" s="1">
        <f>IFERROR(__xludf.DUMMYFUNCTION("""COMPUTED_VALUE"""),9257.0)</f>
        <v>9257</v>
      </c>
      <c r="E99" s="1" t="str">
        <f>IFERROR(__xludf.DUMMYFUNCTION("""COMPUTED_VALUE"""),"First State Bank")</f>
        <v>First State Bank</v>
      </c>
      <c r="F99" s="2">
        <f>IFERROR(__xludf.DUMMYFUNCTION("""COMPUTED_VALUE"""),41068.0)</f>
        <v>41068</v>
      </c>
      <c r="G99" s="1">
        <f>IFERROR(__xludf.DUMMYFUNCTION("""COMPUTED_VALUE"""),10442.0)</f>
        <v>10442</v>
      </c>
    </row>
    <row r="100">
      <c r="A100" s="1" t="str">
        <f>IFERROR(__xludf.DUMMYFUNCTION("""COMPUTED_VALUE"""),"Carolina Federal Savings Bank")</f>
        <v>Carolina Federal Savings Bank</v>
      </c>
      <c r="B100" s="1" t="str">
        <f>IFERROR(__xludf.DUMMYFUNCTION("""COMPUTED_VALUE"""),"Charleston")</f>
        <v>Charleston</v>
      </c>
      <c r="C100" s="1" t="str">
        <f>IFERROR(__xludf.DUMMYFUNCTION("""COMPUTED_VALUE"""),"SC")</f>
        <v>SC</v>
      </c>
      <c r="D100" s="1">
        <f>IFERROR(__xludf.DUMMYFUNCTION("""COMPUTED_VALUE"""),35372.0)</f>
        <v>35372</v>
      </c>
      <c r="E100" s="1" t="str">
        <f>IFERROR(__xludf.DUMMYFUNCTION("""COMPUTED_VALUE"""),"Bank of North Carolina")</f>
        <v>Bank of North Carolina</v>
      </c>
      <c r="F100" s="2">
        <f>IFERROR(__xludf.DUMMYFUNCTION("""COMPUTED_VALUE"""),41068.0)</f>
        <v>41068</v>
      </c>
      <c r="G100" s="1">
        <f>IFERROR(__xludf.DUMMYFUNCTION("""COMPUTED_VALUE"""),10441.0)</f>
        <v>10441</v>
      </c>
    </row>
    <row r="101">
      <c r="A101" s="1" t="str">
        <f>IFERROR(__xludf.DUMMYFUNCTION("""COMPUTED_VALUE"""),"First Capital Bank")</f>
        <v>First Capital Bank</v>
      </c>
      <c r="B101" s="1" t="str">
        <f>IFERROR(__xludf.DUMMYFUNCTION("""COMPUTED_VALUE"""),"Kingfisher")</f>
        <v>Kingfisher</v>
      </c>
      <c r="C101" s="1" t="str">
        <f>IFERROR(__xludf.DUMMYFUNCTION("""COMPUTED_VALUE"""),"OK")</f>
        <v>OK</v>
      </c>
      <c r="D101" s="1">
        <f>IFERROR(__xludf.DUMMYFUNCTION("""COMPUTED_VALUE"""),416.0)</f>
        <v>416</v>
      </c>
      <c r="E101" s="1" t="str">
        <f>IFERROR(__xludf.DUMMYFUNCTION("""COMPUTED_VALUE"""),"F &amp; M Bank")</f>
        <v>F &amp; M Bank</v>
      </c>
      <c r="F101" s="2">
        <f>IFERROR(__xludf.DUMMYFUNCTION("""COMPUTED_VALUE"""),41068.0)</f>
        <v>41068</v>
      </c>
      <c r="G101" s="1">
        <f>IFERROR(__xludf.DUMMYFUNCTION("""COMPUTED_VALUE"""),10443.0)</f>
        <v>10443</v>
      </c>
    </row>
    <row r="102">
      <c r="A102" s="1" t="str">
        <f>IFERROR(__xludf.DUMMYFUNCTION("""COMPUTED_VALUE"""),"Alabama Trust Bank, National Association")</f>
        <v>Alabama Trust Bank, National Association</v>
      </c>
      <c r="B102" s="1" t="str">
        <f>IFERROR(__xludf.DUMMYFUNCTION("""COMPUTED_VALUE"""),"Sylacauga")</f>
        <v>Sylacauga</v>
      </c>
      <c r="C102" s="1" t="str">
        <f>IFERROR(__xludf.DUMMYFUNCTION("""COMPUTED_VALUE"""),"AL")</f>
        <v>AL</v>
      </c>
      <c r="D102" s="1">
        <f>IFERROR(__xludf.DUMMYFUNCTION("""COMPUTED_VALUE"""),35224.0)</f>
        <v>35224</v>
      </c>
      <c r="E102" s="1" t="str">
        <f>IFERROR(__xludf.DUMMYFUNCTION("""COMPUTED_VALUE"""),"Southern States Bank")</f>
        <v>Southern States Bank</v>
      </c>
      <c r="F102" s="2">
        <f>IFERROR(__xludf.DUMMYFUNCTION("""COMPUTED_VALUE"""),41047.0)</f>
        <v>41047</v>
      </c>
      <c r="G102" s="1">
        <f>IFERROR(__xludf.DUMMYFUNCTION("""COMPUTED_VALUE"""),10440.0)</f>
        <v>10440</v>
      </c>
    </row>
    <row r="103">
      <c r="A103" s="1" t="str">
        <f>IFERROR(__xludf.DUMMYFUNCTION("""COMPUTED_VALUE"""),"Security Bank, National Association")</f>
        <v>Security Bank, National Association</v>
      </c>
      <c r="B103" s="1" t="str">
        <f>IFERROR(__xludf.DUMMYFUNCTION("""COMPUTED_VALUE"""),"North Lauderdale")</f>
        <v>North Lauderdale</v>
      </c>
      <c r="C103" s="1" t="str">
        <f>IFERROR(__xludf.DUMMYFUNCTION("""COMPUTED_VALUE"""),"FL")</f>
        <v>FL</v>
      </c>
      <c r="D103" s="1">
        <f>IFERROR(__xludf.DUMMYFUNCTION("""COMPUTED_VALUE"""),23156.0)</f>
        <v>23156</v>
      </c>
      <c r="E103" s="1" t="str">
        <f>IFERROR(__xludf.DUMMYFUNCTION("""COMPUTED_VALUE"""),"Banesco USA")</f>
        <v>Banesco USA</v>
      </c>
      <c r="F103" s="2">
        <f>IFERROR(__xludf.DUMMYFUNCTION("""COMPUTED_VALUE"""),41033.0)</f>
        <v>41033</v>
      </c>
      <c r="G103" s="1">
        <f>IFERROR(__xludf.DUMMYFUNCTION("""COMPUTED_VALUE"""),10439.0)</f>
        <v>10439</v>
      </c>
    </row>
    <row r="104">
      <c r="A104" s="1" t="str">
        <f>IFERROR(__xludf.DUMMYFUNCTION("""COMPUTED_VALUE"""),"Palm Desert National Bank")</f>
        <v>Palm Desert National Bank</v>
      </c>
      <c r="B104" s="1" t="str">
        <f>IFERROR(__xludf.DUMMYFUNCTION("""COMPUTED_VALUE"""),"Palm Desert")</f>
        <v>Palm Desert</v>
      </c>
      <c r="C104" s="1" t="str">
        <f>IFERROR(__xludf.DUMMYFUNCTION("""COMPUTED_VALUE"""),"CA")</f>
        <v>CA</v>
      </c>
      <c r="D104" s="1">
        <f>IFERROR(__xludf.DUMMYFUNCTION("""COMPUTED_VALUE"""),23632.0)</f>
        <v>23632</v>
      </c>
      <c r="E104" s="1" t="str">
        <f>IFERROR(__xludf.DUMMYFUNCTION("""COMPUTED_VALUE"""),"Pacific Premier Bank")</f>
        <v>Pacific Premier Bank</v>
      </c>
      <c r="F104" s="2">
        <f>IFERROR(__xludf.DUMMYFUNCTION("""COMPUTED_VALUE"""),41026.0)</f>
        <v>41026</v>
      </c>
      <c r="G104" s="1">
        <f>IFERROR(__xludf.DUMMYFUNCTION("""COMPUTED_VALUE"""),10437.0)</f>
        <v>10437</v>
      </c>
    </row>
    <row r="105">
      <c r="A105" s="1" t="str">
        <f>IFERROR(__xludf.DUMMYFUNCTION("""COMPUTED_VALUE"""),"Plantation Federal Bank")</f>
        <v>Plantation Federal Bank</v>
      </c>
      <c r="B105" s="1" t="str">
        <f>IFERROR(__xludf.DUMMYFUNCTION("""COMPUTED_VALUE"""),"Pawleys Island")</f>
        <v>Pawleys Island</v>
      </c>
      <c r="C105" s="1" t="str">
        <f>IFERROR(__xludf.DUMMYFUNCTION("""COMPUTED_VALUE"""),"SC")</f>
        <v>SC</v>
      </c>
      <c r="D105" s="1">
        <f>IFERROR(__xludf.DUMMYFUNCTION("""COMPUTED_VALUE"""),32503.0)</f>
        <v>32503</v>
      </c>
      <c r="E105" s="1" t="str">
        <f>IFERROR(__xludf.DUMMYFUNCTION("""COMPUTED_VALUE"""),"First Federal Bank")</f>
        <v>First Federal Bank</v>
      </c>
      <c r="F105" s="2">
        <f>IFERROR(__xludf.DUMMYFUNCTION("""COMPUTED_VALUE"""),41026.0)</f>
        <v>41026</v>
      </c>
      <c r="G105" s="1">
        <f>IFERROR(__xludf.DUMMYFUNCTION("""COMPUTED_VALUE"""),10438.0)</f>
        <v>10438</v>
      </c>
    </row>
    <row r="106">
      <c r="A106" s="1" t="str">
        <f>IFERROR(__xludf.DUMMYFUNCTION("""COMPUTED_VALUE"""),"Inter Savings Bank, fsb D/B/A InterBank, fsb")</f>
        <v>Inter Savings Bank, fsb D/B/A InterBank, fsb</v>
      </c>
      <c r="B106" s="1" t="str">
        <f>IFERROR(__xludf.DUMMYFUNCTION("""COMPUTED_VALUE"""),"Maple Grove")</f>
        <v>Maple Grove</v>
      </c>
      <c r="C106" s="1" t="str">
        <f>IFERROR(__xludf.DUMMYFUNCTION("""COMPUTED_VALUE"""),"MN")</f>
        <v>MN</v>
      </c>
      <c r="D106" s="1">
        <f>IFERROR(__xludf.DUMMYFUNCTION("""COMPUTED_VALUE"""),31495.0)</f>
        <v>31495</v>
      </c>
      <c r="E106" s="1" t="str">
        <f>IFERROR(__xludf.DUMMYFUNCTION("""COMPUTED_VALUE"""),"Great Southern Bank")</f>
        <v>Great Southern Bank</v>
      </c>
      <c r="F106" s="2">
        <f>IFERROR(__xludf.DUMMYFUNCTION("""COMPUTED_VALUE"""),41026.0)</f>
        <v>41026</v>
      </c>
      <c r="G106" s="1">
        <f>IFERROR(__xludf.DUMMYFUNCTION("""COMPUTED_VALUE"""),10436.0)</f>
        <v>10436</v>
      </c>
    </row>
    <row r="107">
      <c r="A107" s="1" t="str">
        <f>IFERROR(__xludf.DUMMYFUNCTION("""COMPUTED_VALUE"""),"HarVest Bank of Maryland")</f>
        <v>HarVest Bank of Maryland</v>
      </c>
      <c r="B107" s="1" t="str">
        <f>IFERROR(__xludf.DUMMYFUNCTION("""COMPUTED_VALUE"""),"Gaithersburg")</f>
        <v>Gaithersburg</v>
      </c>
      <c r="C107" s="1" t="str">
        <f>IFERROR(__xludf.DUMMYFUNCTION("""COMPUTED_VALUE"""),"MD")</f>
        <v>MD</v>
      </c>
      <c r="D107" s="1">
        <f>IFERROR(__xludf.DUMMYFUNCTION("""COMPUTED_VALUE"""),57766.0)</f>
        <v>57766</v>
      </c>
      <c r="E107" s="1" t="str">
        <f>IFERROR(__xludf.DUMMYFUNCTION("""COMPUTED_VALUE"""),"Sonabank")</f>
        <v>Sonabank</v>
      </c>
      <c r="F107" s="2">
        <f>IFERROR(__xludf.DUMMYFUNCTION("""COMPUTED_VALUE"""),41026.0)</f>
        <v>41026</v>
      </c>
      <c r="G107" s="1">
        <f>IFERROR(__xludf.DUMMYFUNCTION("""COMPUTED_VALUE"""),10435.0)</f>
        <v>10435</v>
      </c>
    </row>
    <row r="108">
      <c r="A108" s="1" t="str">
        <f>IFERROR(__xludf.DUMMYFUNCTION("""COMPUTED_VALUE"""),"Bank of the Eastern Shore")</f>
        <v>Bank of the Eastern Shore</v>
      </c>
      <c r="B108" s="1" t="str">
        <f>IFERROR(__xludf.DUMMYFUNCTION("""COMPUTED_VALUE"""),"Cambridge")</f>
        <v>Cambridge</v>
      </c>
      <c r="C108" s="1" t="str">
        <f>IFERROR(__xludf.DUMMYFUNCTION("""COMPUTED_VALUE"""),"MD")</f>
        <v>MD</v>
      </c>
      <c r="D108" s="1">
        <f>IFERROR(__xludf.DUMMYFUNCTION("""COMPUTED_VALUE"""),26759.0)</f>
        <v>26759</v>
      </c>
      <c r="E108" s="1" t="str">
        <f>IFERROR(__xludf.DUMMYFUNCTION("""COMPUTED_VALUE"""),"No Acquirer")</f>
        <v>No Acquirer</v>
      </c>
      <c r="F108" s="2">
        <f>IFERROR(__xludf.DUMMYFUNCTION("""COMPUTED_VALUE"""),41026.0)</f>
        <v>41026</v>
      </c>
      <c r="G108" s="1">
        <f>IFERROR(__xludf.DUMMYFUNCTION("""COMPUTED_VALUE"""),10434.0)</f>
        <v>10434</v>
      </c>
    </row>
    <row r="109">
      <c r="A109" s="1" t="str">
        <f>IFERROR(__xludf.DUMMYFUNCTION("""COMPUTED_VALUE"""),"Fort Lee Federal Savings Bank, FSB")</f>
        <v>Fort Lee Federal Savings Bank, FSB</v>
      </c>
      <c r="B109" s="1" t="str">
        <f>IFERROR(__xludf.DUMMYFUNCTION("""COMPUTED_VALUE"""),"Fort Lee")</f>
        <v>Fort Lee</v>
      </c>
      <c r="C109" s="1" t="str">
        <f>IFERROR(__xludf.DUMMYFUNCTION("""COMPUTED_VALUE"""),"NJ")</f>
        <v>NJ</v>
      </c>
      <c r="D109" s="1">
        <f>IFERROR(__xludf.DUMMYFUNCTION("""COMPUTED_VALUE"""),35527.0)</f>
        <v>35527</v>
      </c>
      <c r="E109" s="1" t="str">
        <f>IFERROR(__xludf.DUMMYFUNCTION("""COMPUTED_VALUE"""),"Alma Bank")</f>
        <v>Alma Bank</v>
      </c>
      <c r="F109" s="2">
        <f>IFERROR(__xludf.DUMMYFUNCTION("""COMPUTED_VALUE"""),41019.0)</f>
        <v>41019</v>
      </c>
      <c r="G109" s="1">
        <f>IFERROR(__xludf.DUMMYFUNCTION("""COMPUTED_VALUE"""),10433.0)</f>
        <v>10433</v>
      </c>
    </row>
    <row r="110">
      <c r="A110" s="1" t="str">
        <f>IFERROR(__xludf.DUMMYFUNCTION("""COMPUTED_VALUE"""),"Fidelity Bank")</f>
        <v>Fidelity Bank</v>
      </c>
      <c r="B110" s="1" t="str">
        <f>IFERROR(__xludf.DUMMYFUNCTION("""COMPUTED_VALUE"""),"Dearborn")</f>
        <v>Dearborn</v>
      </c>
      <c r="C110" s="1" t="str">
        <f>IFERROR(__xludf.DUMMYFUNCTION("""COMPUTED_VALUE"""),"MI")</f>
        <v>MI</v>
      </c>
      <c r="D110" s="1">
        <f>IFERROR(__xludf.DUMMYFUNCTION("""COMPUTED_VALUE"""),33883.0)</f>
        <v>33883</v>
      </c>
      <c r="E110" s="1" t="str">
        <f>IFERROR(__xludf.DUMMYFUNCTION("""COMPUTED_VALUE"""),"The Huntington National Bank")</f>
        <v>The Huntington National Bank</v>
      </c>
      <c r="F110" s="2">
        <f>IFERROR(__xludf.DUMMYFUNCTION("""COMPUTED_VALUE"""),40998.0)</f>
        <v>40998</v>
      </c>
      <c r="G110" s="1">
        <f>IFERROR(__xludf.DUMMYFUNCTION("""COMPUTED_VALUE"""),10432.0)</f>
        <v>10432</v>
      </c>
    </row>
    <row r="111">
      <c r="A111" s="1" t="str">
        <f>IFERROR(__xludf.DUMMYFUNCTION("""COMPUTED_VALUE"""),"Premier Bank")</f>
        <v>Premier Bank</v>
      </c>
      <c r="B111" s="1" t="str">
        <f>IFERROR(__xludf.DUMMYFUNCTION("""COMPUTED_VALUE"""),"Wilmette")</f>
        <v>Wilmette</v>
      </c>
      <c r="C111" s="1" t="str">
        <f>IFERROR(__xludf.DUMMYFUNCTION("""COMPUTED_VALUE"""),"IL")</f>
        <v>IL</v>
      </c>
      <c r="D111" s="1">
        <f>IFERROR(__xludf.DUMMYFUNCTION("""COMPUTED_VALUE"""),35419.0)</f>
        <v>35419</v>
      </c>
      <c r="E111" s="1" t="str">
        <f>IFERROR(__xludf.DUMMYFUNCTION("""COMPUTED_VALUE"""),"International Bank of Chicago")</f>
        <v>International Bank of Chicago</v>
      </c>
      <c r="F111" s="2">
        <f>IFERROR(__xludf.DUMMYFUNCTION("""COMPUTED_VALUE"""),40991.0)</f>
        <v>40991</v>
      </c>
      <c r="G111" s="1">
        <f>IFERROR(__xludf.DUMMYFUNCTION("""COMPUTED_VALUE"""),10431.0)</f>
        <v>10431</v>
      </c>
    </row>
    <row r="112">
      <c r="A112" s="1" t="str">
        <f>IFERROR(__xludf.DUMMYFUNCTION("""COMPUTED_VALUE"""),"Covenant Bank &amp; Trust")</f>
        <v>Covenant Bank &amp; Trust</v>
      </c>
      <c r="B112" s="1" t="str">
        <f>IFERROR(__xludf.DUMMYFUNCTION("""COMPUTED_VALUE"""),"Rock Spring")</f>
        <v>Rock Spring</v>
      </c>
      <c r="C112" s="1" t="str">
        <f>IFERROR(__xludf.DUMMYFUNCTION("""COMPUTED_VALUE"""),"GA")</f>
        <v>GA</v>
      </c>
      <c r="D112" s="1">
        <f>IFERROR(__xludf.DUMMYFUNCTION("""COMPUTED_VALUE"""),58068.0)</f>
        <v>58068</v>
      </c>
      <c r="E112" s="1" t="str">
        <f>IFERROR(__xludf.DUMMYFUNCTION("""COMPUTED_VALUE"""),"Stearns Bank, N.A.")</f>
        <v>Stearns Bank, N.A.</v>
      </c>
      <c r="F112" s="2">
        <f>IFERROR(__xludf.DUMMYFUNCTION("""COMPUTED_VALUE"""),40991.0)</f>
        <v>40991</v>
      </c>
      <c r="G112" s="1">
        <f>IFERROR(__xludf.DUMMYFUNCTION("""COMPUTED_VALUE"""),10430.0)</f>
        <v>10430</v>
      </c>
    </row>
    <row r="113">
      <c r="A113" s="1" t="str">
        <f>IFERROR(__xludf.DUMMYFUNCTION("""COMPUTED_VALUE"""),"New City Bank")</f>
        <v>New City Bank</v>
      </c>
      <c r="B113" s="1" t="str">
        <f>IFERROR(__xludf.DUMMYFUNCTION("""COMPUTED_VALUE"""),"Chicago")</f>
        <v>Chicago</v>
      </c>
      <c r="C113" s="1" t="str">
        <f>IFERROR(__xludf.DUMMYFUNCTION("""COMPUTED_VALUE"""),"IL")</f>
        <v>IL</v>
      </c>
      <c r="D113" s="1">
        <f>IFERROR(__xludf.DUMMYFUNCTION("""COMPUTED_VALUE"""),57597.0)</f>
        <v>57597</v>
      </c>
      <c r="E113" s="1" t="str">
        <f>IFERROR(__xludf.DUMMYFUNCTION("""COMPUTED_VALUE"""),"No Acquirer")</f>
        <v>No Acquirer</v>
      </c>
      <c r="F113" s="2">
        <f>IFERROR(__xludf.DUMMYFUNCTION("""COMPUTED_VALUE"""),40977.0)</f>
        <v>40977</v>
      </c>
      <c r="G113" s="1">
        <f>IFERROR(__xludf.DUMMYFUNCTION("""COMPUTED_VALUE"""),10429.0)</f>
        <v>10429</v>
      </c>
    </row>
    <row r="114">
      <c r="A114" s="1" t="str">
        <f>IFERROR(__xludf.DUMMYFUNCTION("""COMPUTED_VALUE"""),"Global Commerce Bank")</f>
        <v>Global Commerce Bank</v>
      </c>
      <c r="B114" s="1" t="str">
        <f>IFERROR(__xludf.DUMMYFUNCTION("""COMPUTED_VALUE"""),"Doraville")</f>
        <v>Doraville</v>
      </c>
      <c r="C114" s="1" t="str">
        <f>IFERROR(__xludf.DUMMYFUNCTION("""COMPUTED_VALUE"""),"GA")</f>
        <v>GA</v>
      </c>
      <c r="D114" s="1">
        <f>IFERROR(__xludf.DUMMYFUNCTION("""COMPUTED_VALUE"""),34046.0)</f>
        <v>34046</v>
      </c>
      <c r="E114" s="1" t="str">
        <f>IFERROR(__xludf.DUMMYFUNCTION("""COMPUTED_VALUE"""),"Metro City Bank")</f>
        <v>Metro City Bank</v>
      </c>
      <c r="F114" s="2">
        <f>IFERROR(__xludf.DUMMYFUNCTION("""COMPUTED_VALUE"""),40970.0)</f>
        <v>40970</v>
      </c>
      <c r="G114" s="1">
        <f>IFERROR(__xludf.DUMMYFUNCTION("""COMPUTED_VALUE"""),10428.0)</f>
        <v>10428</v>
      </c>
    </row>
    <row r="115">
      <c r="A115" s="1" t="str">
        <f>IFERROR(__xludf.DUMMYFUNCTION("""COMPUTED_VALUE"""),"Home Savings of America")</f>
        <v>Home Savings of America</v>
      </c>
      <c r="B115" s="1" t="str">
        <f>IFERROR(__xludf.DUMMYFUNCTION("""COMPUTED_VALUE"""),"Little Falls")</f>
        <v>Little Falls</v>
      </c>
      <c r="C115" s="1" t="str">
        <f>IFERROR(__xludf.DUMMYFUNCTION("""COMPUTED_VALUE"""),"MN")</f>
        <v>MN</v>
      </c>
      <c r="D115" s="1">
        <f>IFERROR(__xludf.DUMMYFUNCTION("""COMPUTED_VALUE"""),29178.0)</f>
        <v>29178</v>
      </c>
      <c r="E115" s="1" t="str">
        <f>IFERROR(__xludf.DUMMYFUNCTION("""COMPUTED_VALUE"""),"No Acquirer")</f>
        <v>No Acquirer</v>
      </c>
      <c r="F115" s="2">
        <f>IFERROR(__xludf.DUMMYFUNCTION("""COMPUTED_VALUE"""),40963.0)</f>
        <v>40963</v>
      </c>
      <c r="G115" s="1">
        <f>IFERROR(__xludf.DUMMYFUNCTION("""COMPUTED_VALUE"""),10427.0)</f>
        <v>10427</v>
      </c>
    </row>
    <row r="116">
      <c r="A116" s="1" t="str">
        <f>IFERROR(__xludf.DUMMYFUNCTION("""COMPUTED_VALUE"""),"Central Bank of Georgia")</f>
        <v>Central Bank of Georgia</v>
      </c>
      <c r="B116" s="1" t="str">
        <f>IFERROR(__xludf.DUMMYFUNCTION("""COMPUTED_VALUE"""),"Ellaville")</f>
        <v>Ellaville</v>
      </c>
      <c r="C116" s="1" t="str">
        <f>IFERROR(__xludf.DUMMYFUNCTION("""COMPUTED_VALUE"""),"GA")</f>
        <v>GA</v>
      </c>
      <c r="D116" s="1">
        <f>IFERROR(__xludf.DUMMYFUNCTION("""COMPUTED_VALUE"""),5687.0)</f>
        <v>5687</v>
      </c>
      <c r="E116" s="1" t="str">
        <f>IFERROR(__xludf.DUMMYFUNCTION("""COMPUTED_VALUE"""),"Ameris Bank")</f>
        <v>Ameris Bank</v>
      </c>
      <c r="F116" s="2">
        <f>IFERROR(__xludf.DUMMYFUNCTION("""COMPUTED_VALUE"""),40963.0)</f>
        <v>40963</v>
      </c>
      <c r="G116" s="1">
        <f>IFERROR(__xludf.DUMMYFUNCTION("""COMPUTED_VALUE"""),10426.0)</f>
        <v>10426</v>
      </c>
    </row>
    <row r="117">
      <c r="A117" s="1" t="str">
        <f>IFERROR(__xludf.DUMMYFUNCTION("""COMPUTED_VALUE"""),"SCB Bank")</f>
        <v>SCB Bank</v>
      </c>
      <c r="B117" s="1" t="str">
        <f>IFERROR(__xludf.DUMMYFUNCTION("""COMPUTED_VALUE"""),"Shelbyville")</f>
        <v>Shelbyville</v>
      </c>
      <c r="C117" s="1" t="str">
        <f>IFERROR(__xludf.DUMMYFUNCTION("""COMPUTED_VALUE"""),"IN")</f>
        <v>IN</v>
      </c>
      <c r="D117" s="1">
        <f>IFERROR(__xludf.DUMMYFUNCTION("""COMPUTED_VALUE"""),29761.0)</f>
        <v>29761</v>
      </c>
      <c r="E117" s="1" t="str">
        <f>IFERROR(__xludf.DUMMYFUNCTION("""COMPUTED_VALUE"""),"First Merchants Bank, National Association")</f>
        <v>First Merchants Bank, National Association</v>
      </c>
      <c r="F117" s="2">
        <f>IFERROR(__xludf.DUMMYFUNCTION("""COMPUTED_VALUE"""),40949.0)</f>
        <v>40949</v>
      </c>
      <c r="G117" s="1">
        <f>IFERROR(__xludf.DUMMYFUNCTION("""COMPUTED_VALUE"""),10425.0)</f>
        <v>10425</v>
      </c>
    </row>
    <row r="118">
      <c r="A118" s="1" t="str">
        <f>IFERROR(__xludf.DUMMYFUNCTION("""COMPUTED_VALUE"""),"Charter National Bank and Trust")</f>
        <v>Charter National Bank and Trust</v>
      </c>
      <c r="B118" s="1" t="str">
        <f>IFERROR(__xludf.DUMMYFUNCTION("""COMPUTED_VALUE"""),"Hoffman Estates")</f>
        <v>Hoffman Estates</v>
      </c>
      <c r="C118" s="1" t="str">
        <f>IFERROR(__xludf.DUMMYFUNCTION("""COMPUTED_VALUE"""),"IL")</f>
        <v>IL</v>
      </c>
      <c r="D118" s="1">
        <f>IFERROR(__xludf.DUMMYFUNCTION("""COMPUTED_VALUE"""),23187.0)</f>
        <v>23187</v>
      </c>
      <c r="E118" s="1" t="str">
        <f>IFERROR(__xludf.DUMMYFUNCTION("""COMPUTED_VALUE"""),"Barrington Bank &amp; Trust Company, National Association")</f>
        <v>Barrington Bank &amp; Trust Company, National Association</v>
      </c>
      <c r="F118" s="2">
        <f>IFERROR(__xludf.DUMMYFUNCTION("""COMPUTED_VALUE"""),40949.0)</f>
        <v>40949</v>
      </c>
      <c r="G118" s="1">
        <f>IFERROR(__xludf.DUMMYFUNCTION("""COMPUTED_VALUE"""),10424.0)</f>
        <v>10424</v>
      </c>
    </row>
    <row r="119">
      <c r="A119" s="1" t="str">
        <f>IFERROR(__xludf.DUMMYFUNCTION("""COMPUTED_VALUE"""),"BankEast")</f>
        <v>BankEast</v>
      </c>
      <c r="B119" s="1" t="str">
        <f>IFERROR(__xludf.DUMMYFUNCTION("""COMPUTED_VALUE"""),"Knoxville")</f>
        <v>Knoxville</v>
      </c>
      <c r="C119" s="1" t="str">
        <f>IFERROR(__xludf.DUMMYFUNCTION("""COMPUTED_VALUE"""),"TN")</f>
        <v>TN</v>
      </c>
      <c r="D119" s="1">
        <f>IFERROR(__xludf.DUMMYFUNCTION("""COMPUTED_VALUE"""),19869.0)</f>
        <v>19869</v>
      </c>
      <c r="E119" s="1" t="str">
        <f>IFERROR(__xludf.DUMMYFUNCTION("""COMPUTED_VALUE"""),"U.S. Bank, N.A.")</f>
        <v>U.S. Bank, N.A.</v>
      </c>
      <c r="F119" s="2">
        <f>IFERROR(__xludf.DUMMYFUNCTION("""COMPUTED_VALUE"""),40935.0)</f>
        <v>40935</v>
      </c>
      <c r="G119" s="1">
        <f>IFERROR(__xludf.DUMMYFUNCTION("""COMPUTED_VALUE"""),10420.0)</f>
        <v>10420</v>
      </c>
    </row>
    <row r="120">
      <c r="A120" s="1" t="str">
        <f>IFERROR(__xludf.DUMMYFUNCTION("""COMPUTED_VALUE"""),"Patriot Bank Minnesota")</f>
        <v>Patriot Bank Minnesota</v>
      </c>
      <c r="B120" s="1" t="str">
        <f>IFERROR(__xludf.DUMMYFUNCTION("""COMPUTED_VALUE"""),"Forest Lake")</f>
        <v>Forest Lake</v>
      </c>
      <c r="C120" s="1" t="str">
        <f>IFERROR(__xludf.DUMMYFUNCTION("""COMPUTED_VALUE"""),"MN")</f>
        <v>MN</v>
      </c>
      <c r="D120" s="1">
        <f>IFERROR(__xludf.DUMMYFUNCTION("""COMPUTED_VALUE"""),34823.0)</f>
        <v>34823</v>
      </c>
      <c r="E120" s="1" t="str">
        <f>IFERROR(__xludf.DUMMYFUNCTION("""COMPUTED_VALUE"""),"First Resource Bank")</f>
        <v>First Resource Bank</v>
      </c>
      <c r="F120" s="2">
        <f>IFERROR(__xludf.DUMMYFUNCTION("""COMPUTED_VALUE"""),40935.0)</f>
        <v>40935</v>
      </c>
      <c r="G120" s="1">
        <f>IFERROR(__xludf.DUMMYFUNCTION("""COMPUTED_VALUE"""),10422.0)</f>
        <v>10422</v>
      </c>
    </row>
    <row r="121">
      <c r="A121" s="1" t="str">
        <f>IFERROR(__xludf.DUMMYFUNCTION("""COMPUTED_VALUE"""),"Tennessee Commerce Bank")</f>
        <v>Tennessee Commerce Bank</v>
      </c>
      <c r="B121" s="1" t="str">
        <f>IFERROR(__xludf.DUMMYFUNCTION("""COMPUTED_VALUE"""),"Franklin")</f>
        <v>Franklin</v>
      </c>
      <c r="C121" s="1" t="str">
        <f>IFERROR(__xludf.DUMMYFUNCTION("""COMPUTED_VALUE"""),"TN")</f>
        <v>TN</v>
      </c>
      <c r="D121" s="1">
        <f>IFERROR(__xludf.DUMMYFUNCTION("""COMPUTED_VALUE"""),35296.0)</f>
        <v>35296</v>
      </c>
      <c r="E121" s="1" t="str">
        <f>IFERROR(__xludf.DUMMYFUNCTION("""COMPUTED_VALUE"""),"Republic Bank &amp; Trust Company")</f>
        <v>Republic Bank &amp; Trust Company</v>
      </c>
      <c r="F121" s="2">
        <f>IFERROR(__xludf.DUMMYFUNCTION("""COMPUTED_VALUE"""),40935.0)</f>
        <v>40935</v>
      </c>
      <c r="G121" s="1">
        <f>IFERROR(__xludf.DUMMYFUNCTION("""COMPUTED_VALUE"""),10423.0)</f>
        <v>10423</v>
      </c>
    </row>
    <row r="122">
      <c r="A122" s="1" t="str">
        <f>IFERROR(__xludf.DUMMYFUNCTION("""COMPUTED_VALUE"""),"First Guaranty Bank and Trust Company of Jacksonville")</f>
        <v>First Guaranty Bank and Trust Company of Jacksonville</v>
      </c>
      <c r="B122" s="1" t="str">
        <f>IFERROR(__xludf.DUMMYFUNCTION("""COMPUTED_VALUE"""),"Jacksonville")</f>
        <v>Jacksonville</v>
      </c>
      <c r="C122" s="1" t="str">
        <f>IFERROR(__xludf.DUMMYFUNCTION("""COMPUTED_VALUE"""),"FL")</f>
        <v>FL</v>
      </c>
      <c r="D122" s="1">
        <f>IFERROR(__xludf.DUMMYFUNCTION("""COMPUTED_VALUE"""),16579.0)</f>
        <v>16579</v>
      </c>
      <c r="E122" s="1" t="str">
        <f>IFERROR(__xludf.DUMMYFUNCTION("""COMPUTED_VALUE"""),"CenterState Bank of Florida, N.A.")</f>
        <v>CenterState Bank of Florida, N.A.</v>
      </c>
      <c r="F122" s="2">
        <f>IFERROR(__xludf.DUMMYFUNCTION("""COMPUTED_VALUE"""),40935.0)</f>
        <v>40935</v>
      </c>
      <c r="G122" s="1">
        <f>IFERROR(__xludf.DUMMYFUNCTION("""COMPUTED_VALUE"""),10421.0)</f>
        <v>10421</v>
      </c>
    </row>
    <row r="123">
      <c r="A123" s="1" t="str">
        <f>IFERROR(__xludf.DUMMYFUNCTION("""COMPUTED_VALUE"""),"American Eagle Savings Bank")</f>
        <v>American Eagle Savings Bank</v>
      </c>
      <c r="B123" s="1" t="str">
        <f>IFERROR(__xludf.DUMMYFUNCTION("""COMPUTED_VALUE"""),"Boothwyn")</f>
        <v>Boothwyn</v>
      </c>
      <c r="C123" s="1" t="str">
        <f>IFERROR(__xludf.DUMMYFUNCTION("""COMPUTED_VALUE"""),"PA")</f>
        <v>PA</v>
      </c>
      <c r="D123" s="1">
        <f>IFERROR(__xludf.DUMMYFUNCTION("""COMPUTED_VALUE"""),31581.0)</f>
        <v>31581</v>
      </c>
      <c r="E123" s="1" t="str">
        <f>IFERROR(__xludf.DUMMYFUNCTION("""COMPUTED_VALUE"""),"Capital Bank, N.A.")</f>
        <v>Capital Bank, N.A.</v>
      </c>
      <c r="F123" s="2">
        <f>IFERROR(__xludf.DUMMYFUNCTION("""COMPUTED_VALUE"""),40928.0)</f>
        <v>40928</v>
      </c>
      <c r="G123" s="1">
        <f>IFERROR(__xludf.DUMMYFUNCTION("""COMPUTED_VALUE"""),10417.0)</f>
        <v>10417</v>
      </c>
    </row>
    <row r="124">
      <c r="A124" s="1" t="str">
        <f>IFERROR(__xludf.DUMMYFUNCTION("""COMPUTED_VALUE"""),"The First State Bank")</f>
        <v>The First State Bank</v>
      </c>
      <c r="B124" s="1" t="str">
        <f>IFERROR(__xludf.DUMMYFUNCTION("""COMPUTED_VALUE"""),"Stockbridge")</f>
        <v>Stockbridge</v>
      </c>
      <c r="C124" s="1" t="str">
        <f>IFERROR(__xludf.DUMMYFUNCTION("""COMPUTED_VALUE"""),"GA")</f>
        <v>GA</v>
      </c>
      <c r="D124" s="1">
        <f>IFERROR(__xludf.DUMMYFUNCTION("""COMPUTED_VALUE"""),19252.0)</f>
        <v>19252</v>
      </c>
      <c r="E124" s="1" t="str">
        <f>IFERROR(__xludf.DUMMYFUNCTION("""COMPUTED_VALUE"""),"Hamilton State Bank")</f>
        <v>Hamilton State Bank</v>
      </c>
      <c r="F124" s="2">
        <f>IFERROR(__xludf.DUMMYFUNCTION("""COMPUTED_VALUE"""),40928.0)</f>
        <v>40928</v>
      </c>
      <c r="G124" s="1">
        <f>IFERROR(__xludf.DUMMYFUNCTION("""COMPUTED_VALUE"""),10419.0)</f>
        <v>10419</v>
      </c>
    </row>
    <row r="125">
      <c r="A125" s="1" t="str">
        <f>IFERROR(__xludf.DUMMYFUNCTION("""COMPUTED_VALUE"""),"Central Florida State Bank")</f>
        <v>Central Florida State Bank</v>
      </c>
      <c r="B125" s="1" t="str">
        <f>IFERROR(__xludf.DUMMYFUNCTION("""COMPUTED_VALUE"""),"Belleview")</f>
        <v>Belleview</v>
      </c>
      <c r="C125" s="1" t="str">
        <f>IFERROR(__xludf.DUMMYFUNCTION("""COMPUTED_VALUE"""),"FL")</f>
        <v>FL</v>
      </c>
      <c r="D125" s="1">
        <f>IFERROR(__xludf.DUMMYFUNCTION("""COMPUTED_VALUE"""),57186.0)</f>
        <v>57186</v>
      </c>
      <c r="E125" s="1" t="str">
        <f>IFERROR(__xludf.DUMMYFUNCTION("""COMPUTED_VALUE"""),"CenterState Bank of Florida, N.A.")</f>
        <v>CenterState Bank of Florida, N.A.</v>
      </c>
      <c r="F125" s="2">
        <f>IFERROR(__xludf.DUMMYFUNCTION("""COMPUTED_VALUE"""),40928.0)</f>
        <v>40928</v>
      </c>
      <c r="G125" s="1">
        <f>IFERROR(__xludf.DUMMYFUNCTION("""COMPUTED_VALUE"""),10418.0)</f>
        <v>10418</v>
      </c>
    </row>
    <row r="126">
      <c r="A126" s="1" t="str">
        <f>IFERROR(__xludf.DUMMYFUNCTION("""COMPUTED_VALUE"""),"Western National Bank")</f>
        <v>Western National Bank</v>
      </c>
      <c r="B126" s="1" t="str">
        <f>IFERROR(__xludf.DUMMYFUNCTION("""COMPUTED_VALUE"""),"Phoenix")</f>
        <v>Phoenix</v>
      </c>
      <c r="C126" s="1" t="str">
        <f>IFERROR(__xludf.DUMMYFUNCTION("""COMPUTED_VALUE"""),"AZ")</f>
        <v>AZ</v>
      </c>
      <c r="D126" s="1">
        <f>IFERROR(__xludf.DUMMYFUNCTION("""COMPUTED_VALUE"""),57917.0)</f>
        <v>57917</v>
      </c>
      <c r="E126" s="1" t="str">
        <f>IFERROR(__xludf.DUMMYFUNCTION("""COMPUTED_VALUE"""),"Washington Federal")</f>
        <v>Washington Federal</v>
      </c>
      <c r="F126" s="2">
        <f>IFERROR(__xludf.DUMMYFUNCTION("""COMPUTED_VALUE"""),40893.0)</f>
        <v>40893</v>
      </c>
      <c r="G126" s="1">
        <f>IFERROR(__xludf.DUMMYFUNCTION("""COMPUTED_VALUE"""),10416.0)</f>
        <v>10416</v>
      </c>
    </row>
    <row r="127">
      <c r="A127" s="1" t="str">
        <f>IFERROR(__xludf.DUMMYFUNCTION("""COMPUTED_VALUE"""),"Premier Community Bank of the Emerald Coast")</f>
        <v>Premier Community Bank of the Emerald Coast</v>
      </c>
      <c r="B127" s="1" t="str">
        <f>IFERROR(__xludf.DUMMYFUNCTION("""COMPUTED_VALUE"""),"Crestview")</f>
        <v>Crestview</v>
      </c>
      <c r="C127" s="1" t="str">
        <f>IFERROR(__xludf.DUMMYFUNCTION("""COMPUTED_VALUE"""),"FL")</f>
        <v>FL</v>
      </c>
      <c r="D127" s="1">
        <f>IFERROR(__xludf.DUMMYFUNCTION("""COMPUTED_VALUE"""),58343.0)</f>
        <v>58343</v>
      </c>
      <c r="E127" s="1" t="str">
        <f>IFERROR(__xludf.DUMMYFUNCTION("""COMPUTED_VALUE"""),"Summit Bank")</f>
        <v>Summit Bank</v>
      </c>
      <c r="F127" s="2">
        <f>IFERROR(__xludf.DUMMYFUNCTION("""COMPUTED_VALUE"""),40893.0)</f>
        <v>40893</v>
      </c>
      <c r="G127" s="1">
        <f>IFERROR(__xludf.DUMMYFUNCTION("""COMPUTED_VALUE"""),10415.0)</f>
        <v>10415</v>
      </c>
    </row>
    <row r="128">
      <c r="A128" s="1" t="str">
        <f>IFERROR(__xludf.DUMMYFUNCTION("""COMPUTED_VALUE"""),"Central Progressive Bank")</f>
        <v>Central Progressive Bank</v>
      </c>
      <c r="B128" s="1" t="str">
        <f>IFERROR(__xludf.DUMMYFUNCTION("""COMPUTED_VALUE"""),"Lacombe")</f>
        <v>Lacombe</v>
      </c>
      <c r="C128" s="1" t="str">
        <f>IFERROR(__xludf.DUMMYFUNCTION("""COMPUTED_VALUE"""),"LA")</f>
        <v>LA</v>
      </c>
      <c r="D128" s="1">
        <f>IFERROR(__xludf.DUMMYFUNCTION("""COMPUTED_VALUE"""),19657.0)</f>
        <v>19657</v>
      </c>
      <c r="E128" s="1" t="str">
        <f>IFERROR(__xludf.DUMMYFUNCTION("""COMPUTED_VALUE"""),"First NBC Bank")</f>
        <v>First NBC Bank</v>
      </c>
      <c r="F128" s="2">
        <f>IFERROR(__xludf.DUMMYFUNCTION("""COMPUTED_VALUE"""),40865.0)</f>
        <v>40865</v>
      </c>
      <c r="G128" s="1">
        <f>IFERROR(__xludf.DUMMYFUNCTION("""COMPUTED_VALUE"""),10413.0)</f>
        <v>10413</v>
      </c>
    </row>
    <row r="129">
      <c r="A129" s="1" t="str">
        <f>IFERROR(__xludf.DUMMYFUNCTION("""COMPUTED_VALUE"""),"Polk County Bank")</f>
        <v>Polk County Bank</v>
      </c>
      <c r="B129" s="1" t="str">
        <f>IFERROR(__xludf.DUMMYFUNCTION("""COMPUTED_VALUE"""),"Johnston")</f>
        <v>Johnston</v>
      </c>
      <c r="C129" s="1" t="str">
        <f>IFERROR(__xludf.DUMMYFUNCTION("""COMPUTED_VALUE"""),"IA")</f>
        <v>IA</v>
      </c>
      <c r="D129" s="1">
        <f>IFERROR(__xludf.DUMMYFUNCTION("""COMPUTED_VALUE"""),14194.0)</f>
        <v>14194</v>
      </c>
      <c r="E129" s="1" t="str">
        <f>IFERROR(__xludf.DUMMYFUNCTION("""COMPUTED_VALUE"""),"Grinnell State Bank")</f>
        <v>Grinnell State Bank</v>
      </c>
      <c r="F129" s="2">
        <f>IFERROR(__xludf.DUMMYFUNCTION("""COMPUTED_VALUE"""),40865.0)</f>
        <v>40865</v>
      </c>
      <c r="G129" s="1">
        <f>IFERROR(__xludf.DUMMYFUNCTION("""COMPUTED_VALUE"""),10414.0)</f>
        <v>10414</v>
      </c>
    </row>
    <row r="130">
      <c r="A130" s="1" t="str">
        <f>IFERROR(__xludf.DUMMYFUNCTION("""COMPUTED_VALUE"""),"Community Bank of Rockmart")</f>
        <v>Community Bank of Rockmart</v>
      </c>
      <c r="B130" s="1" t="str">
        <f>IFERROR(__xludf.DUMMYFUNCTION("""COMPUTED_VALUE"""),"Rockmart")</f>
        <v>Rockmart</v>
      </c>
      <c r="C130" s="1" t="str">
        <f>IFERROR(__xludf.DUMMYFUNCTION("""COMPUTED_VALUE"""),"GA")</f>
        <v>GA</v>
      </c>
      <c r="D130" s="1">
        <f>IFERROR(__xludf.DUMMYFUNCTION("""COMPUTED_VALUE"""),57860.0)</f>
        <v>57860</v>
      </c>
      <c r="E130" s="1" t="str">
        <f>IFERROR(__xludf.DUMMYFUNCTION("""COMPUTED_VALUE"""),"Century Bank of Georgia")</f>
        <v>Century Bank of Georgia</v>
      </c>
      <c r="F130" s="2">
        <f>IFERROR(__xludf.DUMMYFUNCTION("""COMPUTED_VALUE"""),40857.0)</f>
        <v>40857</v>
      </c>
      <c r="G130" s="1">
        <f>IFERROR(__xludf.DUMMYFUNCTION("""COMPUTED_VALUE"""),10412.0)</f>
        <v>10412</v>
      </c>
    </row>
    <row r="131">
      <c r="A131" s="1" t="str">
        <f>IFERROR(__xludf.DUMMYFUNCTION("""COMPUTED_VALUE"""),"SunFirst Bank")</f>
        <v>SunFirst Bank</v>
      </c>
      <c r="B131" s="1" t="str">
        <f>IFERROR(__xludf.DUMMYFUNCTION("""COMPUTED_VALUE"""),"Saint George")</f>
        <v>Saint George</v>
      </c>
      <c r="C131" s="1" t="str">
        <f>IFERROR(__xludf.DUMMYFUNCTION("""COMPUTED_VALUE"""),"UT")</f>
        <v>UT</v>
      </c>
      <c r="D131" s="1">
        <f>IFERROR(__xludf.DUMMYFUNCTION("""COMPUTED_VALUE"""),57087.0)</f>
        <v>57087</v>
      </c>
      <c r="E131" s="1" t="str">
        <f>IFERROR(__xludf.DUMMYFUNCTION("""COMPUTED_VALUE"""),"Cache Valley Bank")</f>
        <v>Cache Valley Bank</v>
      </c>
      <c r="F131" s="2">
        <f>IFERROR(__xludf.DUMMYFUNCTION("""COMPUTED_VALUE"""),40851.0)</f>
        <v>40851</v>
      </c>
      <c r="G131" s="1">
        <f>IFERROR(__xludf.DUMMYFUNCTION("""COMPUTED_VALUE"""),10411.0)</f>
        <v>10411</v>
      </c>
    </row>
    <row r="132">
      <c r="A132" s="1" t="str">
        <f>IFERROR(__xludf.DUMMYFUNCTION("""COMPUTED_VALUE"""),"Mid City Bank, Inc.")</f>
        <v>Mid City Bank, Inc.</v>
      </c>
      <c r="B132" s="1" t="str">
        <f>IFERROR(__xludf.DUMMYFUNCTION("""COMPUTED_VALUE"""),"Omaha")</f>
        <v>Omaha</v>
      </c>
      <c r="C132" s="1" t="str">
        <f>IFERROR(__xludf.DUMMYFUNCTION("""COMPUTED_VALUE"""),"NE")</f>
        <v>NE</v>
      </c>
      <c r="D132" s="1">
        <f>IFERROR(__xludf.DUMMYFUNCTION("""COMPUTED_VALUE"""),19397.0)</f>
        <v>19397</v>
      </c>
      <c r="E132" s="1" t="str">
        <f>IFERROR(__xludf.DUMMYFUNCTION("""COMPUTED_VALUE"""),"Premier Bank")</f>
        <v>Premier Bank</v>
      </c>
      <c r="F132" s="2">
        <f>IFERROR(__xludf.DUMMYFUNCTION("""COMPUTED_VALUE"""),40851.0)</f>
        <v>40851</v>
      </c>
      <c r="G132" s="1">
        <f>IFERROR(__xludf.DUMMYFUNCTION("""COMPUTED_VALUE"""),10410.0)</f>
        <v>10410</v>
      </c>
    </row>
    <row r="133">
      <c r="A133" s="1" t="str">
        <f>IFERROR(__xludf.DUMMYFUNCTION("""COMPUTED_VALUE"""),"All American Bank")</f>
        <v>All American Bank</v>
      </c>
      <c r="B133" s="1" t="str">
        <f>IFERROR(__xludf.DUMMYFUNCTION("""COMPUTED_VALUE"""),"Des Plaines")</f>
        <v>Des Plaines</v>
      </c>
      <c r="C133" s="1" t="str">
        <f>IFERROR(__xludf.DUMMYFUNCTION("""COMPUTED_VALUE"""),"IL")</f>
        <v>IL</v>
      </c>
      <c r="D133" s="1">
        <f>IFERROR(__xludf.DUMMYFUNCTION("""COMPUTED_VALUE"""),57759.0)</f>
        <v>57759</v>
      </c>
      <c r="E133" s="1" t="str">
        <f>IFERROR(__xludf.DUMMYFUNCTION("""COMPUTED_VALUE"""),"International Bank of Chicago")</f>
        <v>International Bank of Chicago</v>
      </c>
      <c r="F133" s="2">
        <f>IFERROR(__xludf.DUMMYFUNCTION("""COMPUTED_VALUE"""),40844.0)</f>
        <v>40844</v>
      </c>
      <c r="G133" s="1">
        <f>IFERROR(__xludf.DUMMYFUNCTION("""COMPUTED_VALUE"""),10409.0)</f>
        <v>10409</v>
      </c>
    </row>
    <row r="134">
      <c r="A134" s="1" t="str">
        <f>IFERROR(__xludf.DUMMYFUNCTION("""COMPUTED_VALUE"""),"Community Banks of Colorado")</f>
        <v>Community Banks of Colorado</v>
      </c>
      <c r="B134" s="1" t="str">
        <f>IFERROR(__xludf.DUMMYFUNCTION("""COMPUTED_VALUE"""),"Greenwood Village")</f>
        <v>Greenwood Village</v>
      </c>
      <c r="C134" s="1" t="str">
        <f>IFERROR(__xludf.DUMMYFUNCTION("""COMPUTED_VALUE"""),"CO")</f>
        <v>CO</v>
      </c>
      <c r="D134" s="1">
        <f>IFERROR(__xludf.DUMMYFUNCTION("""COMPUTED_VALUE"""),21132.0)</f>
        <v>21132</v>
      </c>
      <c r="E134" s="1" t="str">
        <f>IFERROR(__xludf.DUMMYFUNCTION("""COMPUTED_VALUE"""),"Bank Midwest, N.A.")</f>
        <v>Bank Midwest, N.A.</v>
      </c>
      <c r="F134" s="2">
        <f>IFERROR(__xludf.DUMMYFUNCTION("""COMPUTED_VALUE"""),40837.0)</f>
        <v>40837</v>
      </c>
      <c r="G134" s="1">
        <f>IFERROR(__xludf.DUMMYFUNCTION("""COMPUTED_VALUE"""),10405.0)</f>
        <v>10405</v>
      </c>
    </row>
    <row r="135">
      <c r="A135" s="1" t="str">
        <f>IFERROR(__xludf.DUMMYFUNCTION("""COMPUTED_VALUE"""),"Community Capital Bank")</f>
        <v>Community Capital Bank</v>
      </c>
      <c r="B135" s="1" t="str">
        <f>IFERROR(__xludf.DUMMYFUNCTION("""COMPUTED_VALUE"""),"Jonesboro")</f>
        <v>Jonesboro</v>
      </c>
      <c r="C135" s="1" t="str">
        <f>IFERROR(__xludf.DUMMYFUNCTION("""COMPUTED_VALUE"""),"GA")</f>
        <v>GA</v>
      </c>
      <c r="D135" s="1">
        <f>IFERROR(__xludf.DUMMYFUNCTION("""COMPUTED_VALUE"""),57036.0)</f>
        <v>57036</v>
      </c>
      <c r="E135" s="1" t="str">
        <f>IFERROR(__xludf.DUMMYFUNCTION("""COMPUTED_VALUE"""),"State Bank and Trust Company")</f>
        <v>State Bank and Trust Company</v>
      </c>
      <c r="F135" s="2">
        <f>IFERROR(__xludf.DUMMYFUNCTION("""COMPUTED_VALUE"""),40837.0)</f>
        <v>40837</v>
      </c>
      <c r="G135" s="1">
        <f>IFERROR(__xludf.DUMMYFUNCTION("""COMPUTED_VALUE"""),10406.0)</f>
        <v>10406</v>
      </c>
    </row>
    <row r="136">
      <c r="A136" s="1" t="str">
        <f>IFERROR(__xludf.DUMMYFUNCTION("""COMPUTED_VALUE"""),"Decatur First Bank")</f>
        <v>Decatur First Bank</v>
      </c>
      <c r="B136" s="1" t="str">
        <f>IFERROR(__xludf.DUMMYFUNCTION("""COMPUTED_VALUE"""),"Decatur")</f>
        <v>Decatur</v>
      </c>
      <c r="C136" s="1" t="str">
        <f>IFERROR(__xludf.DUMMYFUNCTION("""COMPUTED_VALUE"""),"GA")</f>
        <v>GA</v>
      </c>
      <c r="D136" s="1">
        <f>IFERROR(__xludf.DUMMYFUNCTION("""COMPUTED_VALUE"""),34392.0)</f>
        <v>34392</v>
      </c>
      <c r="E136" s="1" t="str">
        <f>IFERROR(__xludf.DUMMYFUNCTION("""COMPUTED_VALUE"""),"Fidelity Bank")</f>
        <v>Fidelity Bank</v>
      </c>
      <c r="F136" s="2">
        <f>IFERROR(__xludf.DUMMYFUNCTION("""COMPUTED_VALUE"""),40837.0)</f>
        <v>40837</v>
      </c>
      <c r="G136" s="1">
        <f>IFERROR(__xludf.DUMMYFUNCTION("""COMPUTED_VALUE"""),10407.0)</f>
        <v>10407</v>
      </c>
    </row>
    <row r="137">
      <c r="A137" s="1" t="str">
        <f>IFERROR(__xludf.DUMMYFUNCTION("""COMPUTED_VALUE"""),"Old Harbor Bank")</f>
        <v>Old Harbor Bank</v>
      </c>
      <c r="B137" s="1" t="str">
        <f>IFERROR(__xludf.DUMMYFUNCTION("""COMPUTED_VALUE"""),"Clearwater")</f>
        <v>Clearwater</v>
      </c>
      <c r="C137" s="1" t="str">
        <f>IFERROR(__xludf.DUMMYFUNCTION("""COMPUTED_VALUE"""),"FL")</f>
        <v>FL</v>
      </c>
      <c r="D137" s="1">
        <f>IFERROR(__xludf.DUMMYFUNCTION("""COMPUTED_VALUE"""),57537.0)</f>
        <v>57537</v>
      </c>
      <c r="E137" s="1" t="str">
        <f>IFERROR(__xludf.DUMMYFUNCTION("""COMPUTED_VALUE"""),"1st United Bank")</f>
        <v>1st United Bank</v>
      </c>
      <c r="F137" s="2">
        <f>IFERROR(__xludf.DUMMYFUNCTION("""COMPUTED_VALUE"""),40837.0)</f>
        <v>40837</v>
      </c>
      <c r="G137" s="1">
        <f>IFERROR(__xludf.DUMMYFUNCTION("""COMPUTED_VALUE"""),10408.0)</f>
        <v>10408</v>
      </c>
    </row>
    <row r="138">
      <c r="A138" s="1" t="str">
        <f>IFERROR(__xludf.DUMMYFUNCTION("""COMPUTED_VALUE"""),"Country Bank")</f>
        <v>Country Bank</v>
      </c>
      <c r="B138" s="1" t="str">
        <f>IFERROR(__xludf.DUMMYFUNCTION("""COMPUTED_VALUE"""),"Aledo")</f>
        <v>Aledo</v>
      </c>
      <c r="C138" s="1" t="str">
        <f>IFERROR(__xludf.DUMMYFUNCTION("""COMPUTED_VALUE"""),"IL")</f>
        <v>IL</v>
      </c>
      <c r="D138" s="1">
        <f>IFERROR(__xludf.DUMMYFUNCTION("""COMPUTED_VALUE"""),35395.0)</f>
        <v>35395</v>
      </c>
      <c r="E138" s="1" t="str">
        <f>IFERROR(__xludf.DUMMYFUNCTION("""COMPUTED_VALUE"""),"Blackhawk Bank &amp; Trust")</f>
        <v>Blackhawk Bank &amp; Trust</v>
      </c>
      <c r="F138" s="2">
        <f>IFERROR(__xludf.DUMMYFUNCTION("""COMPUTED_VALUE"""),40830.0)</f>
        <v>40830</v>
      </c>
      <c r="G138" s="1">
        <f>IFERROR(__xludf.DUMMYFUNCTION("""COMPUTED_VALUE"""),10402.0)</f>
        <v>10402</v>
      </c>
    </row>
    <row r="139">
      <c r="A139" s="1" t="str">
        <f>IFERROR(__xludf.DUMMYFUNCTION("""COMPUTED_VALUE"""),"First State Bank")</f>
        <v>First State Bank</v>
      </c>
      <c r="B139" s="1" t="str">
        <f>IFERROR(__xludf.DUMMYFUNCTION("""COMPUTED_VALUE"""),"Cranford")</f>
        <v>Cranford</v>
      </c>
      <c r="C139" s="1" t="str">
        <f>IFERROR(__xludf.DUMMYFUNCTION("""COMPUTED_VALUE"""),"NJ")</f>
        <v>NJ</v>
      </c>
      <c r="D139" s="1">
        <f>IFERROR(__xludf.DUMMYFUNCTION("""COMPUTED_VALUE"""),58046.0)</f>
        <v>58046</v>
      </c>
      <c r="E139" s="1" t="str">
        <f>IFERROR(__xludf.DUMMYFUNCTION("""COMPUTED_VALUE"""),"Northfield Bank")</f>
        <v>Northfield Bank</v>
      </c>
      <c r="F139" s="2">
        <f>IFERROR(__xludf.DUMMYFUNCTION("""COMPUTED_VALUE"""),40830.0)</f>
        <v>40830</v>
      </c>
      <c r="G139" s="1">
        <f>IFERROR(__xludf.DUMMYFUNCTION("""COMPUTED_VALUE"""),10403.0)</f>
        <v>10403</v>
      </c>
    </row>
    <row r="140">
      <c r="A140" s="1" t="str">
        <f>IFERROR(__xludf.DUMMYFUNCTION("""COMPUTED_VALUE"""),"Blue Ridge Savings Bank, Inc.")</f>
        <v>Blue Ridge Savings Bank, Inc.</v>
      </c>
      <c r="B140" s="1" t="str">
        <f>IFERROR(__xludf.DUMMYFUNCTION("""COMPUTED_VALUE"""),"Asheville")</f>
        <v>Asheville</v>
      </c>
      <c r="C140" s="1" t="str">
        <f>IFERROR(__xludf.DUMMYFUNCTION("""COMPUTED_VALUE"""),"NC")</f>
        <v>NC</v>
      </c>
      <c r="D140" s="1">
        <f>IFERROR(__xludf.DUMMYFUNCTION("""COMPUTED_VALUE"""),32347.0)</f>
        <v>32347</v>
      </c>
      <c r="E140" s="1" t="str">
        <f>IFERROR(__xludf.DUMMYFUNCTION("""COMPUTED_VALUE"""),"Bank of North Carolina")</f>
        <v>Bank of North Carolina</v>
      </c>
      <c r="F140" s="2">
        <f>IFERROR(__xludf.DUMMYFUNCTION("""COMPUTED_VALUE"""),40830.0)</f>
        <v>40830</v>
      </c>
      <c r="G140" s="1">
        <f>IFERROR(__xludf.DUMMYFUNCTION("""COMPUTED_VALUE"""),10401.0)</f>
        <v>10401</v>
      </c>
    </row>
    <row r="141">
      <c r="A141" s="1" t="str">
        <f>IFERROR(__xludf.DUMMYFUNCTION("""COMPUTED_VALUE"""),"Piedmont Community Bank")</f>
        <v>Piedmont Community Bank</v>
      </c>
      <c r="B141" s="1" t="str">
        <f>IFERROR(__xludf.DUMMYFUNCTION("""COMPUTED_VALUE"""),"Gray")</f>
        <v>Gray</v>
      </c>
      <c r="C141" s="1" t="str">
        <f>IFERROR(__xludf.DUMMYFUNCTION("""COMPUTED_VALUE"""),"GA")</f>
        <v>GA</v>
      </c>
      <c r="D141" s="1">
        <f>IFERROR(__xludf.DUMMYFUNCTION("""COMPUTED_VALUE"""),57256.0)</f>
        <v>57256</v>
      </c>
      <c r="E141" s="1" t="str">
        <f>IFERROR(__xludf.DUMMYFUNCTION("""COMPUTED_VALUE"""),"State Bank and Trust Company")</f>
        <v>State Bank and Trust Company</v>
      </c>
      <c r="F141" s="2">
        <f>IFERROR(__xludf.DUMMYFUNCTION("""COMPUTED_VALUE"""),40830.0)</f>
        <v>40830</v>
      </c>
      <c r="G141" s="1">
        <f>IFERROR(__xludf.DUMMYFUNCTION("""COMPUTED_VALUE"""),10404.0)</f>
        <v>10404</v>
      </c>
    </row>
    <row r="142">
      <c r="A142" s="1" t="str">
        <f>IFERROR(__xludf.DUMMYFUNCTION("""COMPUTED_VALUE"""),"Sun Security Bank")</f>
        <v>Sun Security Bank</v>
      </c>
      <c r="B142" s="1" t="str">
        <f>IFERROR(__xludf.DUMMYFUNCTION("""COMPUTED_VALUE"""),"Ellington")</f>
        <v>Ellington</v>
      </c>
      <c r="C142" s="1" t="str">
        <f>IFERROR(__xludf.DUMMYFUNCTION("""COMPUTED_VALUE"""),"MO")</f>
        <v>MO</v>
      </c>
      <c r="D142" s="1">
        <f>IFERROR(__xludf.DUMMYFUNCTION("""COMPUTED_VALUE"""),20115.0)</f>
        <v>20115</v>
      </c>
      <c r="E142" s="1" t="str">
        <f>IFERROR(__xludf.DUMMYFUNCTION("""COMPUTED_VALUE"""),"Great Southern Bank")</f>
        <v>Great Southern Bank</v>
      </c>
      <c r="F142" s="2">
        <f>IFERROR(__xludf.DUMMYFUNCTION("""COMPUTED_VALUE"""),40823.0)</f>
        <v>40823</v>
      </c>
      <c r="G142" s="1">
        <f>IFERROR(__xludf.DUMMYFUNCTION("""COMPUTED_VALUE"""),10400.0)</f>
        <v>10400</v>
      </c>
    </row>
    <row r="143">
      <c r="A143" s="1" t="str">
        <f>IFERROR(__xludf.DUMMYFUNCTION("""COMPUTED_VALUE"""),"The RiverBank")</f>
        <v>The RiverBank</v>
      </c>
      <c r="B143" s="1" t="str">
        <f>IFERROR(__xludf.DUMMYFUNCTION("""COMPUTED_VALUE"""),"Wyoming")</f>
        <v>Wyoming</v>
      </c>
      <c r="C143" s="1" t="str">
        <f>IFERROR(__xludf.DUMMYFUNCTION("""COMPUTED_VALUE"""),"MN")</f>
        <v>MN</v>
      </c>
      <c r="D143" s="1">
        <f>IFERROR(__xludf.DUMMYFUNCTION("""COMPUTED_VALUE"""),10216.0)</f>
        <v>10216</v>
      </c>
      <c r="E143" s="1" t="str">
        <f>IFERROR(__xludf.DUMMYFUNCTION("""COMPUTED_VALUE"""),"Central Bank")</f>
        <v>Central Bank</v>
      </c>
      <c r="F143" s="2">
        <f>IFERROR(__xludf.DUMMYFUNCTION("""COMPUTED_VALUE"""),40823.0)</f>
        <v>40823</v>
      </c>
      <c r="G143" s="1">
        <f>IFERROR(__xludf.DUMMYFUNCTION("""COMPUTED_VALUE"""),10399.0)</f>
        <v>10399</v>
      </c>
    </row>
    <row r="144">
      <c r="A144" s="1" t="str">
        <f>IFERROR(__xludf.DUMMYFUNCTION("""COMPUTED_VALUE"""),"First International Bank")</f>
        <v>First International Bank</v>
      </c>
      <c r="B144" s="1" t="str">
        <f>IFERROR(__xludf.DUMMYFUNCTION("""COMPUTED_VALUE"""),"Plano")</f>
        <v>Plano</v>
      </c>
      <c r="C144" s="1" t="str">
        <f>IFERROR(__xludf.DUMMYFUNCTION("""COMPUTED_VALUE"""),"TX")</f>
        <v>TX</v>
      </c>
      <c r="D144" s="1">
        <f>IFERROR(__xludf.DUMMYFUNCTION("""COMPUTED_VALUE"""),33513.0)</f>
        <v>33513</v>
      </c>
      <c r="E144" s="1" t="str">
        <f>IFERROR(__xludf.DUMMYFUNCTION("""COMPUTED_VALUE"""),"American First National Bank")</f>
        <v>American First National Bank</v>
      </c>
      <c r="F144" s="2">
        <f>IFERROR(__xludf.DUMMYFUNCTION("""COMPUTED_VALUE"""),40816.0)</f>
        <v>40816</v>
      </c>
      <c r="G144" s="1">
        <f>IFERROR(__xludf.DUMMYFUNCTION("""COMPUTED_VALUE"""),10398.0)</f>
        <v>10398</v>
      </c>
    </row>
    <row r="145">
      <c r="A145" s="1" t="str">
        <f>IFERROR(__xludf.DUMMYFUNCTION("""COMPUTED_VALUE"""),"Citizens Bank of Northern California")</f>
        <v>Citizens Bank of Northern California</v>
      </c>
      <c r="B145" s="1" t="str">
        <f>IFERROR(__xludf.DUMMYFUNCTION("""COMPUTED_VALUE"""),"Nevada City")</f>
        <v>Nevada City</v>
      </c>
      <c r="C145" s="1" t="str">
        <f>IFERROR(__xludf.DUMMYFUNCTION("""COMPUTED_VALUE"""),"CA")</f>
        <v>CA</v>
      </c>
      <c r="D145" s="1">
        <f>IFERROR(__xludf.DUMMYFUNCTION("""COMPUTED_VALUE"""),33983.0)</f>
        <v>33983</v>
      </c>
      <c r="E145" s="1" t="str">
        <f>IFERROR(__xludf.DUMMYFUNCTION("""COMPUTED_VALUE"""),"Tri Counties Bank")</f>
        <v>Tri Counties Bank</v>
      </c>
      <c r="F145" s="2">
        <f>IFERROR(__xludf.DUMMYFUNCTION("""COMPUTED_VALUE"""),40809.0)</f>
        <v>40809</v>
      </c>
      <c r="G145" s="1">
        <f>IFERROR(__xludf.DUMMYFUNCTION("""COMPUTED_VALUE"""),10397.0)</f>
        <v>10397</v>
      </c>
    </row>
    <row r="146">
      <c r="A146" s="1" t="str">
        <f>IFERROR(__xludf.DUMMYFUNCTION("""COMPUTED_VALUE"""),"Bank of the Commonwealth")</f>
        <v>Bank of the Commonwealth</v>
      </c>
      <c r="B146" s="1" t="str">
        <f>IFERROR(__xludf.DUMMYFUNCTION("""COMPUTED_VALUE"""),"Norfolk")</f>
        <v>Norfolk</v>
      </c>
      <c r="C146" s="1" t="str">
        <f>IFERROR(__xludf.DUMMYFUNCTION("""COMPUTED_VALUE"""),"VA")</f>
        <v>VA</v>
      </c>
      <c r="D146" s="1">
        <f>IFERROR(__xludf.DUMMYFUNCTION("""COMPUTED_VALUE"""),20408.0)</f>
        <v>20408</v>
      </c>
      <c r="E146" s="1" t="str">
        <f>IFERROR(__xludf.DUMMYFUNCTION("""COMPUTED_VALUE"""),"Southern Bank and Trust Company")</f>
        <v>Southern Bank and Trust Company</v>
      </c>
      <c r="F146" s="2">
        <f>IFERROR(__xludf.DUMMYFUNCTION("""COMPUTED_VALUE"""),40809.0)</f>
        <v>40809</v>
      </c>
      <c r="G146" s="1">
        <f>IFERROR(__xludf.DUMMYFUNCTION("""COMPUTED_VALUE"""),10396.0)</f>
        <v>10396</v>
      </c>
    </row>
    <row r="147">
      <c r="A147" s="1" t="str">
        <f>IFERROR(__xludf.DUMMYFUNCTION("""COMPUTED_VALUE"""),"The First National Bank of Florida")</f>
        <v>The First National Bank of Florida</v>
      </c>
      <c r="B147" s="1" t="str">
        <f>IFERROR(__xludf.DUMMYFUNCTION("""COMPUTED_VALUE"""),"Milton")</f>
        <v>Milton</v>
      </c>
      <c r="C147" s="1" t="str">
        <f>IFERROR(__xludf.DUMMYFUNCTION("""COMPUTED_VALUE"""),"FL")</f>
        <v>FL</v>
      </c>
      <c r="D147" s="1">
        <f>IFERROR(__xludf.DUMMYFUNCTION("""COMPUTED_VALUE"""),25155.0)</f>
        <v>25155</v>
      </c>
      <c r="E147" s="1" t="str">
        <f>IFERROR(__xludf.DUMMYFUNCTION("""COMPUTED_VALUE"""),"CharterBank")</f>
        <v>CharterBank</v>
      </c>
      <c r="F147" s="2">
        <f>IFERROR(__xludf.DUMMYFUNCTION("""COMPUTED_VALUE"""),40795.0)</f>
        <v>40795</v>
      </c>
      <c r="G147" s="1">
        <f>IFERROR(__xludf.DUMMYFUNCTION("""COMPUTED_VALUE"""),10395.0)</f>
        <v>10395</v>
      </c>
    </row>
    <row r="148">
      <c r="A148" s="1" t="str">
        <f>IFERROR(__xludf.DUMMYFUNCTION("""COMPUTED_VALUE"""),"CreekSide Bank")</f>
        <v>CreekSide Bank</v>
      </c>
      <c r="B148" s="1" t="str">
        <f>IFERROR(__xludf.DUMMYFUNCTION("""COMPUTED_VALUE"""),"Woodstock")</f>
        <v>Woodstock</v>
      </c>
      <c r="C148" s="1" t="str">
        <f>IFERROR(__xludf.DUMMYFUNCTION("""COMPUTED_VALUE"""),"GA")</f>
        <v>GA</v>
      </c>
      <c r="D148" s="1">
        <f>IFERROR(__xludf.DUMMYFUNCTION("""COMPUTED_VALUE"""),58226.0)</f>
        <v>58226</v>
      </c>
      <c r="E148" s="1" t="str">
        <f>IFERROR(__xludf.DUMMYFUNCTION("""COMPUTED_VALUE"""),"Georgia Commerce Bank")</f>
        <v>Georgia Commerce Bank</v>
      </c>
      <c r="F148" s="2">
        <f>IFERROR(__xludf.DUMMYFUNCTION("""COMPUTED_VALUE"""),40788.0)</f>
        <v>40788</v>
      </c>
      <c r="G148" s="1">
        <f>IFERROR(__xludf.DUMMYFUNCTION("""COMPUTED_VALUE"""),10393.0)</f>
        <v>10393</v>
      </c>
    </row>
    <row r="149">
      <c r="A149" s="1" t="str">
        <f>IFERROR(__xludf.DUMMYFUNCTION("""COMPUTED_VALUE"""),"Patriot Bank of Georgia")</f>
        <v>Patriot Bank of Georgia</v>
      </c>
      <c r="B149" s="1" t="str">
        <f>IFERROR(__xludf.DUMMYFUNCTION("""COMPUTED_VALUE"""),"Cumming")</f>
        <v>Cumming</v>
      </c>
      <c r="C149" s="1" t="str">
        <f>IFERROR(__xludf.DUMMYFUNCTION("""COMPUTED_VALUE"""),"GA")</f>
        <v>GA</v>
      </c>
      <c r="D149" s="1">
        <f>IFERROR(__xludf.DUMMYFUNCTION("""COMPUTED_VALUE"""),58273.0)</f>
        <v>58273</v>
      </c>
      <c r="E149" s="1" t="str">
        <f>IFERROR(__xludf.DUMMYFUNCTION("""COMPUTED_VALUE"""),"Georgia Commerce Bank")</f>
        <v>Georgia Commerce Bank</v>
      </c>
      <c r="F149" s="2">
        <f>IFERROR(__xludf.DUMMYFUNCTION("""COMPUTED_VALUE"""),40788.0)</f>
        <v>40788</v>
      </c>
      <c r="G149" s="1">
        <f>IFERROR(__xludf.DUMMYFUNCTION("""COMPUTED_VALUE"""),10394.0)</f>
        <v>10394</v>
      </c>
    </row>
    <row r="150">
      <c r="A150" s="1" t="str">
        <f>IFERROR(__xludf.DUMMYFUNCTION("""COMPUTED_VALUE"""),"First Choice Bank")</f>
        <v>First Choice Bank</v>
      </c>
      <c r="B150" s="1" t="str">
        <f>IFERROR(__xludf.DUMMYFUNCTION("""COMPUTED_VALUE"""),"Geneva")</f>
        <v>Geneva</v>
      </c>
      <c r="C150" s="1" t="str">
        <f>IFERROR(__xludf.DUMMYFUNCTION("""COMPUTED_VALUE"""),"IL")</f>
        <v>IL</v>
      </c>
      <c r="D150" s="1">
        <f>IFERROR(__xludf.DUMMYFUNCTION("""COMPUTED_VALUE"""),57212.0)</f>
        <v>57212</v>
      </c>
      <c r="E150" s="1" t="str">
        <f>IFERROR(__xludf.DUMMYFUNCTION("""COMPUTED_VALUE"""),"Inland Bank &amp; Trust")</f>
        <v>Inland Bank &amp; Trust</v>
      </c>
      <c r="F150" s="2">
        <f>IFERROR(__xludf.DUMMYFUNCTION("""COMPUTED_VALUE"""),40774.0)</f>
        <v>40774</v>
      </c>
      <c r="G150" s="1">
        <f>IFERROR(__xludf.DUMMYFUNCTION("""COMPUTED_VALUE"""),10390.0)</f>
        <v>10390</v>
      </c>
    </row>
    <row r="151">
      <c r="A151" s="1" t="str">
        <f>IFERROR(__xludf.DUMMYFUNCTION("""COMPUTED_VALUE"""),"First Southern National Bank")</f>
        <v>First Southern National Bank</v>
      </c>
      <c r="B151" s="1" t="str">
        <f>IFERROR(__xludf.DUMMYFUNCTION("""COMPUTED_VALUE"""),"Statesboro")</f>
        <v>Statesboro</v>
      </c>
      <c r="C151" s="1" t="str">
        <f>IFERROR(__xludf.DUMMYFUNCTION("""COMPUTED_VALUE"""),"GA")</f>
        <v>GA</v>
      </c>
      <c r="D151" s="1">
        <f>IFERROR(__xludf.DUMMYFUNCTION("""COMPUTED_VALUE"""),57239.0)</f>
        <v>57239</v>
      </c>
      <c r="E151" s="1" t="str">
        <f>IFERROR(__xludf.DUMMYFUNCTION("""COMPUTED_VALUE"""),"Heritage Bank of the South")</f>
        <v>Heritage Bank of the South</v>
      </c>
      <c r="F151" s="2">
        <f>IFERROR(__xludf.DUMMYFUNCTION("""COMPUTED_VALUE"""),40774.0)</f>
        <v>40774</v>
      </c>
      <c r="G151" s="1">
        <f>IFERROR(__xludf.DUMMYFUNCTION("""COMPUTED_VALUE"""),10391.0)</f>
        <v>10391</v>
      </c>
    </row>
    <row r="152">
      <c r="A152" s="1" t="str">
        <f>IFERROR(__xludf.DUMMYFUNCTION("""COMPUTED_VALUE"""),"Lydian Private Bank")</f>
        <v>Lydian Private Bank</v>
      </c>
      <c r="B152" s="1" t="str">
        <f>IFERROR(__xludf.DUMMYFUNCTION("""COMPUTED_VALUE"""),"Palm Beach")</f>
        <v>Palm Beach</v>
      </c>
      <c r="C152" s="1" t="str">
        <f>IFERROR(__xludf.DUMMYFUNCTION("""COMPUTED_VALUE"""),"FL")</f>
        <v>FL</v>
      </c>
      <c r="D152" s="1">
        <f>IFERROR(__xludf.DUMMYFUNCTION("""COMPUTED_VALUE"""),35356.0)</f>
        <v>35356</v>
      </c>
      <c r="E152" s="1" t="str">
        <f>IFERROR(__xludf.DUMMYFUNCTION("""COMPUTED_VALUE"""),"Sabadell United Bank, N.A.")</f>
        <v>Sabadell United Bank, N.A.</v>
      </c>
      <c r="F152" s="2">
        <f>IFERROR(__xludf.DUMMYFUNCTION("""COMPUTED_VALUE"""),40774.0)</f>
        <v>40774</v>
      </c>
      <c r="G152" s="1">
        <f>IFERROR(__xludf.DUMMYFUNCTION("""COMPUTED_VALUE"""),10392.0)</f>
        <v>10392</v>
      </c>
    </row>
    <row r="153">
      <c r="A153" s="1" t="str">
        <f>IFERROR(__xludf.DUMMYFUNCTION("""COMPUTED_VALUE"""),"Public Savings Bank")</f>
        <v>Public Savings Bank</v>
      </c>
      <c r="B153" s="1" t="str">
        <f>IFERROR(__xludf.DUMMYFUNCTION("""COMPUTED_VALUE"""),"Huntingdon Valley")</f>
        <v>Huntingdon Valley</v>
      </c>
      <c r="C153" s="1" t="str">
        <f>IFERROR(__xludf.DUMMYFUNCTION("""COMPUTED_VALUE"""),"PA")</f>
        <v>PA</v>
      </c>
      <c r="D153" s="1">
        <f>IFERROR(__xludf.DUMMYFUNCTION("""COMPUTED_VALUE"""),34130.0)</f>
        <v>34130</v>
      </c>
      <c r="E153" s="1" t="str">
        <f>IFERROR(__xludf.DUMMYFUNCTION("""COMPUTED_VALUE"""),"Capital Bank, N.A.")</f>
        <v>Capital Bank, N.A.</v>
      </c>
      <c r="F153" s="2">
        <f>IFERROR(__xludf.DUMMYFUNCTION("""COMPUTED_VALUE"""),40773.0)</f>
        <v>40773</v>
      </c>
      <c r="G153" s="1">
        <f>IFERROR(__xludf.DUMMYFUNCTION("""COMPUTED_VALUE"""),10389.0)</f>
        <v>10389</v>
      </c>
    </row>
    <row r="154">
      <c r="A154" s="1" t="str">
        <f>IFERROR(__xludf.DUMMYFUNCTION("""COMPUTED_VALUE"""),"The First National Bank of Olathe")</f>
        <v>The First National Bank of Olathe</v>
      </c>
      <c r="B154" s="1" t="str">
        <f>IFERROR(__xludf.DUMMYFUNCTION("""COMPUTED_VALUE"""),"Olathe")</f>
        <v>Olathe</v>
      </c>
      <c r="C154" s="1" t="str">
        <f>IFERROR(__xludf.DUMMYFUNCTION("""COMPUTED_VALUE"""),"KS")</f>
        <v>KS</v>
      </c>
      <c r="D154" s="1">
        <f>IFERROR(__xludf.DUMMYFUNCTION("""COMPUTED_VALUE"""),4744.0)</f>
        <v>4744</v>
      </c>
      <c r="E154" s="1" t="str">
        <f>IFERROR(__xludf.DUMMYFUNCTION("""COMPUTED_VALUE"""),"Enterprise Bank &amp; Trust")</f>
        <v>Enterprise Bank &amp; Trust</v>
      </c>
      <c r="F154" s="2">
        <f>IFERROR(__xludf.DUMMYFUNCTION("""COMPUTED_VALUE"""),40767.0)</f>
        <v>40767</v>
      </c>
      <c r="G154" s="1">
        <f>IFERROR(__xludf.DUMMYFUNCTION("""COMPUTED_VALUE"""),10388.0)</f>
        <v>10388</v>
      </c>
    </row>
    <row r="155">
      <c r="A155" s="1" t="str">
        <f>IFERROR(__xludf.DUMMYFUNCTION("""COMPUTED_VALUE"""),"Bank of Whitman")</f>
        <v>Bank of Whitman</v>
      </c>
      <c r="B155" s="1" t="str">
        <f>IFERROR(__xludf.DUMMYFUNCTION("""COMPUTED_VALUE"""),"Colfax")</f>
        <v>Colfax</v>
      </c>
      <c r="C155" s="1" t="str">
        <f>IFERROR(__xludf.DUMMYFUNCTION("""COMPUTED_VALUE"""),"WA")</f>
        <v>WA</v>
      </c>
      <c r="D155" s="1">
        <f>IFERROR(__xludf.DUMMYFUNCTION("""COMPUTED_VALUE"""),22528.0)</f>
        <v>22528</v>
      </c>
      <c r="E155" s="1" t="str">
        <f>IFERROR(__xludf.DUMMYFUNCTION("""COMPUTED_VALUE"""),"Columbia State Bank")</f>
        <v>Columbia State Bank</v>
      </c>
      <c r="F155" s="2">
        <f>IFERROR(__xludf.DUMMYFUNCTION("""COMPUTED_VALUE"""),40760.0)</f>
        <v>40760</v>
      </c>
      <c r="G155" s="1">
        <f>IFERROR(__xludf.DUMMYFUNCTION("""COMPUTED_VALUE"""),10387.0)</f>
        <v>10387</v>
      </c>
    </row>
    <row r="156">
      <c r="A156" s="1" t="str">
        <f>IFERROR(__xludf.DUMMYFUNCTION("""COMPUTED_VALUE"""),"Bank of Shorewood")</f>
        <v>Bank of Shorewood</v>
      </c>
      <c r="B156" s="1" t="str">
        <f>IFERROR(__xludf.DUMMYFUNCTION("""COMPUTED_VALUE"""),"Shorewood")</f>
        <v>Shorewood</v>
      </c>
      <c r="C156" s="1" t="str">
        <f>IFERROR(__xludf.DUMMYFUNCTION("""COMPUTED_VALUE"""),"IL")</f>
        <v>IL</v>
      </c>
      <c r="D156" s="1">
        <f>IFERROR(__xludf.DUMMYFUNCTION("""COMPUTED_VALUE"""),22637.0)</f>
        <v>22637</v>
      </c>
      <c r="E156" s="1" t="str">
        <f>IFERROR(__xludf.DUMMYFUNCTION("""COMPUTED_VALUE"""),"Heartland Bank and Trust Company")</f>
        <v>Heartland Bank and Trust Company</v>
      </c>
      <c r="F156" s="2">
        <f>IFERROR(__xludf.DUMMYFUNCTION("""COMPUTED_VALUE"""),40760.0)</f>
        <v>40760</v>
      </c>
      <c r="G156" s="1">
        <f>IFERROR(__xludf.DUMMYFUNCTION("""COMPUTED_VALUE"""),10386.0)</f>
        <v>10386</v>
      </c>
    </row>
    <row r="157">
      <c r="A157" s="1" t="str">
        <f>IFERROR(__xludf.DUMMYFUNCTION("""COMPUTED_VALUE"""),"Integra Bank National Association")</f>
        <v>Integra Bank National Association</v>
      </c>
      <c r="B157" s="1" t="str">
        <f>IFERROR(__xludf.DUMMYFUNCTION("""COMPUTED_VALUE"""),"Evansville")</f>
        <v>Evansville</v>
      </c>
      <c r="C157" s="1" t="str">
        <f>IFERROR(__xludf.DUMMYFUNCTION("""COMPUTED_VALUE"""),"IN")</f>
        <v>IN</v>
      </c>
      <c r="D157" s="1">
        <f>IFERROR(__xludf.DUMMYFUNCTION("""COMPUTED_VALUE"""),4392.0)</f>
        <v>4392</v>
      </c>
      <c r="E157" s="1" t="str">
        <f>IFERROR(__xludf.DUMMYFUNCTION("""COMPUTED_VALUE"""),"Old National Bank")</f>
        <v>Old National Bank</v>
      </c>
      <c r="F157" s="2">
        <f>IFERROR(__xludf.DUMMYFUNCTION("""COMPUTED_VALUE"""),40753.0)</f>
        <v>40753</v>
      </c>
      <c r="G157" s="1">
        <f>IFERROR(__xludf.DUMMYFUNCTION("""COMPUTED_VALUE"""),10384.0)</f>
        <v>10384</v>
      </c>
    </row>
    <row r="158">
      <c r="A158" s="1" t="str">
        <f>IFERROR(__xludf.DUMMYFUNCTION("""COMPUTED_VALUE"""),"BankMeridian, N.A.")</f>
        <v>BankMeridian, N.A.</v>
      </c>
      <c r="B158" s="1" t="str">
        <f>IFERROR(__xludf.DUMMYFUNCTION("""COMPUTED_VALUE"""),"Columbia")</f>
        <v>Columbia</v>
      </c>
      <c r="C158" s="1" t="str">
        <f>IFERROR(__xludf.DUMMYFUNCTION("""COMPUTED_VALUE"""),"SC")</f>
        <v>SC</v>
      </c>
      <c r="D158" s="1">
        <f>IFERROR(__xludf.DUMMYFUNCTION("""COMPUTED_VALUE"""),58222.0)</f>
        <v>58222</v>
      </c>
      <c r="E158" s="1" t="str">
        <f>IFERROR(__xludf.DUMMYFUNCTION("""COMPUTED_VALUE"""),"SCBT National Association")</f>
        <v>SCBT National Association</v>
      </c>
      <c r="F158" s="2">
        <f>IFERROR(__xludf.DUMMYFUNCTION("""COMPUTED_VALUE"""),40753.0)</f>
        <v>40753</v>
      </c>
      <c r="G158" s="1">
        <f>IFERROR(__xludf.DUMMYFUNCTION("""COMPUTED_VALUE"""),10383.0)</f>
        <v>10383</v>
      </c>
    </row>
    <row r="159">
      <c r="A159" s="1" t="str">
        <f>IFERROR(__xludf.DUMMYFUNCTION("""COMPUTED_VALUE"""),"Virginia Business Bank")</f>
        <v>Virginia Business Bank</v>
      </c>
      <c r="B159" s="1" t="str">
        <f>IFERROR(__xludf.DUMMYFUNCTION("""COMPUTED_VALUE"""),"Richmond")</f>
        <v>Richmond</v>
      </c>
      <c r="C159" s="1" t="str">
        <f>IFERROR(__xludf.DUMMYFUNCTION("""COMPUTED_VALUE"""),"VA")</f>
        <v>VA</v>
      </c>
      <c r="D159" s="1">
        <f>IFERROR(__xludf.DUMMYFUNCTION("""COMPUTED_VALUE"""),58283.0)</f>
        <v>58283</v>
      </c>
      <c r="E159" s="1" t="str">
        <f>IFERROR(__xludf.DUMMYFUNCTION("""COMPUTED_VALUE"""),"Xenith Bank")</f>
        <v>Xenith Bank</v>
      </c>
      <c r="F159" s="2">
        <f>IFERROR(__xludf.DUMMYFUNCTION("""COMPUTED_VALUE"""),40753.0)</f>
        <v>40753</v>
      </c>
      <c r="G159" s="1">
        <f>IFERROR(__xludf.DUMMYFUNCTION("""COMPUTED_VALUE"""),10385.0)</f>
        <v>10385</v>
      </c>
    </row>
    <row r="160">
      <c r="A160" s="1" t="str">
        <f>IFERROR(__xludf.DUMMYFUNCTION("""COMPUTED_VALUE"""),"Bank of Choice")</f>
        <v>Bank of Choice</v>
      </c>
      <c r="B160" s="1" t="str">
        <f>IFERROR(__xludf.DUMMYFUNCTION("""COMPUTED_VALUE"""),"Greeley")</f>
        <v>Greeley</v>
      </c>
      <c r="C160" s="1" t="str">
        <f>IFERROR(__xludf.DUMMYFUNCTION("""COMPUTED_VALUE"""),"CO")</f>
        <v>CO</v>
      </c>
      <c r="D160" s="1">
        <f>IFERROR(__xludf.DUMMYFUNCTION("""COMPUTED_VALUE"""),2994.0)</f>
        <v>2994</v>
      </c>
      <c r="E160" s="1" t="str">
        <f>IFERROR(__xludf.DUMMYFUNCTION("""COMPUTED_VALUE"""),"Bank Midwest, N.A.")</f>
        <v>Bank Midwest, N.A.</v>
      </c>
      <c r="F160" s="2">
        <f>IFERROR(__xludf.DUMMYFUNCTION("""COMPUTED_VALUE"""),40746.0)</f>
        <v>40746</v>
      </c>
      <c r="G160" s="1">
        <f>IFERROR(__xludf.DUMMYFUNCTION("""COMPUTED_VALUE"""),10380.0)</f>
        <v>10380</v>
      </c>
    </row>
    <row r="161">
      <c r="A161" s="1" t="str">
        <f>IFERROR(__xludf.DUMMYFUNCTION("""COMPUTED_VALUE"""),"LandMark Bank of Florida")</f>
        <v>LandMark Bank of Florida</v>
      </c>
      <c r="B161" s="1" t="str">
        <f>IFERROR(__xludf.DUMMYFUNCTION("""COMPUTED_VALUE"""),"Sarasota")</f>
        <v>Sarasota</v>
      </c>
      <c r="C161" s="1" t="str">
        <f>IFERROR(__xludf.DUMMYFUNCTION("""COMPUTED_VALUE"""),"FL")</f>
        <v>FL</v>
      </c>
      <c r="D161" s="1">
        <f>IFERROR(__xludf.DUMMYFUNCTION("""COMPUTED_VALUE"""),35244.0)</f>
        <v>35244</v>
      </c>
      <c r="E161" s="1" t="str">
        <f>IFERROR(__xludf.DUMMYFUNCTION("""COMPUTED_VALUE"""),"American Momentum Bank")</f>
        <v>American Momentum Bank</v>
      </c>
      <c r="F161" s="2">
        <f>IFERROR(__xludf.DUMMYFUNCTION("""COMPUTED_VALUE"""),40746.0)</f>
        <v>40746</v>
      </c>
      <c r="G161" s="1">
        <f>IFERROR(__xludf.DUMMYFUNCTION("""COMPUTED_VALUE"""),10381.0)</f>
        <v>10381</v>
      </c>
    </row>
    <row r="162">
      <c r="A162" s="1" t="str">
        <f>IFERROR(__xludf.DUMMYFUNCTION("""COMPUTED_VALUE"""),"Southshore Community Bank")</f>
        <v>Southshore Community Bank</v>
      </c>
      <c r="B162" s="1" t="str">
        <f>IFERROR(__xludf.DUMMYFUNCTION("""COMPUTED_VALUE"""),"Apollo Beach")</f>
        <v>Apollo Beach</v>
      </c>
      <c r="C162" s="1" t="str">
        <f>IFERROR(__xludf.DUMMYFUNCTION("""COMPUTED_VALUE"""),"FL")</f>
        <v>FL</v>
      </c>
      <c r="D162" s="1">
        <f>IFERROR(__xludf.DUMMYFUNCTION("""COMPUTED_VALUE"""),58056.0)</f>
        <v>58056</v>
      </c>
      <c r="E162" s="1" t="str">
        <f>IFERROR(__xludf.DUMMYFUNCTION("""COMPUTED_VALUE"""),"American Momentum Bank")</f>
        <v>American Momentum Bank</v>
      </c>
      <c r="F162" s="2">
        <f>IFERROR(__xludf.DUMMYFUNCTION("""COMPUTED_VALUE"""),40746.0)</f>
        <v>40746</v>
      </c>
      <c r="G162" s="1">
        <f>IFERROR(__xludf.DUMMYFUNCTION("""COMPUTED_VALUE"""),10382.0)</f>
        <v>10382</v>
      </c>
    </row>
    <row r="163">
      <c r="A163" s="1" t="str">
        <f>IFERROR(__xludf.DUMMYFUNCTION("""COMPUTED_VALUE"""),"Summit Bank")</f>
        <v>Summit Bank</v>
      </c>
      <c r="B163" s="1" t="str">
        <f>IFERROR(__xludf.DUMMYFUNCTION("""COMPUTED_VALUE"""),"Prescott")</f>
        <v>Prescott</v>
      </c>
      <c r="C163" s="1" t="str">
        <f>IFERROR(__xludf.DUMMYFUNCTION("""COMPUTED_VALUE"""),"AZ")</f>
        <v>AZ</v>
      </c>
      <c r="D163" s="1">
        <f>IFERROR(__xludf.DUMMYFUNCTION("""COMPUTED_VALUE"""),57442.0)</f>
        <v>57442</v>
      </c>
      <c r="E163" s="1" t="str">
        <f>IFERROR(__xludf.DUMMYFUNCTION("""COMPUTED_VALUE"""),"The Foothills Bank")</f>
        <v>The Foothills Bank</v>
      </c>
      <c r="F163" s="2">
        <f>IFERROR(__xludf.DUMMYFUNCTION("""COMPUTED_VALUE"""),40739.0)</f>
        <v>40739</v>
      </c>
      <c r="G163" s="1">
        <f>IFERROR(__xludf.DUMMYFUNCTION("""COMPUTED_VALUE"""),10379.0)</f>
        <v>10379</v>
      </c>
    </row>
    <row r="164">
      <c r="A164" s="1" t="str">
        <f>IFERROR(__xludf.DUMMYFUNCTION("""COMPUTED_VALUE"""),"First Peoples Bank")</f>
        <v>First Peoples Bank</v>
      </c>
      <c r="B164" s="1" t="str">
        <f>IFERROR(__xludf.DUMMYFUNCTION("""COMPUTED_VALUE"""),"Port St. Lucie")</f>
        <v>Port St. Lucie</v>
      </c>
      <c r="C164" s="1" t="str">
        <f>IFERROR(__xludf.DUMMYFUNCTION("""COMPUTED_VALUE"""),"FL")</f>
        <v>FL</v>
      </c>
      <c r="D164" s="1">
        <f>IFERROR(__xludf.DUMMYFUNCTION("""COMPUTED_VALUE"""),34870.0)</f>
        <v>34870</v>
      </c>
      <c r="E164" s="1" t="str">
        <f>IFERROR(__xludf.DUMMYFUNCTION("""COMPUTED_VALUE"""),"Premier American Bank, N.A.")</f>
        <v>Premier American Bank, N.A.</v>
      </c>
      <c r="F164" s="2">
        <f>IFERROR(__xludf.DUMMYFUNCTION("""COMPUTED_VALUE"""),40739.0)</f>
        <v>40739</v>
      </c>
      <c r="G164" s="1">
        <f>IFERROR(__xludf.DUMMYFUNCTION("""COMPUTED_VALUE"""),10376.0)</f>
        <v>10376</v>
      </c>
    </row>
    <row r="165">
      <c r="A165" s="1" t="str">
        <f>IFERROR(__xludf.DUMMYFUNCTION("""COMPUTED_VALUE"""),"High Trust Bank")</f>
        <v>High Trust Bank</v>
      </c>
      <c r="B165" s="1" t="str">
        <f>IFERROR(__xludf.DUMMYFUNCTION("""COMPUTED_VALUE"""),"Stockbridge")</f>
        <v>Stockbridge</v>
      </c>
      <c r="C165" s="1" t="str">
        <f>IFERROR(__xludf.DUMMYFUNCTION("""COMPUTED_VALUE"""),"GA")</f>
        <v>GA</v>
      </c>
      <c r="D165" s="1">
        <f>IFERROR(__xludf.DUMMYFUNCTION("""COMPUTED_VALUE"""),19554.0)</f>
        <v>19554</v>
      </c>
      <c r="E165" s="1" t="str">
        <f>IFERROR(__xludf.DUMMYFUNCTION("""COMPUTED_VALUE"""),"Ameris Bank")</f>
        <v>Ameris Bank</v>
      </c>
      <c r="F165" s="2">
        <f>IFERROR(__xludf.DUMMYFUNCTION("""COMPUTED_VALUE"""),40739.0)</f>
        <v>40739</v>
      </c>
      <c r="G165" s="1">
        <f>IFERROR(__xludf.DUMMYFUNCTION("""COMPUTED_VALUE"""),10377.0)</f>
        <v>10377</v>
      </c>
    </row>
    <row r="166">
      <c r="A166" s="1" t="str">
        <f>IFERROR(__xludf.DUMMYFUNCTION("""COMPUTED_VALUE"""),"One Georgia Bank")</f>
        <v>One Georgia Bank</v>
      </c>
      <c r="B166" s="1" t="str">
        <f>IFERROR(__xludf.DUMMYFUNCTION("""COMPUTED_VALUE"""),"Atlanta")</f>
        <v>Atlanta</v>
      </c>
      <c r="C166" s="1" t="str">
        <f>IFERROR(__xludf.DUMMYFUNCTION("""COMPUTED_VALUE"""),"GA")</f>
        <v>GA</v>
      </c>
      <c r="D166" s="1">
        <f>IFERROR(__xludf.DUMMYFUNCTION("""COMPUTED_VALUE"""),58238.0)</f>
        <v>58238</v>
      </c>
      <c r="E166" s="1" t="str">
        <f>IFERROR(__xludf.DUMMYFUNCTION("""COMPUTED_VALUE"""),"Ameris Bank")</f>
        <v>Ameris Bank</v>
      </c>
      <c r="F166" s="2">
        <f>IFERROR(__xludf.DUMMYFUNCTION("""COMPUTED_VALUE"""),40739.0)</f>
        <v>40739</v>
      </c>
      <c r="G166" s="1">
        <f>IFERROR(__xludf.DUMMYFUNCTION("""COMPUTED_VALUE"""),10378.0)</f>
        <v>10378</v>
      </c>
    </row>
    <row r="167">
      <c r="A167" s="1" t="str">
        <f>IFERROR(__xludf.DUMMYFUNCTION("""COMPUTED_VALUE"""),"Signature Bank")</f>
        <v>Signature Bank</v>
      </c>
      <c r="B167" s="1" t="str">
        <f>IFERROR(__xludf.DUMMYFUNCTION("""COMPUTED_VALUE"""),"Windsor")</f>
        <v>Windsor</v>
      </c>
      <c r="C167" s="1" t="str">
        <f>IFERROR(__xludf.DUMMYFUNCTION("""COMPUTED_VALUE"""),"CO")</f>
        <v>CO</v>
      </c>
      <c r="D167" s="1">
        <f>IFERROR(__xludf.DUMMYFUNCTION("""COMPUTED_VALUE"""),57835.0)</f>
        <v>57835</v>
      </c>
      <c r="E167" s="1" t="str">
        <f>IFERROR(__xludf.DUMMYFUNCTION("""COMPUTED_VALUE"""),"Points West Community Bank")</f>
        <v>Points West Community Bank</v>
      </c>
      <c r="F167" s="2">
        <f>IFERROR(__xludf.DUMMYFUNCTION("""COMPUTED_VALUE"""),40732.0)</f>
        <v>40732</v>
      </c>
      <c r="G167" s="1">
        <f>IFERROR(__xludf.DUMMYFUNCTION("""COMPUTED_VALUE"""),10375.0)</f>
        <v>10375</v>
      </c>
    </row>
    <row r="168">
      <c r="A168" s="1" t="str">
        <f>IFERROR(__xludf.DUMMYFUNCTION("""COMPUTED_VALUE"""),"Colorado Capital Bank")</f>
        <v>Colorado Capital Bank</v>
      </c>
      <c r="B168" s="1" t="str">
        <f>IFERROR(__xludf.DUMMYFUNCTION("""COMPUTED_VALUE"""),"Castle Rock")</f>
        <v>Castle Rock</v>
      </c>
      <c r="C168" s="1" t="str">
        <f>IFERROR(__xludf.DUMMYFUNCTION("""COMPUTED_VALUE"""),"CO")</f>
        <v>CO</v>
      </c>
      <c r="D168" s="1">
        <f>IFERROR(__xludf.DUMMYFUNCTION("""COMPUTED_VALUE"""),34522.0)</f>
        <v>34522</v>
      </c>
      <c r="E168" s="1" t="str">
        <f>IFERROR(__xludf.DUMMYFUNCTION("""COMPUTED_VALUE"""),"First-Citizens Bank &amp; Trust Company")</f>
        <v>First-Citizens Bank &amp; Trust Company</v>
      </c>
      <c r="F168" s="2">
        <f>IFERROR(__xludf.DUMMYFUNCTION("""COMPUTED_VALUE"""),40732.0)</f>
        <v>40732</v>
      </c>
      <c r="G168" s="1">
        <f>IFERROR(__xludf.DUMMYFUNCTION("""COMPUTED_VALUE"""),10373.0)</f>
        <v>10373</v>
      </c>
    </row>
    <row r="169">
      <c r="A169" s="1" t="str">
        <f>IFERROR(__xludf.DUMMYFUNCTION("""COMPUTED_VALUE"""),"First Chicago Bank &amp; Trust")</f>
        <v>First Chicago Bank &amp; Trust</v>
      </c>
      <c r="B169" s="1" t="str">
        <f>IFERROR(__xludf.DUMMYFUNCTION("""COMPUTED_VALUE"""),"Chicago")</f>
        <v>Chicago</v>
      </c>
      <c r="C169" s="1" t="str">
        <f>IFERROR(__xludf.DUMMYFUNCTION("""COMPUTED_VALUE"""),"IL")</f>
        <v>IL</v>
      </c>
      <c r="D169" s="1">
        <f>IFERROR(__xludf.DUMMYFUNCTION("""COMPUTED_VALUE"""),27935.0)</f>
        <v>27935</v>
      </c>
      <c r="E169" s="1" t="str">
        <f>IFERROR(__xludf.DUMMYFUNCTION("""COMPUTED_VALUE"""),"Northbrook Bank &amp; Trust Company")</f>
        <v>Northbrook Bank &amp; Trust Company</v>
      </c>
      <c r="F169" s="2">
        <f>IFERROR(__xludf.DUMMYFUNCTION("""COMPUTED_VALUE"""),40732.0)</f>
        <v>40732</v>
      </c>
      <c r="G169" s="1">
        <f>IFERROR(__xludf.DUMMYFUNCTION("""COMPUTED_VALUE"""),10374.0)</f>
        <v>10374</v>
      </c>
    </row>
    <row r="170">
      <c r="A170" s="1" t="str">
        <f>IFERROR(__xludf.DUMMYFUNCTION("""COMPUTED_VALUE"""),"Mountain Heritage Bank")</f>
        <v>Mountain Heritage Bank</v>
      </c>
      <c r="B170" s="1" t="str">
        <f>IFERROR(__xludf.DUMMYFUNCTION("""COMPUTED_VALUE"""),"Clayton")</f>
        <v>Clayton</v>
      </c>
      <c r="C170" s="1" t="str">
        <f>IFERROR(__xludf.DUMMYFUNCTION("""COMPUTED_VALUE"""),"GA")</f>
        <v>GA</v>
      </c>
      <c r="D170" s="1">
        <f>IFERROR(__xludf.DUMMYFUNCTION("""COMPUTED_VALUE"""),57593.0)</f>
        <v>57593</v>
      </c>
      <c r="E170" s="1" t="str">
        <f>IFERROR(__xludf.DUMMYFUNCTION("""COMPUTED_VALUE"""),"First American Bank and Trust Company")</f>
        <v>First American Bank and Trust Company</v>
      </c>
      <c r="F170" s="2">
        <f>IFERROR(__xludf.DUMMYFUNCTION("""COMPUTED_VALUE"""),40718.0)</f>
        <v>40718</v>
      </c>
      <c r="G170" s="1">
        <f>IFERROR(__xludf.DUMMYFUNCTION("""COMPUTED_VALUE"""),10372.0)</f>
        <v>10372</v>
      </c>
    </row>
    <row r="171">
      <c r="A171" s="1" t="str">
        <f>IFERROR(__xludf.DUMMYFUNCTION("""COMPUTED_VALUE"""),"First Commercial Bank of Tampa Bay")</f>
        <v>First Commercial Bank of Tampa Bay</v>
      </c>
      <c r="B171" s="1" t="str">
        <f>IFERROR(__xludf.DUMMYFUNCTION("""COMPUTED_VALUE"""),"Tampa")</f>
        <v>Tampa</v>
      </c>
      <c r="C171" s="1" t="str">
        <f>IFERROR(__xludf.DUMMYFUNCTION("""COMPUTED_VALUE"""),"FL")</f>
        <v>FL</v>
      </c>
      <c r="D171" s="1">
        <f>IFERROR(__xludf.DUMMYFUNCTION("""COMPUTED_VALUE"""),27583.0)</f>
        <v>27583</v>
      </c>
      <c r="E171" s="1" t="str">
        <f>IFERROR(__xludf.DUMMYFUNCTION("""COMPUTED_VALUE"""),"Stonegate Bank")</f>
        <v>Stonegate Bank</v>
      </c>
      <c r="F171" s="2">
        <f>IFERROR(__xludf.DUMMYFUNCTION("""COMPUTED_VALUE"""),40711.0)</f>
        <v>40711</v>
      </c>
      <c r="G171" s="1">
        <f>IFERROR(__xludf.DUMMYFUNCTION("""COMPUTED_VALUE"""),10370.0)</f>
        <v>10370</v>
      </c>
    </row>
    <row r="172">
      <c r="A172" s="1" t="str">
        <f>IFERROR(__xludf.DUMMYFUNCTION("""COMPUTED_VALUE"""),"McIntosh State Bank")</f>
        <v>McIntosh State Bank</v>
      </c>
      <c r="B172" s="1" t="str">
        <f>IFERROR(__xludf.DUMMYFUNCTION("""COMPUTED_VALUE"""),"Jackson")</f>
        <v>Jackson</v>
      </c>
      <c r="C172" s="1" t="str">
        <f>IFERROR(__xludf.DUMMYFUNCTION("""COMPUTED_VALUE"""),"GA")</f>
        <v>GA</v>
      </c>
      <c r="D172" s="1">
        <f>IFERROR(__xludf.DUMMYFUNCTION("""COMPUTED_VALUE"""),19237.0)</f>
        <v>19237</v>
      </c>
      <c r="E172" s="1" t="str">
        <f>IFERROR(__xludf.DUMMYFUNCTION("""COMPUTED_VALUE"""),"Hamilton State Bank")</f>
        <v>Hamilton State Bank</v>
      </c>
      <c r="F172" s="2">
        <f>IFERROR(__xludf.DUMMYFUNCTION("""COMPUTED_VALUE"""),40711.0)</f>
        <v>40711</v>
      </c>
      <c r="G172" s="1">
        <f>IFERROR(__xludf.DUMMYFUNCTION("""COMPUTED_VALUE"""),10371.0)</f>
        <v>10371</v>
      </c>
    </row>
    <row r="173">
      <c r="A173" s="1" t="str">
        <f>IFERROR(__xludf.DUMMYFUNCTION("""COMPUTED_VALUE"""),"Atlantic Bank and Trust")</f>
        <v>Atlantic Bank and Trust</v>
      </c>
      <c r="B173" s="1" t="str">
        <f>IFERROR(__xludf.DUMMYFUNCTION("""COMPUTED_VALUE"""),"Charleston")</f>
        <v>Charleston</v>
      </c>
      <c r="C173" s="1" t="str">
        <f>IFERROR(__xludf.DUMMYFUNCTION("""COMPUTED_VALUE"""),"SC")</f>
        <v>SC</v>
      </c>
      <c r="D173" s="1">
        <f>IFERROR(__xludf.DUMMYFUNCTION("""COMPUTED_VALUE"""),58420.0)</f>
        <v>58420</v>
      </c>
      <c r="E173" s="1" t="str">
        <f>IFERROR(__xludf.DUMMYFUNCTION("""COMPUTED_VALUE"""),"First Citizens Bank and Trust Company, Inc.")</f>
        <v>First Citizens Bank and Trust Company, Inc.</v>
      </c>
      <c r="F173" s="2">
        <f>IFERROR(__xludf.DUMMYFUNCTION("""COMPUTED_VALUE"""),40697.0)</f>
        <v>40697</v>
      </c>
      <c r="G173" s="1">
        <f>IFERROR(__xludf.DUMMYFUNCTION("""COMPUTED_VALUE"""),10369.0)</f>
        <v>10369</v>
      </c>
    </row>
    <row r="174">
      <c r="A174" s="1" t="str">
        <f>IFERROR(__xludf.DUMMYFUNCTION("""COMPUTED_VALUE"""),"First Heritage Bank")</f>
        <v>First Heritage Bank</v>
      </c>
      <c r="B174" s="1" t="str">
        <f>IFERROR(__xludf.DUMMYFUNCTION("""COMPUTED_VALUE"""),"Snohomish")</f>
        <v>Snohomish</v>
      </c>
      <c r="C174" s="1" t="str">
        <f>IFERROR(__xludf.DUMMYFUNCTION("""COMPUTED_VALUE"""),"WA")</f>
        <v>WA</v>
      </c>
      <c r="D174" s="1">
        <f>IFERROR(__xludf.DUMMYFUNCTION("""COMPUTED_VALUE"""),23626.0)</f>
        <v>23626</v>
      </c>
      <c r="E174" s="1" t="str">
        <f>IFERROR(__xludf.DUMMYFUNCTION("""COMPUTED_VALUE"""),"Columbia State Bank")</f>
        <v>Columbia State Bank</v>
      </c>
      <c r="F174" s="2">
        <f>IFERROR(__xludf.DUMMYFUNCTION("""COMPUTED_VALUE"""),40690.0)</f>
        <v>40690</v>
      </c>
      <c r="G174" s="1">
        <f>IFERROR(__xludf.DUMMYFUNCTION("""COMPUTED_VALUE"""),10368.0)</f>
        <v>10368</v>
      </c>
    </row>
    <row r="175">
      <c r="A175" s="1" t="str">
        <f>IFERROR(__xludf.DUMMYFUNCTION("""COMPUTED_VALUE"""),"Summit Bank")</f>
        <v>Summit Bank</v>
      </c>
      <c r="B175" s="1" t="str">
        <f>IFERROR(__xludf.DUMMYFUNCTION("""COMPUTED_VALUE"""),"Burlington")</f>
        <v>Burlington</v>
      </c>
      <c r="C175" s="1" t="str">
        <f>IFERROR(__xludf.DUMMYFUNCTION("""COMPUTED_VALUE"""),"WA")</f>
        <v>WA</v>
      </c>
      <c r="D175" s="1">
        <f>IFERROR(__xludf.DUMMYFUNCTION("""COMPUTED_VALUE"""),513.0)</f>
        <v>513</v>
      </c>
      <c r="E175" s="1" t="str">
        <f>IFERROR(__xludf.DUMMYFUNCTION("""COMPUTED_VALUE"""),"Columbia State Bank")</f>
        <v>Columbia State Bank</v>
      </c>
      <c r="F175" s="2">
        <f>IFERROR(__xludf.DUMMYFUNCTION("""COMPUTED_VALUE"""),40683.0)</f>
        <v>40683</v>
      </c>
      <c r="G175" s="1">
        <f>IFERROR(__xludf.DUMMYFUNCTION("""COMPUTED_VALUE"""),10367.0)</f>
        <v>10367</v>
      </c>
    </row>
    <row r="176">
      <c r="A176" s="1" t="str">
        <f>IFERROR(__xludf.DUMMYFUNCTION("""COMPUTED_VALUE"""),"First Georgia Banking Company")</f>
        <v>First Georgia Banking Company</v>
      </c>
      <c r="B176" s="1" t="str">
        <f>IFERROR(__xludf.DUMMYFUNCTION("""COMPUTED_VALUE"""),"Franklin")</f>
        <v>Franklin</v>
      </c>
      <c r="C176" s="1" t="str">
        <f>IFERROR(__xludf.DUMMYFUNCTION("""COMPUTED_VALUE"""),"GA")</f>
        <v>GA</v>
      </c>
      <c r="D176" s="1">
        <f>IFERROR(__xludf.DUMMYFUNCTION("""COMPUTED_VALUE"""),57647.0)</f>
        <v>57647</v>
      </c>
      <c r="E176" s="1" t="str">
        <f>IFERROR(__xludf.DUMMYFUNCTION("""COMPUTED_VALUE"""),"CertusBank, National Association")</f>
        <v>CertusBank, National Association</v>
      </c>
      <c r="F176" s="2">
        <f>IFERROR(__xludf.DUMMYFUNCTION("""COMPUTED_VALUE"""),40683.0)</f>
        <v>40683</v>
      </c>
      <c r="G176" s="1">
        <f>IFERROR(__xludf.DUMMYFUNCTION("""COMPUTED_VALUE"""),10366.0)</f>
        <v>10366</v>
      </c>
    </row>
    <row r="177">
      <c r="A177" s="1" t="str">
        <f>IFERROR(__xludf.DUMMYFUNCTION("""COMPUTED_VALUE"""),"Atlantic Southern Bank")</f>
        <v>Atlantic Southern Bank</v>
      </c>
      <c r="B177" s="1" t="str">
        <f>IFERROR(__xludf.DUMMYFUNCTION("""COMPUTED_VALUE"""),"Macon")</f>
        <v>Macon</v>
      </c>
      <c r="C177" s="1" t="str">
        <f>IFERROR(__xludf.DUMMYFUNCTION("""COMPUTED_VALUE"""),"GA")</f>
        <v>GA</v>
      </c>
      <c r="D177" s="1">
        <f>IFERROR(__xludf.DUMMYFUNCTION("""COMPUTED_VALUE"""),57213.0)</f>
        <v>57213</v>
      </c>
      <c r="E177" s="1" t="str">
        <f>IFERROR(__xludf.DUMMYFUNCTION("""COMPUTED_VALUE"""),"CertusBank, National Association")</f>
        <v>CertusBank, National Association</v>
      </c>
      <c r="F177" s="2">
        <f>IFERROR(__xludf.DUMMYFUNCTION("""COMPUTED_VALUE"""),40683.0)</f>
        <v>40683</v>
      </c>
      <c r="G177" s="1">
        <f>IFERROR(__xludf.DUMMYFUNCTION("""COMPUTED_VALUE"""),10365.0)</f>
        <v>10365</v>
      </c>
    </row>
    <row r="178">
      <c r="A178" s="1" t="str">
        <f>IFERROR(__xludf.DUMMYFUNCTION("""COMPUTED_VALUE"""),"Coastal Bank")</f>
        <v>Coastal Bank</v>
      </c>
      <c r="B178" s="1" t="str">
        <f>IFERROR(__xludf.DUMMYFUNCTION("""COMPUTED_VALUE"""),"Cocoa Beach")</f>
        <v>Cocoa Beach</v>
      </c>
      <c r="C178" s="1" t="str">
        <f>IFERROR(__xludf.DUMMYFUNCTION("""COMPUTED_VALUE"""),"FL")</f>
        <v>FL</v>
      </c>
      <c r="D178" s="1">
        <f>IFERROR(__xludf.DUMMYFUNCTION("""COMPUTED_VALUE"""),34898.0)</f>
        <v>34898</v>
      </c>
      <c r="E178" s="1" t="str">
        <f>IFERROR(__xludf.DUMMYFUNCTION("""COMPUTED_VALUE"""),"Florida Community Bank, a division of Premier American Bank, N.A.")</f>
        <v>Florida Community Bank, a division of Premier American Bank, N.A.</v>
      </c>
      <c r="F178" s="2">
        <f>IFERROR(__xludf.DUMMYFUNCTION("""COMPUTED_VALUE"""),40669.0)</f>
        <v>40669</v>
      </c>
      <c r="G178" s="1">
        <f>IFERROR(__xludf.DUMMYFUNCTION("""COMPUTED_VALUE"""),10364.0)</f>
        <v>10364</v>
      </c>
    </row>
    <row r="179">
      <c r="A179" s="1" t="str">
        <f>IFERROR(__xludf.DUMMYFUNCTION("""COMPUTED_VALUE"""),"Community Central Bank")</f>
        <v>Community Central Bank</v>
      </c>
      <c r="B179" s="1" t="str">
        <f>IFERROR(__xludf.DUMMYFUNCTION("""COMPUTED_VALUE"""),"Mount Clemens")</f>
        <v>Mount Clemens</v>
      </c>
      <c r="C179" s="1" t="str">
        <f>IFERROR(__xludf.DUMMYFUNCTION("""COMPUTED_VALUE"""),"MI")</f>
        <v>MI</v>
      </c>
      <c r="D179" s="1">
        <f>IFERROR(__xludf.DUMMYFUNCTION("""COMPUTED_VALUE"""),34234.0)</f>
        <v>34234</v>
      </c>
      <c r="E179" s="1" t="str">
        <f>IFERROR(__xludf.DUMMYFUNCTION("""COMPUTED_VALUE"""),"Talmer Bank &amp; Trust")</f>
        <v>Talmer Bank &amp; Trust</v>
      </c>
      <c r="F179" s="2">
        <f>IFERROR(__xludf.DUMMYFUNCTION("""COMPUTED_VALUE"""),40662.0)</f>
        <v>40662</v>
      </c>
      <c r="G179" s="1">
        <f>IFERROR(__xludf.DUMMYFUNCTION("""COMPUTED_VALUE"""),10359.0)</f>
        <v>10359</v>
      </c>
    </row>
    <row r="180">
      <c r="A180" s="1" t="str">
        <f>IFERROR(__xludf.DUMMYFUNCTION("""COMPUTED_VALUE"""),"The Park Avenue Bank")</f>
        <v>The Park Avenue Bank</v>
      </c>
      <c r="B180" s="1" t="str">
        <f>IFERROR(__xludf.DUMMYFUNCTION("""COMPUTED_VALUE"""),"Valdosta")</f>
        <v>Valdosta</v>
      </c>
      <c r="C180" s="1" t="str">
        <f>IFERROR(__xludf.DUMMYFUNCTION("""COMPUTED_VALUE"""),"GA")</f>
        <v>GA</v>
      </c>
      <c r="D180" s="1">
        <f>IFERROR(__xludf.DUMMYFUNCTION("""COMPUTED_VALUE"""),19797.0)</f>
        <v>19797</v>
      </c>
      <c r="E180" s="1" t="str">
        <f>IFERROR(__xludf.DUMMYFUNCTION("""COMPUTED_VALUE"""),"Bank of the Ozarks")</f>
        <v>Bank of the Ozarks</v>
      </c>
      <c r="F180" s="2">
        <f>IFERROR(__xludf.DUMMYFUNCTION("""COMPUTED_VALUE"""),40662.0)</f>
        <v>40662</v>
      </c>
      <c r="G180" s="1">
        <f>IFERROR(__xludf.DUMMYFUNCTION("""COMPUTED_VALUE"""),10363.0)</f>
        <v>10363</v>
      </c>
    </row>
    <row r="181">
      <c r="A181" s="1" t="str">
        <f>IFERROR(__xludf.DUMMYFUNCTION("""COMPUTED_VALUE"""),"First Choice Community Bank")</f>
        <v>First Choice Community Bank</v>
      </c>
      <c r="B181" s="1" t="str">
        <f>IFERROR(__xludf.DUMMYFUNCTION("""COMPUTED_VALUE"""),"Dallas")</f>
        <v>Dallas</v>
      </c>
      <c r="C181" s="1" t="str">
        <f>IFERROR(__xludf.DUMMYFUNCTION("""COMPUTED_VALUE"""),"GA")</f>
        <v>GA</v>
      </c>
      <c r="D181" s="1">
        <f>IFERROR(__xludf.DUMMYFUNCTION("""COMPUTED_VALUE"""),58539.0)</f>
        <v>58539</v>
      </c>
      <c r="E181" s="1" t="str">
        <f>IFERROR(__xludf.DUMMYFUNCTION("""COMPUTED_VALUE"""),"Bank of the Ozarks")</f>
        <v>Bank of the Ozarks</v>
      </c>
      <c r="F181" s="2">
        <f>IFERROR(__xludf.DUMMYFUNCTION("""COMPUTED_VALUE"""),40662.0)</f>
        <v>40662</v>
      </c>
      <c r="G181" s="1">
        <f>IFERROR(__xludf.DUMMYFUNCTION("""COMPUTED_VALUE"""),10361.0)</f>
        <v>10361</v>
      </c>
    </row>
    <row r="182">
      <c r="A182" s="1" t="str">
        <f>IFERROR(__xludf.DUMMYFUNCTION("""COMPUTED_VALUE"""),"Cortez Community Bank")</f>
        <v>Cortez Community Bank</v>
      </c>
      <c r="B182" s="1" t="str">
        <f>IFERROR(__xludf.DUMMYFUNCTION("""COMPUTED_VALUE"""),"Brooksville")</f>
        <v>Brooksville</v>
      </c>
      <c r="C182" s="1" t="str">
        <f>IFERROR(__xludf.DUMMYFUNCTION("""COMPUTED_VALUE"""),"FL")</f>
        <v>FL</v>
      </c>
      <c r="D182" s="1">
        <f>IFERROR(__xludf.DUMMYFUNCTION("""COMPUTED_VALUE"""),57625.0)</f>
        <v>57625</v>
      </c>
      <c r="E182" s="1" t="str">
        <f>IFERROR(__xludf.DUMMYFUNCTION("""COMPUTED_VALUE"""),"Florida Community Bank, a division of Premier American Bank, N.A.")</f>
        <v>Florida Community Bank, a division of Premier American Bank, N.A.</v>
      </c>
      <c r="F182" s="2">
        <f>IFERROR(__xludf.DUMMYFUNCTION("""COMPUTED_VALUE"""),40662.0)</f>
        <v>40662</v>
      </c>
      <c r="G182" s="1">
        <f>IFERROR(__xludf.DUMMYFUNCTION("""COMPUTED_VALUE"""),10360.0)</f>
        <v>10360</v>
      </c>
    </row>
    <row r="183">
      <c r="A183" s="1" t="str">
        <f>IFERROR(__xludf.DUMMYFUNCTION("""COMPUTED_VALUE"""),"First National Bank of Central Florida")</f>
        <v>First National Bank of Central Florida</v>
      </c>
      <c r="B183" s="1" t="str">
        <f>IFERROR(__xludf.DUMMYFUNCTION("""COMPUTED_VALUE"""),"Winter Park")</f>
        <v>Winter Park</v>
      </c>
      <c r="C183" s="1" t="str">
        <f>IFERROR(__xludf.DUMMYFUNCTION("""COMPUTED_VALUE"""),"FL")</f>
        <v>FL</v>
      </c>
      <c r="D183" s="1">
        <f>IFERROR(__xludf.DUMMYFUNCTION("""COMPUTED_VALUE"""),26297.0)</f>
        <v>26297</v>
      </c>
      <c r="E183" s="1" t="str">
        <f>IFERROR(__xludf.DUMMYFUNCTION("""COMPUTED_VALUE"""),"Florida Community Bank, a division of Premier American Bank, N.A.")</f>
        <v>Florida Community Bank, a division of Premier American Bank, N.A.</v>
      </c>
      <c r="F183" s="2">
        <f>IFERROR(__xludf.DUMMYFUNCTION("""COMPUTED_VALUE"""),40662.0)</f>
        <v>40662</v>
      </c>
      <c r="G183" s="1">
        <f>IFERROR(__xludf.DUMMYFUNCTION("""COMPUTED_VALUE"""),10362.0)</f>
        <v>10362</v>
      </c>
    </row>
    <row r="184">
      <c r="A184" s="1" t="str">
        <f>IFERROR(__xludf.DUMMYFUNCTION("""COMPUTED_VALUE"""),"Heritage Banking Group")</f>
        <v>Heritage Banking Group</v>
      </c>
      <c r="B184" s="1" t="str">
        <f>IFERROR(__xludf.DUMMYFUNCTION("""COMPUTED_VALUE"""),"Carthage")</f>
        <v>Carthage</v>
      </c>
      <c r="C184" s="1" t="str">
        <f>IFERROR(__xludf.DUMMYFUNCTION("""COMPUTED_VALUE"""),"MS")</f>
        <v>MS</v>
      </c>
      <c r="D184" s="1">
        <f>IFERROR(__xludf.DUMMYFUNCTION("""COMPUTED_VALUE"""),14273.0)</f>
        <v>14273</v>
      </c>
      <c r="E184" s="1" t="str">
        <f>IFERROR(__xludf.DUMMYFUNCTION("""COMPUTED_VALUE"""),"Trustmark National Bank")</f>
        <v>Trustmark National Bank</v>
      </c>
      <c r="F184" s="2">
        <f>IFERROR(__xludf.DUMMYFUNCTION("""COMPUTED_VALUE"""),40648.0)</f>
        <v>40648</v>
      </c>
      <c r="G184" s="1">
        <f>IFERROR(__xludf.DUMMYFUNCTION("""COMPUTED_VALUE"""),10354.0)</f>
        <v>10354</v>
      </c>
    </row>
    <row r="185">
      <c r="A185" s="1" t="str">
        <f>IFERROR(__xludf.DUMMYFUNCTION("""COMPUTED_VALUE"""),"Rosemount National Bank")</f>
        <v>Rosemount National Bank</v>
      </c>
      <c r="B185" s="1" t="str">
        <f>IFERROR(__xludf.DUMMYFUNCTION("""COMPUTED_VALUE"""),"Rosemount")</f>
        <v>Rosemount</v>
      </c>
      <c r="C185" s="1" t="str">
        <f>IFERROR(__xludf.DUMMYFUNCTION("""COMPUTED_VALUE"""),"MN")</f>
        <v>MN</v>
      </c>
      <c r="D185" s="1">
        <f>IFERROR(__xludf.DUMMYFUNCTION("""COMPUTED_VALUE"""),24099.0)</f>
        <v>24099</v>
      </c>
      <c r="E185" s="1" t="str">
        <f>IFERROR(__xludf.DUMMYFUNCTION("""COMPUTED_VALUE"""),"Central Bank")</f>
        <v>Central Bank</v>
      </c>
      <c r="F185" s="2">
        <f>IFERROR(__xludf.DUMMYFUNCTION("""COMPUTED_VALUE"""),40648.0)</f>
        <v>40648</v>
      </c>
      <c r="G185" s="1">
        <f>IFERROR(__xludf.DUMMYFUNCTION("""COMPUTED_VALUE"""),10357.0)</f>
        <v>10357</v>
      </c>
    </row>
    <row r="186">
      <c r="A186" s="1" t="str">
        <f>IFERROR(__xludf.DUMMYFUNCTION("""COMPUTED_VALUE"""),"Superior Bank")</f>
        <v>Superior Bank</v>
      </c>
      <c r="B186" s="1" t="str">
        <f>IFERROR(__xludf.DUMMYFUNCTION("""COMPUTED_VALUE"""),"Birmingham")</f>
        <v>Birmingham</v>
      </c>
      <c r="C186" s="1" t="str">
        <f>IFERROR(__xludf.DUMMYFUNCTION("""COMPUTED_VALUE"""),"AL")</f>
        <v>AL</v>
      </c>
      <c r="D186" s="1">
        <f>IFERROR(__xludf.DUMMYFUNCTION("""COMPUTED_VALUE"""),17750.0)</f>
        <v>17750</v>
      </c>
      <c r="E186" s="1" t="str">
        <f>IFERROR(__xludf.DUMMYFUNCTION("""COMPUTED_VALUE"""),"Superior Bank, National Association")</f>
        <v>Superior Bank, National Association</v>
      </c>
      <c r="F186" s="2">
        <f>IFERROR(__xludf.DUMMYFUNCTION("""COMPUTED_VALUE"""),40648.0)</f>
        <v>40648</v>
      </c>
      <c r="G186" s="1">
        <f>IFERROR(__xludf.DUMMYFUNCTION("""COMPUTED_VALUE"""),10358.0)</f>
        <v>10358</v>
      </c>
    </row>
    <row r="187">
      <c r="A187" s="1" t="str">
        <f>IFERROR(__xludf.DUMMYFUNCTION("""COMPUTED_VALUE"""),"Nexity Bank")</f>
        <v>Nexity Bank</v>
      </c>
      <c r="B187" s="1" t="str">
        <f>IFERROR(__xludf.DUMMYFUNCTION("""COMPUTED_VALUE"""),"Birmingham")</f>
        <v>Birmingham</v>
      </c>
      <c r="C187" s="1" t="str">
        <f>IFERROR(__xludf.DUMMYFUNCTION("""COMPUTED_VALUE"""),"AL")</f>
        <v>AL</v>
      </c>
      <c r="D187" s="1">
        <f>IFERROR(__xludf.DUMMYFUNCTION("""COMPUTED_VALUE"""),19794.0)</f>
        <v>19794</v>
      </c>
      <c r="E187" s="1" t="str">
        <f>IFERROR(__xludf.DUMMYFUNCTION("""COMPUTED_VALUE"""),"AloStar Bank of Commerce")</f>
        <v>AloStar Bank of Commerce</v>
      </c>
      <c r="F187" s="2">
        <f>IFERROR(__xludf.DUMMYFUNCTION("""COMPUTED_VALUE"""),40648.0)</f>
        <v>40648</v>
      </c>
      <c r="G187" s="1">
        <f>IFERROR(__xludf.DUMMYFUNCTION("""COMPUTED_VALUE"""),10356.0)</f>
        <v>10356</v>
      </c>
    </row>
    <row r="188">
      <c r="A188" s="1" t="str">
        <f>IFERROR(__xludf.DUMMYFUNCTION("""COMPUTED_VALUE"""),"New Horizons Bank")</f>
        <v>New Horizons Bank</v>
      </c>
      <c r="B188" s="1" t="str">
        <f>IFERROR(__xludf.DUMMYFUNCTION("""COMPUTED_VALUE"""),"East Ellijay")</f>
        <v>East Ellijay</v>
      </c>
      <c r="C188" s="1" t="str">
        <f>IFERROR(__xludf.DUMMYFUNCTION("""COMPUTED_VALUE"""),"GA")</f>
        <v>GA</v>
      </c>
      <c r="D188" s="1">
        <f>IFERROR(__xludf.DUMMYFUNCTION("""COMPUTED_VALUE"""),57705.0)</f>
        <v>57705</v>
      </c>
      <c r="E188" s="1" t="str">
        <f>IFERROR(__xludf.DUMMYFUNCTION("""COMPUTED_VALUE"""),"Citizens South Bank")</f>
        <v>Citizens South Bank</v>
      </c>
      <c r="F188" s="2">
        <f>IFERROR(__xludf.DUMMYFUNCTION("""COMPUTED_VALUE"""),40648.0)</f>
        <v>40648</v>
      </c>
      <c r="G188" s="1">
        <f>IFERROR(__xludf.DUMMYFUNCTION("""COMPUTED_VALUE"""),10355.0)</f>
        <v>10355</v>
      </c>
    </row>
    <row r="189">
      <c r="A189" s="1" t="str">
        <f>IFERROR(__xludf.DUMMYFUNCTION("""COMPUTED_VALUE"""),"Bartow County Bank")</f>
        <v>Bartow County Bank</v>
      </c>
      <c r="B189" s="1" t="str">
        <f>IFERROR(__xludf.DUMMYFUNCTION("""COMPUTED_VALUE"""),"Cartersville")</f>
        <v>Cartersville</v>
      </c>
      <c r="C189" s="1" t="str">
        <f>IFERROR(__xludf.DUMMYFUNCTION("""COMPUTED_VALUE"""),"GA")</f>
        <v>GA</v>
      </c>
      <c r="D189" s="1">
        <f>IFERROR(__xludf.DUMMYFUNCTION("""COMPUTED_VALUE"""),21495.0)</f>
        <v>21495</v>
      </c>
      <c r="E189" s="1" t="str">
        <f>IFERROR(__xludf.DUMMYFUNCTION("""COMPUTED_VALUE"""),"Hamilton State Bank")</f>
        <v>Hamilton State Bank</v>
      </c>
      <c r="F189" s="2">
        <f>IFERROR(__xludf.DUMMYFUNCTION("""COMPUTED_VALUE"""),40648.0)</f>
        <v>40648</v>
      </c>
      <c r="G189" s="1">
        <f>IFERROR(__xludf.DUMMYFUNCTION("""COMPUTED_VALUE"""),10353.0)</f>
        <v>10353</v>
      </c>
    </row>
    <row r="190">
      <c r="A190" s="1" t="str">
        <f>IFERROR(__xludf.DUMMYFUNCTION("""COMPUTED_VALUE"""),"Nevada Commerce Bank")</f>
        <v>Nevada Commerce Bank</v>
      </c>
      <c r="B190" s="1" t="str">
        <f>IFERROR(__xludf.DUMMYFUNCTION("""COMPUTED_VALUE"""),"Las Vegas")</f>
        <v>Las Vegas</v>
      </c>
      <c r="C190" s="1" t="str">
        <f>IFERROR(__xludf.DUMMYFUNCTION("""COMPUTED_VALUE"""),"NV")</f>
        <v>NV</v>
      </c>
      <c r="D190" s="1">
        <f>IFERROR(__xludf.DUMMYFUNCTION("""COMPUTED_VALUE"""),35418.0)</f>
        <v>35418</v>
      </c>
      <c r="E190" s="1" t="str">
        <f>IFERROR(__xludf.DUMMYFUNCTION("""COMPUTED_VALUE"""),"City National Bank")</f>
        <v>City National Bank</v>
      </c>
      <c r="F190" s="2">
        <f>IFERROR(__xludf.DUMMYFUNCTION("""COMPUTED_VALUE"""),40641.0)</f>
        <v>40641</v>
      </c>
      <c r="G190" s="1">
        <f>IFERROR(__xludf.DUMMYFUNCTION("""COMPUTED_VALUE"""),10351.0)</f>
        <v>10351</v>
      </c>
    </row>
    <row r="191">
      <c r="A191" s="1" t="str">
        <f>IFERROR(__xludf.DUMMYFUNCTION("""COMPUTED_VALUE"""),"Western Springs National Bank and Trust")</f>
        <v>Western Springs National Bank and Trust</v>
      </c>
      <c r="B191" s="1" t="str">
        <f>IFERROR(__xludf.DUMMYFUNCTION("""COMPUTED_VALUE"""),"Western Springs")</f>
        <v>Western Springs</v>
      </c>
      <c r="C191" s="1" t="str">
        <f>IFERROR(__xludf.DUMMYFUNCTION("""COMPUTED_VALUE"""),"IL")</f>
        <v>IL</v>
      </c>
      <c r="D191" s="1">
        <f>IFERROR(__xludf.DUMMYFUNCTION("""COMPUTED_VALUE"""),10086.0)</f>
        <v>10086</v>
      </c>
      <c r="E191" s="1" t="str">
        <f>IFERROR(__xludf.DUMMYFUNCTION("""COMPUTED_VALUE"""),"Heartland Bank and Trust Company")</f>
        <v>Heartland Bank and Trust Company</v>
      </c>
      <c r="F191" s="2">
        <f>IFERROR(__xludf.DUMMYFUNCTION("""COMPUTED_VALUE"""),40641.0)</f>
        <v>40641</v>
      </c>
      <c r="G191" s="1">
        <f>IFERROR(__xludf.DUMMYFUNCTION("""COMPUTED_VALUE"""),10352.0)</f>
        <v>10352</v>
      </c>
    </row>
    <row r="192">
      <c r="A192" s="1" t="str">
        <f>IFERROR(__xludf.DUMMYFUNCTION("""COMPUTED_VALUE"""),"The Bank of Commerce")</f>
        <v>The Bank of Commerce</v>
      </c>
      <c r="B192" s="1" t="str">
        <f>IFERROR(__xludf.DUMMYFUNCTION("""COMPUTED_VALUE"""),"Wood Dale")</f>
        <v>Wood Dale</v>
      </c>
      <c r="C192" s="1" t="str">
        <f>IFERROR(__xludf.DUMMYFUNCTION("""COMPUTED_VALUE"""),"IL")</f>
        <v>IL</v>
      </c>
      <c r="D192" s="1">
        <f>IFERROR(__xludf.DUMMYFUNCTION("""COMPUTED_VALUE"""),34292.0)</f>
        <v>34292</v>
      </c>
      <c r="E192" s="1" t="str">
        <f>IFERROR(__xludf.DUMMYFUNCTION("""COMPUTED_VALUE"""),"Advantage National Bank Group")</f>
        <v>Advantage National Bank Group</v>
      </c>
      <c r="F192" s="2">
        <f>IFERROR(__xludf.DUMMYFUNCTION("""COMPUTED_VALUE"""),40627.0)</f>
        <v>40627</v>
      </c>
      <c r="G192" s="1">
        <f>IFERROR(__xludf.DUMMYFUNCTION("""COMPUTED_VALUE"""),10350.0)</f>
        <v>10350</v>
      </c>
    </row>
    <row r="193">
      <c r="A193" s="1" t="str">
        <f>IFERROR(__xludf.DUMMYFUNCTION("""COMPUTED_VALUE"""),"Legacy Bank")</f>
        <v>Legacy Bank</v>
      </c>
      <c r="B193" s="1" t="str">
        <f>IFERROR(__xludf.DUMMYFUNCTION("""COMPUTED_VALUE"""),"Milwaukee")</f>
        <v>Milwaukee</v>
      </c>
      <c r="C193" s="1" t="str">
        <f>IFERROR(__xludf.DUMMYFUNCTION("""COMPUTED_VALUE"""),"WI")</f>
        <v>WI</v>
      </c>
      <c r="D193" s="1">
        <f>IFERROR(__xludf.DUMMYFUNCTION("""COMPUTED_VALUE"""),34818.0)</f>
        <v>34818</v>
      </c>
      <c r="E193" s="1" t="str">
        <f>IFERROR(__xludf.DUMMYFUNCTION("""COMPUTED_VALUE"""),"Seaway Bank and Trust Company")</f>
        <v>Seaway Bank and Trust Company</v>
      </c>
      <c r="F193" s="2">
        <f>IFERROR(__xludf.DUMMYFUNCTION("""COMPUTED_VALUE"""),40613.0)</f>
        <v>40613</v>
      </c>
      <c r="G193" s="1">
        <f>IFERROR(__xludf.DUMMYFUNCTION("""COMPUTED_VALUE"""),10348.0)</f>
        <v>10348</v>
      </c>
    </row>
    <row r="194">
      <c r="A194" s="1" t="str">
        <f>IFERROR(__xludf.DUMMYFUNCTION("""COMPUTED_VALUE"""),"First National Bank of Davis")</f>
        <v>First National Bank of Davis</v>
      </c>
      <c r="B194" s="1" t="str">
        <f>IFERROR(__xludf.DUMMYFUNCTION("""COMPUTED_VALUE"""),"Davis")</f>
        <v>Davis</v>
      </c>
      <c r="C194" s="1" t="str">
        <f>IFERROR(__xludf.DUMMYFUNCTION("""COMPUTED_VALUE"""),"OK")</f>
        <v>OK</v>
      </c>
      <c r="D194" s="1">
        <f>IFERROR(__xludf.DUMMYFUNCTION("""COMPUTED_VALUE"""),4077.0)</f>
        <v>4077</v>
      </c>
      <c r="E194" s="1" t="str">
        <f>IFERROR(__xludf.DUMMYFUNCTION("""COMPUTED_VALUE"""),"The Pauls Valley National Bank")</f>
        <v>The Pauls Valley National Bank</v>
      </c>
      <c r="F194" s="2">
        <f>IFERROR(__xludf.DUMMYFUNCTION("""COMPUTED_VALUE"""),40613.0)</f>
        <v>40613</v>
      </c>
      <c r="G194" s="1">
        <f>IFERROR(__xludf.DUMMYFUNCTION("""COMPUTED_VALUE"""),10349.0)</f>
        <v>10349</v>
      </c>
    </row>
    <row r="195">
      <c r="A195" s="1" t="str">
        <f>IFERROR(__xludf.DUMMYFUNCTION("""COMPUTED_VALUE"""),"Valley Community Bank")</f>
        <v>Valley Community Bank</v>
      </c>
      <c r="B195" s="1" t="str">
        <f>IFERROR(__xludf.DUMMYFUNCTION("""COMPUTED_VALUE"""),"St. Charles")</f>
        <v>St. Charles</v>
      </c>
      <c r="C195" s="1" t="str">
        <f>IFERROR(__xludf.DUMMYFUNCTION("""COMPUTED_VALUE"""),"IL")</f>
        <v>IL</v>
      </c>
      <c r="D195" s="1">
        <f>IFERROR(__xludf.DUMMYFUNCTION("""COMPUTED_VALUE"""),34187.0)</f>
        <v>34187</v>
      </c>
      <c r="E195" s="1" t="str">
        <f>IFERROR(__xludf.DUMMYFUNCTION("""COMPUTED_VALUE"""),"First State Bank")</f>
        <v>First State Bank</v>
      </c>
      <c r="F195" s="2">
        <f>IFERROR(__xludf.DUMMYFUNCTION("""COMPUTED_VALUE"""),40599.0)</f>
        <v>40599</v>
      </c>
      <c r="G195" s="1">
        <f>IFERROR(__xludf.DUMMYFUNCTION("""COMPUTED_VALUE"""),10347.0)</f>
        <v>10347</v>
      </c>
    </row>
    <row r="196">
      <c r="A196" s="1" t="str">
        <f>IFERROR(__xludf.DUMMYFUNCTION("""COMPUTED_VALUE"""),"San Luis Trust Bank, FSB")</f>
        <v>San Luis Trust Bank, FSB</v>
      </c>
      <c r="B196" s="1" t="str">
        <f>IFERROR(__xludf.DUMMYFUNCTION("""COMPUTED_VALUE"""),"San Luis Obispo")</f>
        <v>San Luis Obispo</v>
      </c>
      <c r="C196" s="1" t="str">
        <f>IFERROR(__xludf.DUMMYFUNCTION("""COMPUTED_VALUE"""),"CA")</f>
        <v>CA</v>
      </c>
      <c r="D196" s="1">
        <f>IFERROR(__xludf.DUMMYFUNCTION("""COMPUTED_VALUE"""),34783.0)</f>
        <v>34783</v>
      </c>
      <c r="E196" s="1" t="str">
        <f>IFERROR(__xludf.DUMMYFUNCTION("""COMPUTED_VALUE"""),"First California Bank")</f>
        <v>First California Bank</v>
      </c>
      <c r="F196" s="2">
        <f>IFERROR(__xludf.DUMMYFUNCTION("""COMPUTED_VALUE"""),40592.0)</f>
        <v>40592</v>
      </c>
      <c r="G196" s="1">
        <f>IFERROR(__xludf.DUMMYFUNCTION("""COMPUTED_VALUE"""),10346.0)</f>
        <v>10346</v>
      </c>
    </row>
    <row r="197">
      <c r="A197" s="1" t="str">
        <f>IFERROR(__xludf.DUMMYFUNCTION("""COMPUTED_VALUE"""),"Charter Oak Bank")</f>
        <v>Charter Oak Bank</v>
      </c>
      <c r="B197" s="1" t="str">
        <f>IFERROR(__xludf.DUMMYFUNCTION("""COMPUTED_VALUE"""),"Napa")</f>
        <v>Napa</v>
      </c>
      <c r="C197" s="1" t="str">
        <f>IFERROR(__xludf.DUMMYFUNCTION("""COMPUTED_VALUE"""),"CA")</f>
        <v>CA</v>
      </c>
      <c r="D197" s="1">
        <f>IFERROR(__xludf.DUMMYFUNCTION("""COMPUTED_VALUE"""),57855.0)</f>
        <v>57855</v>
      </c>
      <c r="E197" s="1" t="str">
        <f>IFERROR(__xludf.DUMMYFUNCTION("""COMPUTED_VALUE"""),"Bank of Marin")</f>
        <v>Bank of Marin</v>
      </c>
      <c r="F197" s="2">
        <f>IFERROR(__xludf.DUMMYFUNCTION("""COMPUTED_VALUE"""),40592.0)</f>
        <v>40592</v>
      </c>
      <c r="G197" s="1">
        <f>IFERROR(__xludf.DUMMYFUNCTION("""COMPUTED_VALUE"""),10343.0)</f>
        <v>10343</v>
      </c>
    </row>
    <row r="198">
      <c r="A198" s="1" t="str">
        <f>IFERROR(__xludf.DUMMYFUNCTION("""COMPUTED_VALUE"""),"Citizens Bank of Effingham")</f>
        <v>Citizens Bank of Effingham</v>
      </c>
      <c r="B198" s="1" t="str">
        <f>IFERROR(__xludf.DUMMYFUNCTION("""COMPUTED_VALUE"""),"Springfield")</f>
        <v>Springfield</v>
      </c>
      <c r="C198" s="1" t="str">
        <f>IFERROR(__xludf.DUMMYFUNCTION("""COMPUTED_VALUE"""),"GA")</f>
        <v>GA</v>
      </c>
      <c r="D198" s="1">
        <f>IFERROR(__xludf.DUMMYFUNCTION("""COMPUTED_VALUE"""),34601.0)</f>
        <v>34601</v>
      </c>
      <c r="E198" s="1" t="str">
        <f>IFERROR(__xludf.DUMMYFUNCTION("""COMPUTED_VALUE"""),"Heritage Bank of the South")</f>
        <v>Heritage Bank of the South</v>
      </c>
      <c r="F198" s="2">
        <f>IFERROR(__xludf.DUMMYFUNCTION("""COMPUTED_VALUE"""),40592.0)</f>
        <v>40592</v>
      </c>
      <c r="G198" s="1">
        <f>IFERROR(__xludf.DUMMYFUNCTION("""COMPUTED_VALUE"""),10344.0)</f>
        <v>10344</v>
      </c>
    </row>
    <row r="199">
      <c r="A199" s="1" t="str">
        <f>IFERROR(__xludf.DUMMYFUNCTION("""COMPUTED_VALUE"""),"Habersham Bank")</f>
        <v>Habersham Bank</v>
      </c>
      <c r="B199" s="1" t="str">
        <f>IFERROR(__xludf.DUMMYFUNCTION("""COMPUTED_VALUE"""),"Clarkesville")</f>
        <v>Clarkesville</v>
      </c>
      <c r="C199" s="1" t="str">
        <f>IFERROR(__xludf.DUMMYFUNCTION("""COMPUTED_VALUE"""),"GA")</f>
        <v>GA</v>
      </c>
      <c r="D199" s="1">
        <f>IFERROR(__xludf.DUMMYFUNCTION("""COMPUTED_VALUE"""),151.0)</f>
        <v>151</v>
      </c>
      <c r="E199" s="1" t="str">
        <f>IFERROR(__xludf.DUMMYFUNCTION("""COMPUTED_VALUE"""),"SCBT National Association")</f>
        <v>SCBT National Association</v>
      </c>
      <c r="F199" s="2">
        <f>IFERROR(__xludf.DUMMYFUNCTION("""COMPUTED_VALUE"""),40592.0)</f>
        <v>40592</v>
      </c>
      <c r="G199" s="1">
        <f>IFERROR(__xludf.DUMMYFUNCTION("""COMPUTED_VALUE"""),10345.0)</f>
        <v>10345</v>
      </c>
    </row>
    <row r="200">
      <c r="A200" s="1" t="str">
        <f>IFERROR(__xludf.DUMMYFUNCTION("""COMPUTED_VALUE"""),"Canyon National Bank")</f>
        <v>Canyon National Bank</v>
      </c>
      <c r="B200" s="1" t="str">
        <f>IFERROR(__xludf.DUMMYFUNCTION("""COMPUTED_VALUE"""),"Palm Springs")</f>
        <v>Palm Springs</v>
      </c>
      <c r="C200" s="1" t="str">
        <f>IFERROR(__xludf.DUMMYFUNCTION("""COMPUTED_VALUE"""),"CA")</f>
        <v>CA</v>
      </c>
      <c r="D200" s="1">
        <f>IFERROR(__xludf.DUMMYFUNCTION("""COMPUTED_VALUE"""),34692.0)</f>
        <v>34692</v>
      </c>
      <c r="E200" s="1" t="str">
        <f>IFERROR(__xludf.DUMMYFUNCTION("""COMPUTED_VALUE"""),"Pacific Premier Bank")</f>
        <v>Pacific Premier Bank</v>
      </c>
      <c r="F200" s="2">
        <f>IFERROR(__xludf.DUMMYFUNCTION("""COMPUTED_VALUE"""),40585.0)</f>
        <v>40585</v>
      </c>
      <c r="G200" s="1">
        <f>IFERROR(__xludf.DUMMYFUNCTION("""COMPUTED_VALUE"""),10340.0)</f>
        <v>10340</v>
      </c>
    </row>
    <row r="201">
      <c r="A201" s="1" t="str">
        <f>IFERROR(__xludf.DUMMYFUNCTION("""COMPUTED_VALUE"""),"Badger State Bank")</f>
        <v>Badger State Bank</v>
      </c>
      <c r="B201" s="1" t="str">
        <f>IFERROR(__xludf.DUMMYFUNCTION("""COMPUTED_VALUE"""),"Cassville")</f>
        <v>Cassville</v>
      </c>
      <c r="C201" s="1" t="str">
        <f>IFERROR(__xludf.DUMMYFUNCTION("""COMPUTED_VALUE"""),"WI")</f>
        <v>WI</v>
      </c>
      <c r="D201" s="1">
        <f>IFERROR(__xludf.DUMMYFUNCTION("""COMPUTED_VALUE"""),13272.0)</f>
        <v>13272</v>
      </c>
      <c r="E201" s="1" t="str">
        <f>IFERROR(__xludf.DUMMYFUNCTION("""COMPUTED_VALUE"""),"Royal Bank")</f>
        <v>Royal Bank</v>
      </c>
      <c r="F201" s="2">
        <f>IFERROR(__xludf.DUMMYFUNCTION("""COMPUTED_VALUE"""),40585.0)</f>
        <v>40585</v>
      </c>
      <c r="G201" s="1">
        <f>IFERROR(__xludf.DUMMYFUNCTION("""COMPUTED_VALUE"""),10339.0)</f>
        <v>10339</v>
      </c>
    </row>
    <row r="202">
      <c r="A202" s="1" t="str">
        <f>IFERROR(__xludf.DUMMYFUNCTION("""COMPUTED_VALUE"""),"Peoples State Bank")</f>
        <v>Peoples State Bank</v>
      </c>
      <c r="B202" s="1" t="str">
        <f>IFERROR(__xludf.DUMMYFUNCTION("""COMPUTED_VALUE"""),"Hamtramck")</f>
        <v>Hamtramck</v>
      </c>
      <c r="C202" s="1" t="str">
        <f>IFERROR(__xludf.DUMMYFUNCTION("""COMPUTED_VALUE"""),"MI")</f>
        <v>MI</v>
      </c>
      <c r="D202" s="1">
        <f>IFERROR(__xludf.DUMMYFUNCTION("""COMPUTED_VALUE"""),14939.0)</f>
        <v>14939</v>
      </c>
      <c r="E202" s="1" t="str">
        <f>IFERROR(__xludf.DUMMYFUNCTION("""COMPUTED_VALUE"""),"First Michigan Bank")</f>
        <v>First Michigan Bank</v>
      </c>
      <c r="F202" s="2">
        <f>IFERROR(__xludf.DUMMYFUNCTION("""COMPUTED_VALUE"""),40585.0)</f>
        <v>40585</v>
      </c>
      <c r="G202" s="1">
        <f>IFERROR(__xludf.DUMMYFUNCTION("""COMPUTED_VALUE"""),10341.0)</f>
        <v>10341</v>
      </c>
    </row>
    <row r="203">
      <c r="A203" s="1" t="str">
        <f>IFERROR(__xludf.DUMMYFUNCTION("""COMPUTED_VALUE"""),"Sunshine State Community Bank")</f>
        <v>Sunshine State Community Bank</v>
      </c>
      <c r="B203" s="1" t="str">
        <f>IFERROR(__xludf.DUMMYFUNCTION("""COMPUTED_VALUE"""),"Port Orange")</f>
        <v>Port Orange</v>
      </c>
      <c r="C203" s="1" t="str">
        <f>IFERROR(__xludf.DUMMYFUNCTION("""COMPUTED_VALUE"""),"FL")</f>
        <v>FL</v>
      </c>
      <c r="D203" s="1">
        <f>IFERROR(__xludf.DUMMYFUNCTION("""COMPUTED_VALUE"""),35478.0)</f>
        <v>35478</v>
      </c>
      <c r="E203" s="1" t="str">
        <f>IFERROR(__xludf.DUMMYFUNCTION("""COMPUTED_VALUE"""),"Premier American Bank, N.A.")</f>
        <v>Premier American Bank, N.A.</v>
      </c>
      <c r="F203" s="2">
        <f>IFERROR(__xludf.DUMMYFUNCTION("""COMPUTED_VALUE"""),40585.0)</f>
        <v>40585</v>
      </c>
      <c r="G203" s="1">
        <f>IFERROR(__xludf.DUMMYFUNCTION("""COMPUTED_VALUE"""),10342.0)</f>
        <v>10342</v>
      </c>
    </row>
    <row r="204">
      <c r="A204" s="1" t="str">
        <f>IFERROR(__xludf.DUMMYFUNCTION("""COMPUTED_VALUE"""),"Community First Bank Chicago")</f>
        <v>Community First Bank Chicago</v>
      </c>
      <c r="B204" s="1" t="str">
        <f>IFERROR(__xludf.DUMMYFUNCTION("""COMPUTED_VALUE"""),"Chicago")</f>
        <v>Chicago</v>
      </c>
      <c r="C204" s="1" t="str">
        <f>IFERROR(__xludf.DUMMYFUNCTION("""COMPUTED_VALUE"""),"IL")</f>
        <v>IL</v>
      </c>
      <c r="D204" s="1">
        <f>IFERROR(__xludf.DUMMYFUNCTION("""COMPUTED_VALUE"""),57948.0)</f>
        <v>57948</v>
      </c>
      <c r="E204" s="1" t="str">
        <f>IFERROR(__xludf.DUMMYFUNCTION("""COMPUTED_VALUE"""),"Northbrook Bank &amp; Trust Company")</f>
        <v>Northbrook Bank &amp; Trust Company</v>
      </c>
      <c r="F204" s="2">
        <f>IFERROR(__xludf.DUMMYFUNCTION("""COMPUTED_VALUE"""),40578.0)</f>
        <v>40578</v>
      </c>
      <c r="G204" s="1">
        <f>IFERROR(__xludf.DUMMYFUNCTION("""COMPUTED_VALUE"""),10337.0)</f>
        <v>10337</v>
      </c>
    </row>
    <row r="205">
      <c r="A205" s="1" t="str">
        <f>IFERROR(__xludf.DUMMYFUNCTION("""COMPUTED_VALUE"""),"North Georgia Bank")</f>
        <v>North Georgia Bank</v>
      </c>
      <c r="B205" s="1" t="str">
        <f>IFERROR(__xludf.DUMMYFUNCTION("""COMPUTED_VALUE"""),"Watkinsville")</f>
        <v>Watkinsville</v>
      </c>
      <c r="C205" s="1" t="str">
        <f>IFERROR(__xludf.DUMMYFUNCTION("""COMPUTED_VALUE"""),"GA")</f>
        <v>GA</v>
      </c>
      <c r="D205" s="1">
        <f>IFERROR(__xludf.DUMMYFUNCTION("""COMPUTED_VALUE"""),35242.0)</f>
        <v>35242</v>
      </c>
      <c r="E205" s="1" t="str">
        <f>IFERROR(__xludf.DUMMYFUNCTION("""COMPUTED_VALUE"""),"BankSouth")</f>
        <v>BankSouth</v>
      </c>
      <c r="F205" s="2">
        <f>IFERROR(__xludf.DUMMYFUNCTION("""COMPUTED_VALUE"""),40578.0)</f>
        <v>40578</v>
      </c>
      <c r="G205" s="1">
        <f>IFERROR(__xludf.DUMMYFUNCTION("""COMPUTED_VALUE"""),10338.0)</f>
        <v>10338</v>
      </c>
    </row>
    <row r="206">
      <c r="A206" s="1" t="str">
        <f>IFERROR(__xludf.DUMMYFUNCTION("""COMPUTED_VALUE"""),"American Trust Bank")</f>
        <v>American Trust Bank</v>
      </c>
      <c r="B206" s="1" t="str">
        <f>IFERROR(__xludf.DUMMYFUNCTION("""COMPUTED_VALUE"""),"Roswell")</f>
        <v>Roswell</v>
      </c>
      <c r="C206" s="1" t="str">
        <f>IFERROR(__xludf.DUMMYFUNCTION("""COMPUTED_VALUE"""),"GA")</f>
        <v>GA</v>
      </c>
      <c r="D206" s="1">
        <f>IFERROR(__xludf.DUMMYFUNCTION("""COMPUTED_VALUE"""),57432.0)</f>
        <v>57432</v>
      </c>
      <c r="E206" s="1" t="str">
        <f>IFERROR(__xludf.DUMMYFUNCTION("""COMPUTED_VALUE"""),"Renasant Bank")</f>
        <v>Renasant Bank</v>
      </c>
      <c r="F206" s="2">
        <f>IFERROR(__xludf.DUMMYFUNCTION("""COMPUTED_VALUE"""),40578.0)</f>
        <v>40578</v>
      </c>
      <c r="G206" s="1">
        <f>IFERROR(__xludf.DUMMYFUNCTION("""COMPUTED_VALUE"""),10336.0)</f>
        <v>10336</v>
      </c>
    </row>
    <row r="207">
      <c r="A207" s="1" t="str">
        <f>IFERROR(__xludf.DUMMYFUNCTION("""COMPUTED_VALUE"""),"First Community Bank")</f>
        <v>First Community Bank</v>
      </c>
      <c r="B207" s="1" t="str">
        <f>IFERROR(__xludf.DUMMYFUNCTION("""COMPUTED_VALUE"""),"Taos")</f>
        <v>Taos</v>
      </c>
      <c r="C207" s="1" t="str">
        <f>IFERROR(__xludf.DUMMYFUNCTION("""COMPUTED_VALUE"""),"NM")</f>
        <v>NM</v>
      </c>
      <c r="D207" s="1">
        <f>IFERROR(__xludf.DUMMYFUNCTION("""COMPUTED_VALUE"""),12261.0)</f>
        <v>12261</v>
      </c>
      <c r="E207" s="1" t="str">
        <f>IFERROR(__xludf.DUMMYFUNCTION("""COMPUTED_VALUE"""),"U.S. Bank, N.A.")</f>
        <v>U.S. Bank, N.A.</v>
      </c>
      <c r="F207" s="2">
        <f>IFERROR(__xludf.DUMMYFUNCTION("""COMPUTED_VALUE"""),40571.0)</f>
        <v>40571</v>
      </c>
      <c r="G207" s="1">
        <f>IFERROR(__xludf.DUMMYFUNCTION("""COMPUTED_VALUE"""),10333.0)</f>
        <v>10333</v>
      </c>
    </row>
    <row r="208">
      <c r="A208" s="1" t="str">
        <f>IFERROR(__xludf.DUMMYFUNCTION("""COMPUTED_VALUE"""),"FirsTier Bank")</f>
        <v>FirsTier Bank</v>
      </c>
      <c r="B208" s="1" t="str">
        <f>IFERROR(__xludf.DUMMYFUNCTION("""COMPUTED_VALUE"""),"Louisville")</f>
        <v>Louisville</v>
      </c>
      <c r="C208" s="1" t="str">
        <f>IFERROR(__xludf.DUMMYFUNCTION("""COMPUTED_VALUE"""),"CO")</f>
        <v>CO</v>
      </c>
      <c r="D208" s="1">
        <f>IFERROR(__xludf.DUMMYFUNCTION("""COMPUTED_VALUE"""),57646.0)</f>
        <v>57646</v>
      </c>
      <c r="E208" s="1" t="str">
        <f>IFERROR(__xludf.DUMMYFUNCTION("""COMPUTED_VALUE"""),"No Acquirer")</f>
        <v>No Acquirer</v>
      </c>
      <c r="F208" s="2">
        <f>IFERROR(__xludf.DUMMYFUNCTION("""COMPUTED_VALUE"""),40571.0)</f>
        <v>40571</v>
      </c>
      <c r="G208" s="1">
        <f>IFERROR(__xludf.DUMMYFUNCTION("""COMPUTED_VALUE"""),10334.0)</f>
        <v>10334</v>
      </c>
    </row>
    <row r="209">
      <c r="A209" s="1" t="str">
        <f>IFERROR(__xludf.DUMMYFUNCTION("""COMPUTED_VALUE"""),"Evergreen State Bank")</f>
        <v>Evergreen State Bank</v>
      </c>
      <c r="B209" s="1" t="str">
        <f>IFERROR(__xludf.DUMMYFUNCTION("""COMPUTED_VALUE"""),"Stoughton")</f>
        <v>Stoughton</v>
      </c>
      <c r="C209" s="1" t="str">
        <f>IFERROR(__xludf.DUMMYFUNCTION("""COMPUTED_VALUE"""),"WI")</f>
        <v>WI</v>
      </c>
      <c r="D209" s="1">
        <f>IFERROR(__xludf.DUMMYFUNCTION("""COMPUTED_VALUE"""),5328.0)</f>
        <v>5328</v>
      </c>
      <c r="E209" s="1" t="str">
        <f>IFERROR(__xludf.DUMMYFUNCTION("""COMPUTED_VALUE"""),"McFarland State Bank")</f>
        <v>McFarland State Bank</v>
      </c>
      <c r="F209" s="2">
        <f>IFERROR(__xludf.DUMMYFUNCTION("""COMPUTED_VALUE"""),40571.0)</f>
        <v>40571</v>
      </c>
      <c r="G209" s="1">
        <f>IFERROR(__xludf.DUMMYFUNCTION("""COMPUTED_VALUE"""),10332.0)</f>
        <v>10332</v>
      </c>
    </row>
    <row r="210">
      <c r="A210" s="1" t="str">
        <f>IFERROR(__xludf.DUMMYFUNCTION("""COMPUTED_VALUE"""),"The First State Bank")</f>
        <v>The First State Bank</v>
      </c>
      <c r="B210" s="1" t="str">
        <f>IFERROR(__xludf.DUMMYFUNCTION("""COMPUTED_VALUE"""),"Camargo")</f>
        <v>Camargo</v>
      </c>
      <c r="C210" s="1" t="str">
        <f>IFERROR(__xludf.DUMMYFUNCTION("""COMPUTED_VALUE"""),"OK")</f>
        <v>OK</v>
      </c>
      <c r="D210" s="1">
        <f>IFERROR(__xludf.DUMMYFUNCTION("""COMPUTED_VALUE"""),2303.0)</f>
        <v>2303</v>
      </c>
      <c r="E210" s="1" t="str">
        <f>IFERROR(__xludf.DUMMYFUNCTION("""COMPUTED_VALUE"""),"Bank 7")</f>
        <v>Bank 7</v>
      </c>
      <c r="F210" s="2">
        <f>IFERROR(__xludf.DUMMYFUNCTION("""COMPUTED_VALUE"""),40571.0)</f>
        <v>40571</v>
      </c>
      <c r="G210" s="1">
        <f>IFERROR(__xludf.DUMMYFUNCTION("""COMPUTED_VALUE"""),10335.0)</f>
        <v>10335</v>
      </c>
    </row>
    <row r="211">
      <c r="A211" s="1" t="str">
        <f>IFERROR(__xludf.DUMMYFUNCTION("""COMPUTED_VALUE"""),"United Western Bank")</f>
        <v>United Western Bank</v>
      </c>
      <c r="B211" s="1" t="str">
        <f>IFERROR(__xludf.DUMMYFUNCTION("""COMPUTED_VALUE"""),"Denver")</f>
        <v>Denver</v>
      </c>
      <c r="C211" s="1" t="str">
        <f>IFERROR(__xludf.DUMMYFUNCTION("""COMPUTED_VALUE"""),"CO")</f>
        <v>CO</v>
      </c>
      <c r="D211" s="1">
        <f>IFERROR(__xludf.DUMMYFUNCTION("""COMPUTED_VALUE"""),31293.0)</f>
        <v>31293</v>
      </c>
      <c r="E211" s="1" t="str">
        <f>IFERROR(__xludf.DUMMYFUNCTION("""COMPUTED_VALUE"""),"First-Citizens Bank &amp; Trust Company")</f>
        <v>First-Citizens Bank &amp; Trust Company</v>
      </c>
      <c r="F211" s="2">
        <f>IFERROR(__xludf.DUMMYFUNCTION("""COMPUTED_VALUE"""),40564.0)</f>
        <v>40564</v>
      </c>
      <c r="G211" s="1">
        <f>IFERROR(__xludf.DUMMYFUNCTION("""COMPUTED_VALUE"""),10331.0)</f>
        <v>10331</v>
      </c>
    </row>
    <row r="212">
      <c r="A212" s="1" t="str">
        <f>IFERROR(__xludf.DUMMYFUNCTION("""COMPUTED_VALUE"""),"The Bank of Asheville")</f>
        <v>The Bank of Asheville</v>
      </c>
      <c r="B212" s="1" t="str">
        <f>IFERROR(__xludf.DUMMYFUNCTION("""COMPUTED_VALUE"""),"Asheville")</f>
        <v>Asheville</v>
      </c>
      <c r="C212" s="1" t="str">
        <f>IFERROR(__xludf.DUMMYFUNCTION("""COMPUTED_VALUE"""),"NC")</f>
        <v>NC</v>
      </c>
      <c r="D212" s="1">
        <f>IFERROR(__xludf.DUMMYFUNCTION("""COMPUTED_VALUE"""),34516.0)</f>
        <v>34516</v>
      </c>
      <c r="E212" s="1" t="str">
        <f>IFERROR(__xludf.DUMMYFUNCTION("""COMPUTED_VALUE"""),"First Bank")</f>
        <v>First Bank</v>
      </c>
      <c r="F212" s="2">
        <f>IFERROR(__xludf.DUMMYFUNCTION("""COMPUTED_VALUE"""),40564.0)</f>
        <v>40564</v>
      </c>
      <c r="G212" s="1">
        <f>IFERROR(__xludf.DUMMYFUNCTION("""COMPUTED_VALUE"""),10330.0)</f>
        <v>10330</v>
      </c>
    </row>
    <row r="213">
      <c r="A213" s="1" t="str">
        <f>IFERROR(__xludf.DUMMYFUNCTION("""COMPUTED_VALUE"""),"CommunitySouth Bank &amp; Trust")</f>
        <v>CommunitySouth Bank &amp; Trust</v>
      </c>
      <c r="B213" s="1" t="str">
        <f>IFERROR(__xludf.DUMMYFUNCTION("""COMPUTED_VALUE"""),"Easley")</f>
        <v>Easley</v>
      </c>
      <c r="C213" s="1" t="str">
        <f>IFERROR(__xludf.DUMMYFUNCTION("""COMPUTED_VALUE"""),"SC")</f>
        <v>SC</v>
      </c>
      <c r="D213" s="1">
        <f>IFERROR(__xludf.DUMMYFUNCTION("""COMPUTED_VALUE"""),57868.0)</f>
        <v>57868</v>
      </c>
      <c r="E213" s="1" t="str">
        <f>IFERROR(__xludf.DUMMYFUNCTION("""COMPUTED_VALUE"""),"CertusBank, National Association")</f>
        <v>CertusBank, National Association</v>
      </c>
      <c r="F213" s="2">
        <f>IFERROR(__xludf.DUMMYFUNCTION("""COMPUTED_VALUE"""),40564.0)</f>
        <v>40564</v>
      </c>
      <c r="G213" s="1">
        <f>IFERROR(__xludf.DUMMYFUNCTION("""COMPUTED_VALUE"""),10328.0)</f>
        <v>10328</v>
      </c>
    </row>
    <row r="214">
      <c r="A214" s="1" t="str">
        <f>IFERROR(__xludf.DUMMYFUNCTION("""COMPUTED_VALUE"""),"Enterprise Banking Company")</f>
        <v>Enterprise Banking Company</v>
      </c>
      <c r="B214" s="1" t="str">
        <f>IFERROR(__xludf.DUMMYFUNCTION("""COMPUTED_VALUE"""),"McDonough")</f>
        <v>McDonough</v>
      </c>
      <c r="C214" s="1" t="str">
        <f>IFERROR(__xludf.DUMMYFUNCTION("""COMPUTED_VALUE"""),"GA")</f>
        <v>GA</v>
      </c>
      <c r="D214" s="1">
        <f>IFERROR(__xludf.DUMMYFUNCTION("""COMPUTED_VALUE"""),19758.0)</f>
        <v>19758</v>
      </c>
      <c r="E214" s="1" t="str">
        <f>IFERROR(__xludf.DUMMYFUNCTION("""COMPUTED_VALUE"""),"No Acquirer")</f>
        <v>No Acquirer</v>
      </c>
      <c r="F214" s="2">
        <f>IFERROR(__xludf.DUMMYFUNCTION("""COMPUTED_VALUE"""),40564.0)</f>
        <v>40564</v>
      </c>
      <c r="G214" s="1">
        <f>IFERROR(__xludf.DUMMYFUNCTION("""COMPUTED_VALUE"""),10329.0)</f>
        <v>10329</v>
      </c>
    </row>
    <row r="215">
      <c r="A215" s="1" t="str">
        <f>IFERROR(__xludf.DUMMYFUNCTION("""COMPUTED_VALUE"""),"Oglethorpe Bank")</f>
        <v>Oglethorpe Bank</v>
      </c>
      <c r="B215" s="1" t="str">
        <f>IFERROR(__xludf.DUMMYFUNCTION("""COMPUTED_VALUE"""),"Brunswick")</f>
        <v>Brunswick</v>
      </c>
      <c r="C215" s="1" t="str">
        <f>IFERROR(__xludf.DUMMYFUNCTION("""COMPUTED_VALUE"""),"GA")</f>
        <v>GA</v>
      </c>
      <c r="D215" s="1">
        <f>IFERROR(__xludf.DUMMYFUNCTION("""COMPUTED_VALUE"""),57440.0)</f>
        <v>57440</v>
      </c>
      <c r="E215" s="1" t="str">
        <f>IFERROR(__xludf.DUMMYFUNCTION("""COMPUTED_VALUE"""),"Bank of the Ozarks")</f>
        <v>Bank of the Ozarks</v>
      </c>
      <c r="F215" s="2">
        <f>IFERROR(__xludf.DUMMYFUNCTION("""COMPUTED_VALUE"""),40557.0)</f>
        <v>40557</v>
      </c>
      <c r="G215" s="1">
        <f>IFERROR(__xludf.DUMMYFUNCTION("""COMPUTED_VALUE"""),10327.0)</f>
        <v>10327</v>
      </c>
    </row>
    <row r="216">
      <c r="A216" s="1" t="str">
        <f>IFERROR(__xludf.DUMMYFUNCTION("""COMPUTED_VALUE"""),"Legacy Bank")</f>
        <v>Legacy Bank</v>
      </c>
      <c r="B216" s="1" t="str">
        <f>IFERROR(__xludf.DUMMYFUNCTION("""COMPUTED_VALUE"""),"Scottsdale")</f>
        <v>Scottsdale</v>
      </c>
      <c r="C216" s="1" t="str">
        <f>IFERROR(__xludf.DUMMYFUNCTION("""COMPUTED_VALUE"""),"AZ")</f>
        <v>AZ</v>
      </c>
      <c r="D216" s="1">
        <f>IFERROR(__xludf.DUMMYFUNCTION("""COMPUTED_VALUE"""),57820.0)</f>
        <v>57820</v>
      </c>
      <c r="E216" s="1" t="str">
        <f>IFERROR(__xludf.DUMMYFUNCTION("""COMPUTED_VALUE"""),"Enterprise Bank &amp; Trust")</f>
        <v>Enterprise Bank &amp; Trust</v>
      </c>
      <c r="F216" s="2">
        <f>IFERROR(__xludf.DUMMYFUNCTION("""COMPUTED_VALUE"""),40550.0)</f>
        <v>40550</v>
      </c>
      <c r="G216" s="1">
        <f>IFERROR(__xludf.DUMMYFUNCTION("""COMPUTED_VALUE"""),10326.0)</f>
        <v>10326</v>
      </c>
    </row>
    <row r="217">
      <c r="A217" s="1" t="str">
        <f>IFERROR(__xludf.DUMMYFUNCTION("""COMPUTED_VALUE"""),"First Commercial Bank of Florida")</f>
        <v>First Commercial Bank of Florida</v>
      </c>
      <c r="B217" s="1" t="str">
        <f>IFERROR(__xludf.DUMMYFUNCTION("""COMPUTED_VALUE"""),"Orlando")</f>
        <v>Orlando</v>
      </c>
      <c r="C217" s="1" t="str">
        <f>IFERROR(__xludf.DUMMYFUNCTION("""COMPUTED_VALUE"""),"FL")</f>
        <v>FL</v>
      </c>
      <c r="D217" s="1">
        <f>IFERROR(__xludf.DUMMYFUNCTION("""COMPUTED_VALUE"""),34965.0)</f>
        <v>34965</v>
      </c>
      <c r="E217" s="1" t="str">
        <f>IFERROR(__xludf.DUMMYFUNCTION("""COMPUTED_VALUE"""),"First Southern Bank")</f>
        <v>First Southern Bank</v>
      </c>
      <c r="F217" s="2">
        <f>IFERROR(__xludf.DUMMYFUNCTION("""COMPUTED_VALUE"""),40550.0)</f>
        <v>40550</v>
      </c>
      <c r="G217" s="1">
        <f>IFERROR(__xludf.DUMMYFUNCTION("""COMPUTED_VALUE"""),10325.0)</f>
        <v>10325</v>
      </c>
    </row>
    <row r="218">
      <c r="A218" s="1" t="str">
        <f>IFERROR(__xludf.DUMMYFUNCTION("""COMPUTED_VALUE"""),"Community National Bank")</f>
        <v>Community National Bank</v>
      </c>
      <c r="B218" s="1" t="str">
        <f>IFERROR(__xludf.DUMMYFUNCTION("""COMPUTED_VALUE"""),"Lino Lakes")</f>
        <v>Lino Lakes</v>
      </c>
      <c r="C218" s="1" t="str">
        <f>IFERROR(__xludf.DUMMYFUNCTION("""COMPUTED_VALUE"""),"MN")</f>
        <v>MN</v>
      </c>
      <c r="D218" s="1">
        <f>IFERROR(__xludf.DUMMYFUNCTION("""COMPUTED_VALUE"""),23306.0)</f>
        <v>23306</v>
      </c>
      <c r="E218" s="1" t="str">
        <f>IFERROR(__xludf.DUMMYFUNCTION("""COMPUTED_VALUE"""),"Farmers &amp; Merchants Savings Bank")</f>
        <v>Farmers &amp; Merchants Savings Bank</v>
      </c>
      <c r="F218" s="2">
        <f>IFERROR(__xludf.DUMMYFUNCTION("""COMPUTED_VALUE"""),40529.0)</f>
        <v>40529</v>
      </c>
      <c r="G218" s="1">
        <f>IFERROR(__xludf.DUMMYFUNCTION("""COMPUTED_VALUE"""),10321.0)</f>
        <v>10321</v>
      </c>
    </row>
    <row r="219">
      <c r="A219" s="1" t="str">
        <f>IFERROR(__xludf.DUMMYFUNCTION("""COMPUTED_VALUE"""),"First Southern Bank")</f>
        <v>First Southern Bank</v>
      </c>
      <c r="B219" s="1" t="str">
        <f>IFERROR(__xludf.DUMMYFUNCTION("""COMPUTED_VALUE"""),"Batesville")</f>
        <v>Batesville</v>
      </c>
      <c r="C219" s="1" t="str">
        <f>IFERROR(__xludf.DUMMYFUNCTION("""COMPUTED_VALUE"""),"AR")</f>
        <v>AR</v>
      </c>
      <c r="D219" s="1">
        <f>IFERROR(__xludf.DUMMYFUNCTION("""COMPUTED_VALUE"""),58052.0)</f>
        <v>58052</v>
      </c>
      <c r="E219" s="1" t="str">
        <f>IFERROR(__xludf.DUMMYFUNCTION("""COMPUTED_VALUE"""),"Southern Bank")</f>
        <v>Southern Bank</v>
      </c>
      <c r="F219" s="2">
        <f>IFERROR(__xludf.DUMMYFUNCTION("""COMPUTED_VALUE"""),40529.0)</f>
        <v>40529</v>
      </c>
      <c r="G219" s="1">
        <f>IFERROR(__xludf.DUMMYFUNCTION("""COMPUTED_VALUE"""),10322.0)</f>
        <v>10322</v>
      </c>
    </row>
    <row r="220">
      <c r="A220" s="1" t="str">
        <f>IFERROR(__xludf.DUMMYFUNCTION("""COMPUTED_VALUE"""),"United Americas Bank, N.A.")</f>
        <v>United Americas Bank, N.A.</v>
      </c>
      <c r="B220" s="1" t="str">
        <f>IFERROR(__xludf.DUMMYFUNCTION("""COMPUTED_VALUE"""),"Atlanta")</f>
        <v>Atlanta</v>
      </c>
      <c r="C220" s="1" t="str">
        <f>IFERROR(__xludf.DUMMYFUNCTION("""COMPUTED_VALUE"""),"GA")</f>
        <v>GA</v>
      </c>
      <c r="D220" s="1">
        <f>IFERROR(__xludf.DUMMYFUNCTION("""COMPUTED_VALUE"""),35065.0)</f>
        <v>35065</v>
      </c>
      <c r="E220" s="1" t="str">
        <f>IFERROR(__xludf.DUMMYFUNCTION("""COMPUTED_VALUE"""),"State Bank and Trust Company")</f>
        <v>State Bank and Trust Company</v>
      </c>
      <c r="F220" s="2">
        <f>IFERROR(__xludf.DUMMYFUNCTION("""COMPUTED_VALUE"""),40529.0)</f>
        <v>40529</v>
      </c>
      <c r="G220" s="1">
        <f>IFERROR(__xludf.DUMMYFUNCTION("""COMPUTED_VALUE"""),10323.0)</f>
        <v>10323</v>
      </c>
    </row>
    <row r="221">
      <c r="A221" s="1" t="str">
        <f>IFERROR(__xludf.DUMMYFUNCTION("""COMPUTED_VALUE"""),"Appalachian Community Bank, FSB")</f>
        <v>Appalachian Community Bank, FSB</v>
      </c>
      <c r="B221" s="1" t="str">
        <f>IFERROR(__xludf.DUMMYFUNCTION("""COMPUTED_VALUE"""),"McCaysville")</f>
        <v>McCaysville</v>
      </c>
      <c r="C221" s="1" t="str">
        <f>IFERROR(__xludf.DUMMYFUNCTION("""COMPUTED_VALUE"""),"GA")</f>
        <v>GA</v>
      </c>
      <c r="D221" s="1">
        <f>IFERROR(__xludf.DUMMYFUNCTION("""COMPUTED_VALUE"""),58495.0)</f>
        <v>58495</v>
      </c>
      <c r="E221" s="1" t="str">
        <f>IFERROR(__xludf.DUMMYFUNCTION("""COMPUTED_VALUE"""),"Peoples Bank of East Tennessee")</f>
        <v>Peoples Bank of East Tennessee</v>
      </c>
      <c r="F221" s="2">
        <f>IFERROR(__xludf.DUMMYFUNCTION("""COMPUTED_VALUE"""),40529.0)</f>
        <v>40529</v>
      </c>
      <c r="G221" s="1">
        <f>IFERROR(__xludf.DUMMYFUNCTION("""COMPUTED_VALUE"""),10319.0)</f>
        <v>10319</v>
      </c>
    </row>
    <row r="222">
      <c r="A222" s="1" t="str">
        <f>IFERROR(__xludf.DUMMYFUNCTION("""COMPUTED_VALUE"""),"Chestatee State Bank")</f>
        <v>Chestatee State Bank</v>
      </c>
      <c r="B222" s="1" t="str">
        <f>IFERROR(__xludf.DUMMYFUNCTION("""COMPUTED_VALUE"""),"Dawsonville")</f>
        <v>Dawsonville</v>
      </c>
      <c r="C222" s="1" t="str">
        <f>IFERROR(__xludf.DUMMYFUNCTION("""COMPUTED_VALUE"""),"GA")</f>
        <v>GA</v>
      </c>
      <c r="D222" s="1">
        <f>IFERROR(__xludf.DUMMYFUNCTION("""COMPUTED_VALUE"""),34578.0)</f>
        <v>34578</v>
      </c>
      <c r="E222" s="1" t="str">
        <f>IFERROR(__xludf.DUMMYFUNCTION("""COMPUTED_VALUE"""),"Bank of the Ozarks")</f>
        <v>Bank of the Ozarks</v>
      </c>
      <c r="F222" s="2">
        <f>IFERROR(__xludf.DUMMYFUNCTION("""COMPUTED_VALUE"""),40529.0)</f>
        <v>40529</v>
      </c>
      <c r="G222" s="1">
        <f>IFERROR(__xludf.DUMMYFUNCTION("""COMPUTED_VALUE"""),10320.0)</f>
        <v>10320</v>
      </c>
    </row>
    <row r="223">
      <c r="A223" s="1" t="str">
        <f>IFERROR(__xludf.DUMMYFUNCTION("""COMPUTED_VALUE"""),"The Bank of Miami,N.A.")</f>
        <v>The Bank of Miami,N.A.</v>
      </c>
      <c r="B223" s="1" t="str">
        <f>IFERROR(__xludf.DUMMYFUNCTION("""COMPUTED_VALUE"""),"Coral Gables")</f>
        <v>Coral Gables</v>
      </c>
      <c r="C223" s="1" t="str">
        <f>IFERROR(__xludf.DUMMYFUNCTION("""COMPUTED_VALUE"""),"FL")</f>
        <v>FL</v>
      </c>
      <c r="D223" s="1">
        <f>IFERROR(__xludf.DUMMYFUNCTION("""COMPUTED_VALUE"""),19040.0)</f>
        <v>19040</v>
      </c>
      <c r="E223" s="1" t="str">
        <f>IFERROR(__xludf.DUMMYFUNCTION("""COMPUTED_VALUE"""),"1st United Bank")</f>
        <v>1st United Bank</v>
      </c>
      <c r="F223" s="2">
        <f>IFERROR(__xludf.DUMMYFUNCTION("""COMPUTED_VALUE"""),40529.0)</f>
        <v>40529</v>
      </c>
      <c r="G223" s="1">
        <f>IFERROR(__xludf.DUMMYFUNCTION("""COMPUTED_VALUE"""),10324.0)</f>
        <v>10324</v>
      </c>
    </row>
    <row r="224">
      <c r="A224" s="1" t="str">
        <f>IFERROR(__xludf.DUMMYFUNCTION("""COMPUTED_VALUE"""),"Earthstar Bank")</f>
        <v>Earthstar Bank</v>
      </c>
      <c r="B224" s="1" t="str">
        <f>IFERROR(__xludf.DUMMYFUNCTION("""COMPUTED_VALUE"""),"Southampton")</f>
        <v>Southampton</v>
      </c>
      <c r="C224" s="1" t="str">
        <f>IFERROR(__xludf.DUMMYFUNCTION("""COMPUTED_VALUE"""),"PA")</f>
        <v>PA</v>
      </c>
      <c r="D224" s="1">
        <f>IFERROR(__xludf.DUMMYFUNCTION("""COMPUTED_VALUE"""),35561.0)</f>
        <v>35561</v>
      </c>
      <c r="E224" s="1" t="str">
        <f>IFERROR(__xludf.DUMMYFUNCTION("""COMPUTED_VALUE"""),"Polonia Bank")</f>
        <v>Polonia Bank</v>
      </c>
      <c r="F224" s="2">
        <f>IFERROR(__xludf.DUMMYFUNCTION("""COMPUTED_VALUE"""),40522.0)</f>
        <v>40522</v>
      </c>
      <c r="G224" s="1">
        <f>IFERROR(__xludf.DUMMYFUNCTION("""COMPUTED_VALUE"""),10317.0)</f>
        <v>10317</v>
      </c>
    </row>
    <row r="225">
      <c r="A225" s="1" t="str">
        <f>IFERROR(__xludf.DUMMYFUNCTION("""COMPUTED_VALUE"""),"Paramount Bank")</f>
        <v>Paramount Bank</v>
      </c>
      <c r="B225" s="1" t="str">
        <f>IFERROR(__xludf.DUMMYFUNCTION("""COMPUTED_VALUE"""),"Farmington Hills")</f>
        <v>Farmington Hills</v>
      </c>
      <c r="C225" s="1" t="str">
        <f>IFERROR(__xludf.DUMMYFUNCTION("""COMPUTED_VALUE"""),"MI")</f>
        <v>MI</v>
      </c>
      <c r="D225" s="1">
        <f>IFERROR(__xludf.DUMMYFUNCTION("""COMPUTED_VALUE"""),34673.0)</f>
        <v>34673</v>
      </c>
      <c r="E225" s="1" t="str">
        <f>IFERROR(__xludf.DUMMYFUNCTION("""COMPUTED_VALUE"""),"Level One Bank")</f>
        <v>Level One Bank</v>
      </c>
      <c r="F225" s="2">
        <f>IFERROR(__xludf.DUMMYFUNCTION("""COMPUTED_VALUE"""),40522.0)</f>
        <v>40522</v>
      </c>
      <c r="G225" s="1">
        <f>IFERROR(__xludf.DUMMYFUNCTION("""COMPUTED_VALUE"""),10318.0)</f>
        <v>10318</v>
      </c>
    </row>
    <row r="226">
      <c r="A226" s="1" t="str">
        <f>IFERROR(__xludf.DUMMYFUNCTION("""COMPUTED_VALUE"""),"First Banking Center")</f>
        <v>First Banking Center</v>
      </c>
      <c r="B226" s="1" t="str">
        <f>IFERROR(__xludf.DUMMYFUNCTION("""COMPUTED_VALUE"""),"Burlington")</f>
        <v>Burlington</v>
      </c>
      <c r="C226" s="1" t="str">
        <f>IFERROR(__xludf.DUMMYFUNCTION("""COMPUTED_VALUE"""),"WI")</f>
        <v>WI</v>
      </c>
      <c r="D226" s="1">
        <f>IFERROR(__xludf.DUMMYFUNCTION("""COMPUTED_VALUE"""),5287.0)</f>
        <v>5287</v>
      </c>
      <c r="E226" s="1" t="str">
        <f>IFERROR(__xludf.DUMMYFUNCTION("""COMPUTED_VALUE"""),"First Michigan Bank")</f>
        <v>First Michigan Bank</v>
      </c>
      <c r="F226" s="2">
        <f>IFERROR(__xludf.DUMMYFUNCTION("""COMPUTED_VALUE"""),40501.0)</f>
        <v>40501</v>
      </c>
      <c r="G226" s="1">
        <f>IFERROR(__xludf.DUMMYFUNCTION("""COMPUTED_VALUE"""),10315.0)</f>
        <v>10315</v>
      </c>
    </row>
    <row r="227">
      <c r="A227" s="1" t="str">
        <f>IFERROR(__xludf.DUMMYFUNCTION("""COMPUTED_VALUE"""),"Allegiance Bank of North America")</f>
        <v>Allegiance Bank of North America</v>
      </c>
      <c r="B227" s="1" t="str">
        <f>IFERROR(__xludf.DUMMYFUNCTION("""COMPUTED_VALUE"""),"Bala Cynwyd")</f>
        <v>Bala Cynwyd</v>
      </c>
      <c r="C227" s="1" t="str">
        <f>IFERROR(__xludf.DUMMYFUNCTION("""COMPUTED_VALUE"""),"PA")</f>
        <v>PA</v>
      </c>
      <c r="D227" s="1">
        <f>IFERROR(__xludf.DUMMYFUNCTION("""COMPUTED_VALUE"""),35078.0)</f>
        <v>35078</v>
      </c>
      <c r="E227" s="1" t="str">
        <f>IFERROR(__xludf.DUMMYFUNCTION("""COMPUTED_VALUE"""),"VIST Bank")</f>
        <v>VIST Bank</v>
      </c>
      <c r="F227" s="2">
        <f>IFERROR(__xludf.DUMMYFUNCTION("""COMPUTED_VALUE"""),40501.0)</f>
        <v>40501</v>
      </c>
      <c r="G227" s="1">
        <f>IFERROR(__xludf.DUMMYFUNCTION("""COMPUTED_VALUE"""),10314.0)</f>
        <v>10314</v>
      </c>
    </row>
    <row r="228">
      <c r="A228" s="1" t="str">
        <f>IFERROR(__xludf.DUMMYFUNCTION("""COMPUTED_VALUE"""),"Gulf State Community Bank")</f>
        <v>Gulf State Community Bank</v>
      </c>
      <c r="B228" s="1" t="str">
        <f>IFERROR(__xludf.DUMMYFUNCTION("""COMPUTED_VALUE"""),"Carrabelle")</f>
        <v>Carrabelle</v>
      </c>
      <c r="C228" s="1" t="str">
        <f>IFERROR(__xludf.DUMMYFUNCTION("""COMPUTED_VALUE"""),"FL")</f>
        <v>FL</v>
      </c>
      <c r="D228" s="1">
        <f>IFERROR(__xludf.DUMMYFUNCTION("""COMPUTED_VALUE"""),20340.0)</f>
        <v>20340</v>
      </c>
      <c r="E228" s="1" t="str">
        <f>IFERROR(__xludf.DUMMYFUNCTION("""COMPUTED_VALUE"""),"Centennial Bank")</f>
        <v>Centennial Bank</v>
      </c>
      <c r="F228" s="2">
        <f>IFERROR(__xludf.DUMMYFUNCTION("""COMPUTED_VALUE"""),40501.0)</f>
        <v>40501</v>
      </c>
      <c r="G228" s="1">
        <f>IFERROR(__xludf.DUMMYFUNCTION("""COMPUTED_VALUE"""),10316.0)</f>
        <v>10316</v>
      </c>
    </row>
    <row r="229">
      <c r="A229" s="1" t="str">
        <f>IFERROR(__xludf.DUMMYFUNCTION("""COMPUTED_VALUE"""),"Copper Star Bank")</f>
        <v>Copper Star Bank</v>
      </c>
      <c r="B229" s="1" t="str">
        <f>IFERROR(__xludf.DUMMYFUNCTION("""COMPUTED_VALUE"""),"Scottsdale")</f>
        <v>Scottsdale</v>
      </c>
      <c r="C229" s="1" t="str">
        <f>IFERROR(__xludf.DUMMYFUNCTION("""COMPUTED_VALUE"""),"AZ")</f>
        <v>AZ</v>
      </c>
      <c r="D229" s="1">
        <f>IFERROR(__xludf.DUMMYFUNCTION("""COMPUTED_VALUE"""),35463.0)</f>
        <v>35463</v>
      </c>
      <c r="E229" s="1" t="str">
        <f>IFERROR(__xludf.DUMMYFUNCTION("""COMPUTED_VALUE"""),"Stearns Bank, N.A.")</f>
        <v>Stearns Bank, N.A.</v>
      </c>
      <c r="F229" s="2">
        <f>IFERROR(__xludf.DUMMYFUNCTION("""COMPUTED_VALUE"""),40494.0)</f>
        <v>40494</v>
      </c>
      <c r="G229" s="1">
        <f>IFERROR(__xludf.DUMMYFUNCTION("""COMPUTED_VALUE"""),10311.0)</f>
        <v>10311</v>
      </c>
    </row>
    <row r="230">
      <c r="A230" s="1" t="str">
        <f>IFERROR(__xludf.DUMMYFUNCTION("""COMPUTED_VALUE"""),"Darby Bank &amp; Trust Co.")</f>
        <v>Darby Bank &amp; Trust Co.</v>
      </c>
      <c r="B230" s="1" t="str">
        <f>IFERROR(__xludf.DUMMYFUNCTION("""COMPUTED_VALUE"""),"Vidalia")</f>
        <v>Vidalia</v>
      </c>
      <c r="C230" s="1" t="str">
        <f>IFERROR(__xludf.DUMMYFUNCTION("""COMPUTED_VALUE"""),"GA")</f>
        <v>GA</v>
      </c>
      <c r="D230" s="1">
        <f>IFERROR(__xludf.DUMMYFUNCTION("""COMPUTED_VALUE"""),14580.0)</f>
        <v>14580</v>
      </c>
      <c r="E230" s="1" t="str">
        <f>IFERROR(__xludf.DUMMYFUNCTION("""COMPUTED_VALUE"""),"Ameris Bank")</f>
        <v>Ameris Bank</v>
      </c>
      <c r="F230" s="2">
        <f>IFERROR(__xludf.DUMMYFUNCTION("""COMPUTED_VALUE"""),40494.0)</f>
        <v>40494</v>
      </c>
      <c r="G230" s="1">
        <f>IFERROR(__xludf.DUMMYFUNCTION("""COMPUTED_VALUE"""),10312.0)</f>
        <v>10312</v>
      </c>
    </row>
    <row r="231">
      <c r="A231" s="1" t="str">
        <f>IFERROR(__xludf.DUMMYFUNCTION("""COMPUTED_VALUE"""),"Tifton Banking Company")</f>
        <v>Tifton Banking Company</v>
      </c>
      <c r="B231" s="1" t="str">
        <f>IFERROR(__xludf.DUMMYFUNCTION("""COMPUTED_VALUE"""),"Tifton")</f>
        <v>Tifton</v>
      </c>
      <c r="C231" s="1" t="str">
        <f>IFERROR(__xludf.DUMMYFUNCTION("""COMPUTED_VALUE"""),"GA")</f>
        <v>GA</v>
      </c>
      <c r="D231" s="1">
        <f>IFERROR(__xludf.DUMMYFUNCTION("""COMPUTED_VALUE"""),57831.0)</f>
        <v>57831</v>
      </c>
      <c r="E231" s="1" t="str">
        <f>IFERROR(__xludf.DUMMYFUNCTION("""COMPUTED_VALUE"""),"Ameris Bank")</f>
        <v>Ameris Bank</v>
      </c>
      <c r="F231" s="2">
        <f>IFERROR(__xludf.DUMMYFUNCTION("""COMPUTED_VALUE"""),40494.0)</f>
        <v>40494</v>
      </c>
      <c r="G231" s="1">
        <f>IFERROR(__xludf.DUMMYFUNCTION("""COMPUTED_VALUE"""),10313.0)</f>
        <v>10313</v>
      </c>
    </row>
    <row r="232">
      <c r="A232" s="1" t="str">
        <f>IFERROR(__xludf.DUMMYFUNCTION("""COMPUTED_VALUE"""),"First Vietnamese American Bank")</f>
        <v>First Vietnamese American Bank</v>
      </c>
      <c r="B232" s="1" t="str">
        <f>IFERROR(__xludf.DUMMYFUNCTION("""COMPUTED_VALUE"""),"Westminster")</f>
        <v>Westminster</v>
      </c>
      <c r="C232" s="1" t="str">
        <f>IFERROR(__xludf.DUMMYFUNCTION("""COMPUTED_VALUE"""),"CA")</f>
        <v>CA</v>
      </c>
      <c r="D232" s="1">
        <f>IFERROR(__xludf.DUMMYFUNCTION("""COMPUTED_VALUE"""),57885.0)</f>
        <v>57885</v>
      </c>
      <c r="E232" s="1" t="str">
        <f>IFERROR(__xludf.DUMMYFUNCTION("""COMPUTED_VALUE"""),"Grandpoint Bank")</f>
        <v>Grandpoint Bank</v>
      </c>
      <c r="F232" s="2">
        <f>IFERROR(__xludf.DUMMYFUNCTION("""COMPUTED_VALUE"""),40487.0)</f>
        <v>40487</v>
      </c>
      <c r="G232" s="1">
        <f>IFERROR(__xludf.DUMMYFUNCTION("""COMPUTED_VALUE"""),10307.0)</f>
        <v>10307</v>
      </c>
    </row>
    <row r="233">
      <c r="A233" s="1" t="str">
        <f>IFERROR(__xludf.DUMMYFUNCTION("""COMPUTED_VALUE"""),"Pierce Commercial Bank")</f>
        <v>Pierce Commercial Bank</v>
      </c>
      <c r="B233" s="1" t="str">
        <f>IFERROR(__xludf.DUMMYFUNCTION("""COMPUTED_VALUE"""),"Tacoma")</f>
        <v>Tacoma</v>
      </c>
      <c r="C233" s="1" t="str">
        <f>IFERROR(__xludf.DUMMYFUNCTION("""COMPUTED_VALUE"""),"WA")</f>
        <v>WA</v>
      </c>
      <c r="D233" s="1">
        <f>IFERROR(__xludf.DUMMYFUNCTION("""COMPUTED_VALUE"""),34411.0)</f>
        <v>34411</v>
      </c>
      <c r="E233" s="1" t="str">
        <f>IFERROR(__xludf.DUMMYFUNCTION("""COMPUTED_VALUE"""),"Heritage Bank")</f>
        <v>Heritage Bank</v>
      </c>
      <c r="F233" s="2">
        <f>IFERROR(__xludf.DUMMYFUNCTION("""COMPUTED_VALUE"""),40487.0)</f>
        <v>40487</v>
      </c>
      <c r="G233" s="1">
        <f>IFERROR(__xludf.DUMMYFUNCTION("""COMPUTED_VALUE"""),10309.0)</f>
        <v>10309</v>
      </c>
    </row>
    <row r="234">
      <c r="A234" s="1" t="str">
        <f>IFERROR(__xludf.DUMMYFUNCTION("""COMPUTED_VALUE"""),"Western Commercial Bank")</f>
        <v>Western Commercial Bank</v>
      </c>
      <c r="B234" s="1" t="str">
        <f>IFERROR(__xludf.DUMMYFUNCTION("""COMPUTED_VALUE"""),"Woodland Hills")</f>
        <v>Woodland Hills</v>
      </c>
      <c r="C234" s="1" t="str">
        <f>IFERROR(__xludf.DUMMYFUNCTION("""COMPUTED_VALUE"""),"CA")</f>
        <v>CA</v>
      </c>
      <c r="D234" s="1">
        <f>IFERROR(__xludf.DUMMYFUNCTION("""COMPUTED_VALUE"""),58087.0)</f>
        <v>58087</v>
      </c>
      <c r="E234" s="1" t="str">
        <f>IFERROR(__xludf.DUMMYFUNCTION("""COMPUTED_VALUE"""),"First California Bank")</f>
        <v>First California Bank</v>
      </c>
      <c r="F234" s="2">
        <f>IFERROR(__xludf.DUMMYFUNCTION("""COMPUTED_VALUE"""),40487.0)</f>
        <v>40487</v>
      </c>
      <c r="G234" s="1">
        <f>IFERROR(__xludf.DUMMYFUNCTION("""COMPUTED_VALUE"""),10310.0)</f>
        <v>10310</v>
      </c>
    </row>
    <row r="235">
      <c r="A235" s="1" t="str">
        <f>IFERROR(__xludf.DUMMYFUNCTION("""COMPUTED_VALUE"""),"K Bank")</f>
        <v>K Bank</v>
      </c>
      <c r="B235" s="1" t="str">
        <f>IFERROR(__xludf.DUMMYFUNCTION("""COMPUTED_VALUE"""),"Randallstown")</f>
        <v>Randallstown</v>
      </c>
      <c r="C235" s="1" t="str">
        <f>IFERROR(__xludf.DUMMYFUNCTION("""COMPUTED_VALUE"""),"MD")</f>
        <v>MD</v>
      </c>
      <c r="D235" s="1">
        <f>IFERROR(__xludf.DUMMYFUNCTION("""COMPUTED_VALUE"""),31263.0)</f>
        <v>31263</v>
      </c>
      <c r="E235" s="1" t="str">
        <f>IFERROR(__xludf.DUMMYFUNCTION("""COMPUTED_VALUE"""),"Manufacturers and Traders Trust Company (M&amp;T Bank)")</f>
        <v>Manufacturers and Traders Trust Company (M&amp;T Bank)</v>
      </c>
      <c r="F235" s="2">
        <f>IFERROR(__xludf.DUMMYFUNCTION("""COMPUTED_VALUE"""),40487.0)</f>
        <v>40487</v>
      </c>
      <c r="G235" s="1">
        <f>IFERROR(__xludf.DUMMYFUNCTION("""COMPUTED_VALUE"""),10308.0)</f>
        <v>10308</v>
      </c>
    </row>
    <row r="236">
      <c r="A236" s="1" t="str">
        <f>IFERROR(__xludf.DUMMYFUNCTION("""COMPUTED_VALUE"""),"First Arizona Savings, A FSB")</f>
        <v>First Arizona Savings, A FSB</v>
      </c>
      <c r="B236" s="1" t="str">
        <f>IFERROR(__xludf.DUMMYFUNCTION("""COMPUTED_VALUE"""),"Scottsdale")</f>
        <v>Scottsdale</v>
      </c>
      <c r="C236" s="1" t="str">
        <f>IFERROR(__xludf.DUMMYFUNCTION("""COMPUTED_VALUE"""),"AZ")</f>
        <v>AZ</v>
      </c>
      <c r="D236" s="1">
        <f>IFERROR(__xludf.DUMMYFUNCTION("""COMPUTED_VALUE"""),32582.0)</f>
        <v>32582</v>
      </c>
      <c r="E236" s="1" t="str">
        <f>IFERROR(__xludf.DUMMYFUNCTION("""COMPUTED_VALUE"""),"No Acquirer")</f>
        <v>No Acquirer</v>
      </c>
      <c r="F236" s="2">
        <f>IFERROR(__xludf.DUMMYFUNCTION("""COMPUTED_VALUE"""),40473.0)</f>
        <v>40473</v>
      </c>
      <c r="G236" s="1">
        <f>IFERROR(__xludf.DUMMYFUNCTION("""COMPUTED_VALUE"""),10306.0)</f>
        <v>10306</v>
      </c>
    </row>
    <row r="237">
      <c r="A237" s="1" t="str">
        <f>IFERROR(__xludf.DUMMYFUNCTION("""COMPUTED_VALUE"""),"Hillcrest Bank")</f>
        <v>Hillcrest Bank</v>
      </c>
      <c r="B237" s="1" t="str">
        <f>IFERROR(__xludf.DUMMYFUNCTION("""COMPUTED_VALUE"""),"Overland Park")</f>
        <v>Overland Park</v>
      </c>
      <c r="C237" s="1" t="str">
        <f>IFERROR(__xludf.DUMMYFUNCTION("""COMPUTED_VALUE"""),"KS")</f>
        <v>KS</v>
      </c>
      <c r="D237" s="1">
        <f>IFERROR(__xludf.DUMMYFUNCTION("""COMPUTED_VALUE"""),22173.0)</f>
        <v>22173</v>
      </c>
      <c r="E237" s="1" t="str">
        <f>IFERROR(__xludf.DUMMYFUNCTION("""COMPUTED_VALUE"""),"Hillcrest Bank, N.A.")</f>
        <v>Hillcrest Bank, N.A.</v>
      </c>
      <c r="F237" s="2">
        <f>IFERROR(__xludf.DUMMYFUNCTION("""COMPUTED_VALUE"""),40473.0)</f>
        <v>40473</v>
      </c>
      <c r="G237" s="1">
        <f>IFERROR(__xludf.DUMMYFUNCTION("""COMPUTED_VALUE"""),10302.0)</f>
        <v>10302</v>
      </c>
    </row>
    <row r="238">
      <c r="A238" s="1" t="str">
        <f>IFERROR(__xludf.DUMMYFUNCTION("""COMPUTED_VALUE"""),"First Suburban National Bank")</f>
        <v>First Suburban National Bank</v>
      </c>
      <c r="B238" s="1" t="str">
        <f>IFERROR(__xludf.DUMMYFUNCTION("""COMPUTED_VALUE"""),"Maywood")</f>
        <v>Maywood</v>
      </c>
      <c r="C238" s="1" t="str">
        <f>IFERROR(__xludf.DUMMYFUNCTION("""COMPUTED_VALUE"""),"IL")</f>
        <v>IL</v>
      </c>
      <c r="D238" s="1">
        <f>IFERROR(__xludf.DUMMYFUNCTION("""COMPUTED_VALUE"""),16089.0)</f>
        <v>16089</v>
      </c>
      <c r="E238" s="1" t="str">
        <f>IFERROR(__xludf.DUMMYFUNCTION("""COMPUTED_VALUE"""),"Seaway Bank and Trust Company")</f>
        <v>Seaway Bank and Trust Company</v>
      </c>
      <c r="F238" s="2">
        <f>IFERROR(__xludf.DUMMYFUNCTION("""COMPUTED_VALUE"""),40473.0)</f>
        <v>40473</v>
      </c>
      <c r="G238" s="1">
        <f>IFERROR(__xludf.DUMMYFUNCTION("""COMPUTED_VALUE"""),10301.0)</f>
        <v>10301</v>
      </c>
    </row>
    <row r="239">
      <c r="A239" s="1" t="str">
        <f>IFERROR(__xludf.DUMMYFUNCTION("""COMPUTED_VALUE"""),"The First National Bank of Barnesville")</f>
        <v>The First National Bank of Barnesville</v>
      </c>
      <c r="B239" s="1" t="str">
        <f>IFERROR(__xludf.DUMMYFUNCTION("""COMPUTED_VALUE"""),"Barnesville")</f>
        <v>Barnesville</v>
      </c>
      <c r="C239" s="1" t="str">
        <f>IFERROR(__xludf.DUMMYFUNCTION("""COMPUTED_VALUE"""),"GA")</f>
        <v>GA</v>
      </c>
      <c r="D239" s="1">
        <f>IFERROR(__xludf.DUMMYFUNCTION("""COMPUTED_VALUE"""),2119.0)</f>
        <v>2119</v>
      </c>
      <c r="E239" s="1" t="str">
        <f>IFERROR(__xludf.DUMMYFUNCTION("""COMPUTED_VALUE"""),"United Bank")</f>
        <v>United Bank</v>
      </c>
      <c r="F239" s="2">
        <f>IFERROR(__xludf.DUMMYFUNCTION("""COMPUTED_VALUE"""),40473.0)</f>
        <v>40473</v>
      </c>
      <c r="G239" s="1">
        <f>IFERROR(__xludf.DUMMYFUNCTION("""COMPUTED_VALUE"""),10304.0)</f>
        <v>10304</v>
      </c>
    </row>
    <row r="240">
      <c r="A240" s="1" t="str">
        <f>IFERROR(__xludf.DUMMYFUNCTION("""COMPUTED_VALUE"""),"The Gordon Bank")</f>
        <v>The Gordon Bank</v>
      </c>
      <c r="B240" s="1" t="str">
        <f>IFERROR(__xludf.DUMMYFUNCTION("""COMPUTED_VALUE"""),"Gordon")</f>
        <v>Gordon</v>
      </c>
      <c r="C240" s="1" t="str">
        <f>IFERROR(__xludf.DUMMYFUNCTION("""COMPUTED_VALUE"""),"GA")</f>
        <v>GA</v>
      </c>
      <c r="D240" s="1">
        <f>IFERROR(__xludf.DUMMYFUNCTION("""COMPUTED_VALUE"""),33904.0)</f>
        <v>33904</v>
      </c>
      <c r="E240" s="1" t="str">
        <f>IFERROR(__xludf.DUMMYFUNCTION("""COMPUTED_VALUE"""),"Morris Bank")</f>
        <v>Morris Bank</v>
      </c>
      <c r="F240" s="2">
        <f>IFERROR(__xludf.DUMMYFUNCTION("""COMPUTED_VALUE"""),40473.0)</f>
        <v>40473</v>
      </c>
      <c r="G240" s="1">
        <f>IFERROR(__xludf.DUMMYFUNCTION("""COMPUTED_VALUE"""),10305.0)</f>
        <v>10305</v>
      </c>
    </row>
    <row r="241">
      <c r="A241" s="1" t="str">
        <f>IFERROR(__xludf.DUMMYFUNCTION("""COMPUTED_VALUE"""),"Progress Bank of Florida")</f>
        <v>Progress Bank of Florida</v>
      </c>
      <c r="B241" s="1" t="str">
        <f>IFERROR(__xludf.DUMMYFUNCTION("""COMPUTED_VALUE"""),"Tampa")</f>
        <v>Tampa</v>
      </c>
      <c r="C241" s="1" t="str">
        <f>IFERROR(__xludf.DUMMYFUNCTION("""COMPUTED_VALUE"""),"FL")</f>
        <v>FL</v>
      </c>
      <c r="D241" s="1">
        <f>IFERROR(__xludf.DUMMYFUNCTION("""COMPUTED_VALUE"""),32251.0)</f>
        <v>32251</v>
      </c>
      <c r="E241" s="1" t="str">
        <f>IFERROR(__xludf.DUMMYFUNCTION("""COMPUTED_VALUE"""),"Bay Cities Bank")</f>
        <v>Bay Cities Bank</v>
      </c>
      <c r="F241" s="2">
        <f>IFERROR(__xludf.DUMMYFUNCTION("""COMPUTED_VALUE"""),40473.0)</f>
        <v>40473</v>
      </c>
      <c r="G241" s="1">
        <f>IFERROR(__xludf.DUMMYFUNCTION("""COMPUTED_VALUE"""),10303.0)</f>
        <v>10303</v>
      </c>
    </row>
    <row r="242">
      <c r="A242" s="1" t="str">
        <f>IFERROR(__xludf.DUMMYFUNCTION("""COMPUTED_VALUE"""),"First Bank of Jacksonville")</f>
        <v>First Bank of Jacksonville</v>
      </c>
      <c r="B242" s="1" t="str">
        <f>IFERROR(__xludf.DUMMYFUNCTION("""COMPUTED_VALUE"""),"Jacksonville")</f>
        <v>Jacksonville</v>
      </c>
      <c r="C242" s="1" t="str">
        <f>IFERROR(__xludf.DUMMYFUNCTION("""COMPUTED_VALUE"""),"FL")</f>
        <v>FL</v>
      </c>
      <c r="D242" s="1">
        <f>IFERROR(__xludf.DUMMYFUNCTION("""COMPUTED_VALUE"""),27573.0)</f>
        <v>27573</v>
      </c>
      <c r="E242" s="1" t="str">
        <f>IFERROR(__xludf.DUMMYFUNCTION("""COMPUTED_VALUE"""),"Ameris Bank")</f>
        <v>Ameris Bank</v>
      </c>
      <c r="F242" s="2">
        <f>IFERROR(__xludf.DUMMYFUNCTION("""COMPUTED_VALUE"""),40473.0)</f>
        <v>40473</v>
      </c>
      <c r="G242" s="1">
        <f>IFERROR(__xludf.DUMMYFUNCTION("""COMPUTED_VALUE"""),10300.0)</f>
        <v>10300</v>
      </c>
    </row>
    <row r="243">
      <c r="A243" s="1" t="str">
        <f>IFERROR(__xludf.DUMMYFUNCTION("""COMPUTED_VALUE"""),"Premier Bank")</f>
        <v>Premier Bank</v>
      </c>
      <c r="B243" s="1" t="str">
        <f>IFERROR(__xludf.DUMMYFUNCTION("""COMPUTED_VALUE"""),"Jefferson City")</f>
        <v>Jefferson City</v>
      </c>
      <c r="C243" s="1" t="str">
        <f>IFERROR(__xludf.DUMMYFUNCTION("""COMPUTED_VALUE"""),"MO")</f>
        <v>MO</v>
      </c>
      <c r="D243" s="1">
        <f>IFERROR(__xludf.DUMMYFUNCTION("""COMPUTED_VALUE"""),34016.0)</f>
        <v>34016</v>
      </c>
      <c r="E243" s="1" t="str">
        <f>IFERROR(__xludf.DUMMYFUNCTION("""COMPUTED_VALUE"""),"Providence Bank")</f>
        <v>Providence Bank</v>
      </c>
      <c r="F243" s="2">
        <f>IFERROR(__xludf.DUMMYFUNCTION("""COMPUTED_VALUE"""),40466.0)</f>
        <v>40466</v>
      </c>
      <c r="G243" s="1">
        <f>IFERROR(__xludf.DUMMYFUNCTION("""COMPUTED_VALUE"""),10297.0)</f>
        <v>10297</v>
      </c>
    </row>
    <row r="244">
      <c r="A244" s="1" t="str">
        <f>IFERROR(__xludf.DUMMYFUNCTION("""COMPUTED_VALUE"""),"WestBridge Bank and Trust Company")</f>
        <v>WestBridge Bank and Trust Company</v>
      </c>
      <c r="B244" s="1" t="str">
        <f>IFERROR(__xludf.DUMMYFUNCTION("""COMPUTED_VALUE"""),"Chesterfield")</f>
        <v>Chesterfield</v>
      </c>
      <c r="C244" s="1" t="str">
        <f>IFERROR(__xludf.DUMMYFUNCTION("""COMPUTED_VALUE"""),"MO")</f>
        <v>MO</v>
      </c>
      <c r="D244" s="1">
        <f>IFERROR(__xludf.DUMMYFUNCTION("""COMPUTED_VALUE"""),58205.0)</f>
        <v>58205</v>
      </c>
      <c r="E244" s="1" t="str">
        <f>IFERROR(__xludf.DUMMYFUNCTION("""COMPUTED_VALUE"""),"Midland States Bank")</f>
        <v>Midland States Bank</v>
      </c>
      <c r="F244" s="2">
        <f>IFERROR(__xludf.DUMMYFUNCTION("""COMPUTED_VALUE"""),40466.0)</f>
        <v>40466</v>
      </c>
      <c r="G244" s="1">
        <f>IFERROR(__xludf.DUMMYFUNCTION("""COMPUTED_VALUE"""),10299.0)</f>
        <v>10299</v>
      </c>
    </row>
    <row r="245">
      <c r="A245" s="1" t="str">
        <f>IFERROR(__xludf.DUMMYFUNCTION("""COMPUTED_VALUE"""),"Security Savings Bank, F.S.B.")</f>
        <v>Security Savings Bank, F.S.B.</v>
      </c>
      <c r="B245" s="1" t="str">
        <f>IFERROR(__xludf.DUMMYFUNCTION("""COMPUTED_VALUE"""),"Olathe")</f>
        <v>Olathe</v>
      </c>
      <c r="C245" s="1" t="str">
        <f>IFERROR(__xludf.DUMMYFUNCTION("""COMPUTED_VALUE"""),"KS")</f>
        <v>KS</v>
      </c>
      <c r="D245" s="1">
        <f>IFERROR(__xludf.DUMMYFUNCTION("""COMPUTED_VALUE"""),30898.0)</f>
        <v>30898</v>
      </c>
      <c r="E245" s="1" t="str">
        <f>IFERROR(__xludf.DUMMYFUNCTION("""COMPUTED_VALUE"""),"Simmons First National Bank")</f>
        <v>Simmons First National Bank</v>
      </c>
      <c r="F245" s="2">
        <f>IFERROR(__xludf.DUMMYFUNCTION("""COMPUTED_VALUE"""),40466.0)</f>
        <v>40466</v>
      </c>
      <c r="G245" s="1">
        <f>IFERROR(__xludf.DUMMYFUNCTION("""COMPUTED_VALUE"""),10298.0)</f>
        <v>10298</v>
      </c>
    </row>
    <row r="246">
      <c r="A246" s="1" t="str">
        <f>IFERROR(__xludf.DUMMYFUNCTION("""COMPUTED_VALUE"""),"Shoreline Bank")</f>
        <v>Shoreline Bank</v>
      </c>
      <c r="B246" s="1" t="str">
        <f>IFERROR(__xludf.DUMMYFUNCTION("""COMPUTED_VALUE"""),"Shoreline")</f>
        <v>Shoreline</v>
      </c>
      <c r="C246" s="1" t="str">
        <f>IFERROR(__xludf.DUMMYFUNCTION("""COMPUTED_VALUE"""),"WA")</f>
        <v>WA</v>
      </c>
      <c r="D246" s="1">
        <f>IFERROR(__xludf.DUMMYFUNCTION("""COMPUTED_VALUE"""),35250.0)</f>
        <v>35250</v>
      </c>
      <c r="E246" s="1" t="str">
        <f>IFERROR(__xludf.DUMMYFUNCTION("""COMPUTED_VALUE"""),"GBC International Bank")</f>
        <v>GBC International Bank</v>
      </c>
      <c r="F246" s="2">
        <f>IFERROR(__xludf.DUMMYFUNCTION("""COMPUTED_VALUE"""),40452.0)</f>
        <v>40452</v>
      </c>
      <c r="G246" s="1">
        <f>IFERROR(__xludf.DUMMYFUNCTION("""COMPUTED_VALUE"""),10295.0)</f>
        <v>10295</v>
      </c>
    </row>
    <row r="247">
      <c r="A247" s="1" t="str">
        <f>IFERROR(__xludf.DUMMYFUNCTION("""COMPUTED_VALUE"""),"Wakulla Bank")</f>
        <v>Wakulla Bank</v>
      </c>
      <c r="B247" s="1" t="str">
        <f>IFERROR(__xludf.DUMMYFUNCTION("""COMPUTED_VALUE"""),"Crawfordville")</f>
        <v>Crawfordville</v>
      </c>
      <c r="C247" s="1" t="str">
        <f>IFERROR(__xludf.DUMMYFUNCTION("""COMPUTED_VALUE"""),"FL")</f>
        <v>FL</v>
      </c>
      <c r="D247" s="1">
        <f>IFERROR(__xludf.DUMMYFUNCTION("""COMPUTED_VALUE"""),21777.0)</f>
        <v>21777</v>
      </c>
      <c r="E247" s="1" t="str">
        <f>IFERROR(__xludf.DUMMYFUNCTION("""COMPUTED_VALUE"""),"Centennial Bank")</f>
        <v>Centennial Bank</v>
      </c>
      <c r="F247" s="2">
        <f>IFERROR(__xludf.DUMMYFUNCTION("""COMPUTED_VALUE"""),40452.0)</f>
        <v>40452</v>
      </c>
      <c r="G247" s="1">
        <f>IFERROR(__xludf.DUMMYFUNCTION("""COMPUTED_VALUE"""),10296.0)</f>
        <v>10296</v>
      </c>
    </row>
    <row r="248">
      <c r="A248" s="1" t="str">
        <f>IFERROR(__xludf.DUMMYFUNCTION("""COMPUTED_VALUE"""),"North County Bank")</f>
        <v>North County Bank</v>
      </c>
      <c r="B248" s="1" t="str">
        <f>IFERROR(__xludf.DUMMYFUNCTION("""COMPUTED_VALUE"""),"Arlington")</f>
        <v>Arlington</v>
      </c>
      <c r="C248" s="1" t="str">
        <f>IFERROR(__xludf.DUMMYFUNCTION("""COMPUTED_VALUE"""),"WA")</f>
        <v>WA</v>
      </c>
      <c r="D248" s="1">
        <f>IFERROR(__xludf.DUMMYFUNCTION("""COMPUTED_VALUE"""),35053.0)</f>
        <v>35053</v>
      </c>
      <c r="E248" s="1" t="str">
        <f>IFERROR(__xludf.DUMMYFUNCTION("""COMPUTED_VALUE"""),"Whidbey Island Bank")</f>
        <v>Whidbey Island Bank</v>
      </c>
      <c r="F248" s="2">
        <f>IFERROR(__xludf.DUMMYFUNCTION("""COMPUTED_VALUE"""),40445.0)</f>
        <v>40445</v>
      </c>
      <c r="G248" s="1">
        <f>IFERROR(__xludf.DUMMYFUNCTION("""COMPUTED_VALUE"""),10294.0)</f>
        <v>10294</v>
      </c>
    </row>
    <row r="249">
      <c r="A249" s="1" t="str">
        <f>IFERROR(__xludf.DUMMYFUNCTION("""COMPUTED_VALUE"""),"Haven Trust Bank Florida")</f>
        <v>Haven Trust Bank Florida</v>
      </c>
      <c r="B249" s="1" t="str">
        <f>IFERROR(__xludf.DUMMYFUNCTION("""COMPUTED_VALUE"""),"Ponte Vedra Beach")</f>
        <v>Ponte Vedra Beach</v>
      </c>
      <c r="C249" s="1" t="str">
        <f>IFERROR(__xludf.DUMMYFUNCTION("""COMPUTED_VALUE"""),"FL")</f>
        <v>FL</v>
      </c>
      <c r="D249" s="1">
        <f>IFERROR(__xludf.DUMMYFUNCTION("""COMPUTED_VALUE"""),58308.0)</f>
        <v>58308</v>
      </c>
      <c r="E249" s="1" t="str">
        <f>IFERROR(__xludf.DUMMYFUNCTION("""COMPUTED_VALUE"""),"First Southern Bank")</f>
        <v>First Southern Bank</v>
      </c>
      <c r="F249" s="2">
        <f>IFERROR(__xludf.DUMMYFUNCTION("""COMPUTED_VALUE"""),40445.0)</f>
        <v>40445</v>
      </c>
      <c r="G249" s="1">
        <f>IFERROR(__xludf.DUMMYFUNCTION("""COMPUTED_VALUE"""),10293.0)</f>
        <v>10293</v>
      </c>
    </row>
    <row r="250">
      <c r="A250" s="1" t="str">
        <f>IFERROR(__xludf.DUMMYFUNCTION("""COMPUTED_VALUE"""),"Maritime Savings Bank")</f>
        <v>Maritime Savings Bank</v>
      </c>
      <c r="B250" s="1" t="str">
        <f>IFERROR(__xludf.DUMMYFUNCTION("""COMPUTED_VALUE"""),"West Allis")</f>
        <v>West Allis</v>
      </c>
      <c r="C250" s="1" t="str">
        <f>IFERROR(__xludf.DUMMYFUNCTION("""COMPUTED_VALUE"""),"WI")</f>
        <v>WI</v>
      </c>
      <c r="D250" s="1">
        <f>IFERROR(__xludf.DUMMYFUNCTION("""COMPUTED_VALUE"""),28612.0)</f>
        <v>28612</v>
      </c>
      <c r="E250" s="1" t="str">
        <f>IFERROR(__xludf.DUMMYFUNCTION("""COMPUTED_VALUE"""),"North Shore Bank, FSB")</f>
        <v>North Shore Bank, FSB</v>
      </c>
      <c r="F250" s="2">
        <f>IFERROR(__xludf.DUMMYFUNCTION("""COMPUTED_VALUE"""),40438.0)</f>
        <v>40438</v>
      </c>
      <c r="G250" s="1">
        <f>IFERROR(__xludf.DUMMYFUNCTION("""COMPUTED_VALUE"""),10291.0)</f>
        <v>10291</v>
      </c>
    </row>
    <row r="251">
      <c r="A251" s="1" t="str">
        <f>IFERROR(__xludf.DUMMYFUNCTION("""COMPUTED_VALUE"""),"Bramble Savings Bank")</f>
        <v>Bramble Savings Bank</v>
      </c>
      <c r="B251" s="1" t="str">
        <f>IFERROR(__xludf.DUMMYFUNCTION("""COMPUTED_VALUE"""),"Milford")</f>
        <v>Milford</v>
      </c>
      <c r="C251" s="1" t="str">
        <f>IFERROR(__xludf.DUMMYFUNCTION("""COMPUTED_VALUE"""),"OH")</f>
        <v>OH</v>
      </c>
      <c r="D251" s="1">
        <f>IFERROR(__xludf.DUMMYFUNCTION("""COMPUTED_VALUE"""),27808.0)</f>
        <v>27808</v>
      </c>
      <c r="E251" s="1" t="str">
        <f>IFERROR(__xludf.DUMMYFUNCTION("""COMPUTED_VALUE"""),"Foundation Bank")</f>
        <v>Foundation Bank</v>
      </c>
      <c r="F251" s="2">
        <f>IFERROR(__xludf.DUMMYFUNCTION("""COMPUTED_VALUE"""),40438.0)</f>
        <v>40438</v>
      </c>
      <c r="G251" s="1">
        <f>IFERROR(__xludf.DUMMYFUNCTION("""COMPUTED_VALUE"""),10288.0)</f>
        <v>10288</v>
      </c>
    </row>
    <row r="252">
      <c r="A252" s="1" t="str">
        <f>IFERROR(__xludf.DUMMYFUNCTION("""COMPUTED_VALUE"""),"The Peoples Bank")</f>
        <v>The Peoples Bank</v>
      </c>
      <c r="B252" s="1" t="str">
        <f>IFERROR(__xludf.DUMMYFUNCTION("""COMPUTED_VALUE"""),"Winder")</f>
        <v>Winder</v>
      </c>
      <c r="C252" s="1" t="str">
        <f>IFERROR(__xludf.DUMMYFUNCTION("""COMPUTED_VALUE"""),"GA")</f>
        <v>GA</v>
      </c>
      <c r="D252" s="1">
        <f>IFERROR(__xludf.DUMMYFUNCTION("""COMPUTED_VALUE"""),182.0)</f>
        <v>182</v>
      </c>
      <c r="E252" s="1" t="str">
        <f>IFERROR(__xludf.DUMMYFUNCTION("""COMPUTED_VALUE"""),"Community &amp; Southern Bank")</f>
        <v>Community &amp; Southern Bank</v>
      </c>
      <c r="F252" s="2">
        <f>IFERROR(__xludf.DUMMYFUNCTION("""COMPUTED_VALUE"""),40438.0)</f>
        <v>40438</v>
      </c>
      <c r="G252" s="1">
        <f>IFERROR(__xludf.DUMMYFUNCTION("""COMPUTED_VALUE"""),10292.0)</f>
        <v>10292</v>
      </c>
    </row>
    <row r="253">
      <c r="A253" s="1" t="str">
        <f>IFERROR(__xludf.DUMMYFUNCTION("""COMPUTED_VALUE"""),"First Commerce Community Bank")</f>
        <v>First Commerce Community Bank</v>
      </c>
      <c r="B253" s="1" t="str">
        <f>IFERROR(__xludf.DUMMYFUNCTION("""COMPUTED_VALUE"""),"Douglasville")</f>
        <v>Douglasville</v>
      </c>
      <c r="C253" s="1" t="str">
        <f>IFERROR(__xludf.DUMMYFUNCTION("""COMPUTED_VALUE"""),"GA")</f>
        <v>GA</v>
      </c>
      <c r="D253" s="1">
        <f>IFERROR(__xludf.DUMMYFUNCTION("""COMPUTED_VALUE"""),57448.0)</f>
        <v>57448</v>
      </c>
      <c r="E253" s="1" t="str">
        <f>IFERROR(__xludf.DUMMYFUNCTION("""COMPUTED_VALUE"""),"Community &amp; Southern Bank")</f>
        <v>Community &amp; Southern Bank</v>
      </c>
      <c r="F253" s="2">
        <f>IFERROR(__xludf.DUMMYFUNCTION("""COMPUTED_VALUE"""),40438.0)</f>
        <v>40438</v>
      </c>
      <c r="G253" s="1">
        <f>IFERROR(__xludf.DUMMYFUNCTION("""COMPUTED_VALUE"""),10289.0)</f>
        <v>10289</v>
      </c>
    </row>
    <row r="254">
      <c r="A254" s="1" t="str">
        <f>IFERROR(__xludf.DUMMYFUNCTION("""COMPUTED_VALUE"""),"Bank of Ellijay")</f>
        <v>Bank of Ellijay</v>
      </c>
      <c r="B254" s="1" t="str">
        <f>IFERROR(__xludf.DUMMYFUNCTION("""COMPUTED_VALUE"""),"Ellijay")</f>
        <v>Ellijay</v>
      </c>
      <c r="C254" s="1" t="str">
        <f>IFERROR(__xludf.DUMMYFUNCTION("""COMPUTED_VALUE"""),"GA")</f>
        <v>GA</v>
      </c>
      <c r="D254" s="1">
        <f>IFERROR(__xludf.DUMMYFUNCTION("""COMPUTED_VALUE"""),58197.0)</f>
        <v>58197</v>
      </c>
      <c r="E254" s="1" t="str">
        <f>IFERROR(__xludf.DUMMYFUNCTION("""COMPUTED_VALUE"""),"Community &amp; Southern Bank")</f>
        <v>Community &amp; Southern Bank</v>
      </c>
      <c r="F254" s="2">
        <f>IFERROR(__xludf.DUMMYFUNCTION("""COMPUTED_VALUE"""),40438.0)</f>
        <v>40438</v>
      </c>
      <c r="G254" s="1">
        <f>IFERROR(__xludf.DUMMYFUNCTION("""COMPUTED_VALUE"""),10287.0)</f>
        <v>10287</v>
      </c>
    </row>
    <row r="255">
      <c r="A255" s="1" t="str">
        <f>IFERROR(__xludf.DUMMYFUNCTION("""COMPUTED_VALUE"""),"ISN Bank")</f>
        <v>ISN Bank</v>
      </c>
      <c r="B255" s="1" t="str">
        <f>IFERROR(__xludf.DUMMYFUNCTION("""COMPUTED_VALUE"""),"Cherry Hill")</f>
        <v>Cherry Hill</v>
      </c>
      <c r="C255" s="1" t="str">
        <f>IFERROR(__xludf.DUMMYFUNCTION("""COMPUTED_VALUE"""),"NJ")</f>
        <v>NJ</v>
      </c>
      <c r="D255" s="1">
        <f>IFERROR(__xludf.DUMMYFUNCTION("""COMPUTED_VALUE"""),57107.0)</f>
        <v>57107</v>
      </c>
      <c r="E255" s="1" t="str">
        <f>IFERROR(__xludf.DUMMYFUNCTION("""COMPUTED_VALUE"""),"Customers Bank")</f>
        <v>Customers Bank</v>
      </c>
      <c r="F255" s="2">
        <f>IFERROR(__xludf.DUMMYFUNCTION("""COMPUTED_VALUE"""),40438.0)</f>
        <v>40438</v>
      </c>
      <c r="G255" s="1">
        <f>IFERROR(__xludf.DUMMYFUNCTION("""COMPUTED_VALUE"""),10290.0)</f>
        <v>10290</v>
      </c>
    </row>
    <row r="256">
      <c r="A256" s="1" t="str">
        <f>IFERROR(__xludf.DUMMYFUNCTION("""COMPUTED_VALUE"""),"Horizon Bank")</f>
        <v>Horizon Bank</v>
      </c>
      <c r="B256" s="1" t="str">
        <f>IFERROR(__xludf.DUMMYFUNCTION("""COMPUTED_VALUE"""),"Bradenton")</f>
        <v>Bradenton</v>
      </c>
      <c r="C256" s="1" t="str">
        <f>IFERROR(__xludf.DUMMYFUNCTION("""COMPUTED_VALUE"""),"FL")</f>
        <v>FL</v>
      </c>
      <c r="D256" s="1">
        <f>IFERROR(__xludf.DUMMYFUNCTION("""COMPUTED_VALUE"""),35061.0)</f>
        <v>35061</v>
      </c>
      <c r="E256" s="1" t="str">
        <f>IFERROR(__xludf.DUMMYFUNCTION("""COMPUTED_VALUE"""),"Bank of the Ozarks")</f>
        <v>Bank of the Ozarks</v>
      </c>
      <c r="F256" s="2">
        <f>IFERROR(__xludf.DUMMYFUNCTION("""COMPUTED_VALUE"""),40431.0)</f>
        <v>40431</v>
      </c>
      <c r="G256" s="1">
        <f>IFERROR(__xludf.DUMMYFUNCTION("""COMPUTED_VALUE"""),10286.0)</f>
        <v>10286</v>
      </c>
    </row>
    <row r="257">
      <c r="A257" s="1" t="str">
        <f>IFERROR(__xludf.DUMMYFUNCTION("""COMPUTED_VALUE"""),"Sonoma Valley Bank")</f>
        <v>Sonoma Valley Bank</v>
      </c>
      <c r="B257" s="1" t="str">
        <f>IFERROR(__xludf.DUMMYFUNCTION("""COMPUTED_VALUE"""),"Sonoma")</f>
        <v>Sonoma</v>
      </c>
      <c r="C257" s="1" t="str">
        <f>IFERROR(__xludf.DUMMYFUNCTION("""COMPUTED_VALUE"""),"CA")</f>
        <v>CA</v>
      </c>
      <c r="D257" s="1">
        <f>IFERROR(__xludf.DUMMYFUNCTION("""COMPUTED_VALUE"""),27259.0)</f>
        <v>27259</v>
      </c>
      <c r="E257" s="1" t="str">
        <f>IFERROR(__xludf.DUMMYFUNCTION("""COMPUTED_VALUE"""),"Westamerica Bank")</f>
        <v>Westamerica Bank</v>
      </c>
      <c r="F257" s="2">
        <f>IFERROR(__xludf.DUMMYFUNCTION("""COMPUTED_VALUE"""),40410.0)</f>
        <v>40410</v>
      </c>
      <c r="G257" s="1">
        <f>IFERROR(__xludf.DUMMYFUNCTION("""COMPUTED_VALUE"""),10285.0)</f>
        <v>10285</v>
      </c>
    </row>
    <row r="258">
      <c r="A258" s="1" t="str">
        <f>IFERROR(__xludf.DUMMYFUNCTION("""COMPUTED_VALUE"""),"Los Padres Bank")</f>
        <v>Los Padres Bank</v>
      </c>
      <c r="B258" s="1" t="str">
        <f>IFERROR(__xludf.DUMMYFUNCTION("""COMPUTED_VALUE"""),"Solvang")</f>
        <v>Solvang</v>
      </c>
      <c r="C258" s="1" t="str">
        <f>IFERROR(__xludf.DUMMYFUNCTION("""COMPUTED_VALUE"""),"CA")</f>
        <v>CA</v>
      </c>
      <c r="D258" s="1">
        <f>IFERROR(__xludf.DUMMYFUNCTION("""COMPUTED_VALUE"""),32165.0)</f>
        <v>32165</v>
      </c>
      <c r="E258" s="1" t="str">
        <f>IFERROR(__xludf.DUMMYFUNCTION("""COMPUTED_VALUE"""),"Pacific Western Bank")</f>
        <v>Pacific Western Bank</v>
      </c>
      <c r="F258" s="2">
        <f>IFERROR(__xludf.DUMMYFUNCTION("""COMPUTED_VALUE"""),40410.0)</f>
        <v>40410</v>
      </c>
      <c r="G258" s="1">
        <f>IFERROR(__xludf.DUMMYFUNCTION("""COMPUTED_VALUE"""),10282.0)</f>
        <v>10282</v>
      </c>
    </row>
    <row r="259">
      <c r="A259" s="1" t="str">
        <f>IFERROR(__xludf.DUMMYFUNCTION("""COMPUTED_VALUE"""),"Butte Community Bank")</f>
        <v>Butte Community Bank</v>
      </c>
      <c r="B259" s="1" t="str">
        <f>IFERROR(__xludf.DUMMYFUNCTION("""COMPUTED_VALUE"""),"Chico")</f>
        <v>Chico</v>
      </c>
      <c r="C259" s="1" t="str">
        <f>IFERROR(__xludf.DUMMYFUNCTION("""COMPUTED_VALUE"""),"CA")</f>
        <v>CA</v>
      </c>
      <c r="D259" s="1">
        <f>IFERROR(__xludf.DUMMYFUNCTION("""COMPUTED_VALUE"""),33219.0)</f>
        <v>33219</v>
      </c>
      <c r="E259" s="1" t="str">
        <f>IFERROR(__xludf.DUMMYFUNCTION("""COMPUTED_VALUE"""),"Rabobank, N.A.")</f>
        <v>Rabobank, N.A.</v>
      </c>
      <c r="F259" s="2">
        <f>IFERROR(__xludf.DUMMYFUNCTION("""COMPUTED_VALUE"""),40410.0)</f>
        <v>40410</v>
      </c>
      <c r="G259" s="1">
        <f>IFERROR(__xludf.DUMMYFUNCTION("""COMPUTED_VALUE"""),10278.0)</f>
        <v>10278</v>
      </c>
    </row>
    <row r="260">
      <c r="A260" s="1" t="str">
        <f>IFERROR(__xludf.DUMMYFUNCTION("""COMPUTED_VALUE"""),"Pacific State Bank")</f>
        <v>Pacific State Bank</v>
      </c>
      <c r="B260" s="1" t="str">
        <f>IFERROR(__xludf.DUMMYFUNCTION("""COMPUTED_VALUE"""),"Stockton")</f>
        <v>Stockton</v>
      </c>
      <c r="C260" s="1" t="str">
        <f>IFERROR(__xludf.DUMMYFUNCTION("""COMPUTED_VALUE"""),"CA")</f>
        <v>CA</v>
      </c>
      <c r="D260" s="1">
        <f>IFERROR(__xludf.DUMMYFUNCTION("""COMPUTED_VALUE"""),27090.0)</f>
        <v>27090</v>
      </c>
      <c r="E260" s="1" t="str">
        <f>IFERROR(__xludf.DUMMYFUNCTION("""COMPUTED_VALUE"""),"Rabobank, N.A.")</f>
        <v>Rabobank, N.A.</v>
      </c>
      <c r="F260" s="2">
        <f>IFERROR(__xludf.DUMMYFUNCTION("""COMPUTED_VALUE"""),40410.0)</f>
        <v>40410</v>
      </c>
      <c r="G260" s="1">
        <f>IFERROR(__xludf.DUMMYFUNCTION("""COMPUTED_VALUE"""),10283.0)</f>
        <v>10283</v>
      </c>
    </row>
    <row r="261">
      <c r="A261" s="1" t="str">
        <f>IFERROR(__xludf.DUMMYFUNCTION("""COMPUTED_VALUE"""),"ShoreBank")</f>
        <v>ShoreBank</v>
      </c>
      <c r="B261" s="1" t="str">
        <f>IFERROR(__xludf.DUMMYFUNCTION("""COMPUTED_VALUE"""),"Chicago")</f>
        <v>Chicago</v>
      </c>
      <c r="C261" s="1" t="str">
        <f>IFERROR(__xludf.DUMMYFUNCTION("""COMPUTED_VALUE"""),"IL")</f>
        <v>IL</v>
      </c>
      <c r="D261" s="1">
        <f>IFERROR(__xludf.DUMMYFUNCTION("""COMPUTED_VALUE"""),15640.0)</f>
        <v>15640</v>
      </c>
      <c r="E261" s="1" t="str">
        <f>IFERROR(__xludf.DUMMYFUNCTION("""COMPUTED_VALUE"""),"Urban Partnership Bank")</f>
        <v>Urban Partnership Bank</v>
      </c>
      <c r="F261" s="2">
        <f>IFERROR(__xludf.DUMMYFUNCTION("""COMPUTED_VALUE"""),40410.0)</f>
        <v>40410</v>
      </c>
      <c r="G261" s="1">
        <f>IFERROR(__xludf.DUMMYFUNCTION("""COMPUTED_VALUE"""),10284.0)</f>
        <v>10284</v>
      </c>
    </row>
    <row r="262">
      <c r="A262" s="1" t="str">
        <f>IFERROR(__xludf.DUMMYFUNCTION("""COMPUTED_VALUE"""),"Imperial Savings and Loan Association")</f>
        <v>Imperial Savings and Loan Association</v>
      </c>
      <c r="B262" s="1" t="str">
        <f>IFERROR(__xludf.DUMMYFUNCTION("""COMPUTED_VALUE"""),"Martinsville")</f>
        <v>Martinsville</v>
      </c>
      <c r="C262" s="1" t="str">
        <f>IFERROR(__xludf.DUMMYFUNCTION("""COMPUTED_VALUE"""),"VA")</f>
        <v>VA</v>
      </c>
      <c r="D262" s="1">
        <f>IFERROR(__xludf.DUMMYFUNCTION("""COMPUTED_VALUE"""),31623.0)</f>
        <v>31623</v>
      </c>
      <c r="E262" s="1" t="str">
        <f>IFERROR(__xludf.DUMMYFUNCTION("""COMPUTED_VALUE"""),"River Community Bank, N.A.")</f>
        <v>River Community Bank, N.A.</v>
      </c>
      <c r="F262" s="2">
        <f>IFERROR(__xludf.DUMMYFUNCTION("""COMPUTED_VALUE"""),40410.0)</f>
        <v>40410</v>
      </c>
      <c r="G262" s="1">
        <f>IFERROR(__xludf.DUMMYFUNCTION("""COMPUTED_VALUE"""),10280.0)</f>
        <v>10280</v>
      </c>
    </row>
    <row r="263">
      <c r="A263" s="1" t="str">
        <f>IFERROR(__xludf.DUMMYFUNCTION("""COMPUTED_VALUE"""),"Independent National Bank")</f>
        <v>Independent National Bank</v>
      </c>
      <c r="B263" s="1" t="str">
        <f>IFERROR(__xludf.DUMMYFUNCTION("""COMPUTED_VALUE"""),"Ocala")</f>
        <v>Ocala</v>
      </c>
      <c r="C263" s="1" t="str">
        <f>IFERROR(__xludf.DUMMYFUNCTION("""COMPUTED_VALUE"""),"FL")</f>
        <v>FL</v>
      </c>
      <c r="D263" s="1">
        <f>IFERROR(__xludf.DUMMYFUNCTION("""COMPUTED_VALUE"""),27344.0)</f>
        <v>27344</v>
      </c>
      <c r="E263" s="1" t="str">
        <f>IFERROR(__xludf.DUMMYFUNCTION("""COMPUTED_VALUE"""),"CenterState Bank of Florida, N.A.")</f>
        <v>CenterState Bank of Florida, N.A.</v>
      </c>
      <c r="F263" s="2">
        <f>IFERROR(__xludf.DUMMYFUNCTION("""COMPUTED_VALUE"""),40410.0)</f>
        <v>40410</v>
      </c>
      <c r="G263" s="1">
        <f>IFERROR(__xludf.DUMMYFUNCTION("""COMPUTED_VALUE"""),10281.0)</f>
        <v>10281</v>
      </c>
    </row>
    <row r="264">
      <c r="A264" s="1" t="str">
        <f>IFERROR(__xludf.DUMMYFUNCTION("""COMPUTED_VALUE"""),"Community National Bank at Bartow")</f>
        <v>Community National Bank at Bartow</v>
      </c>
      <c r="B264" s="1" t="str">
        <f>IFERROR(__xludf.DUMMYFUNCTION("""COMPUTED_VALUE"""),"Bartow")</f>
        <v>Bartow</v>
      </c>
      <c r="C264" s="1" t="str">
        <f>IFERROR(__xludf.DUMMYFUNCTION("""COMPUTED_VALUE"""),"FL")</f>
        <v>FL</v>
      </c>
      <c r="D264" s="1">
        <f>IFERROR(__xludf.DUMMYFUNCTION("""COMPUTED_VALUE"""),25266.0)</f>
        <v>25266</v>
      </c>
      <c r="E264" s="1" t="str">
        <f>IFERROR(__xludf.DUMMYFUNCTION("""COMPUTED_VALUE"""),"CenterState Bank of Florida, N.A.")</f>
        <v>CenterState Bank of Florida, N.A.</v>
      </c>
      <c r="F264" s="2">
        <f>IFERROR(__xludf.DUMMYFUNCTION("""COMPUTED_VALUE"""),40410.0)</f>
        <v>40410</v>
      </c>
      <c r="G264" s="1">
        <f>IFERROR(__xludf.DUMMYFUNCTION("""COMPUTED_VALUE"""),10279.0)</f>
        <v>10279</v>
      </c>
    </row>
    <row r="265">
      <c r="A265" s="1" t="str">
        <f>IFERROR(__xludf.DUMMYFUNCTION("""COMPUTED_VALUE"""),"Palos Bank and Trust Company")</f>
        <v>Palos Bank and Trust Company</v>
      </c>
      <c r="B265" s="1" t="str">
        <f>IFERROR(__xludf.DUMMYFUNCTION("""COMPUTED_VALUE"""),"Palos Heights")</f>
        <v>Palos Heights</v>
      </c>
      <c r="C265" s="1" t="str">
        <f>IFERROR(__xludf.DUMMYFUNCTION("""COMPUTED_VALUE"""),"IL")</f>
        <v>IL</v>
      </c>
      <c r="D265" s="1">
        <f>IFERROR(__xludf.DUMMYFUNCTION("""COMPUTED_VALUE"""),17599.0)</f>
        <v>17599</v>
      </c>
      <c r="E265" s="1" t="str">
        <f>IFERROR(__xludf.DUMMYFUNCTION("""COMPUTED_VALUE"""),"First Midwest Bank")</f>
        <v>First Midwest Bank</v>
      </c>
      <c r="F265" s="2">
        <f>IFERROR(__xludf.DUMMYFUNCTION("""COMPUTED_VALUE"""),40403.0)</f>
        <v>40403</v>
      </c>
      <c r="G265" s="1">
        <f>IFERROR(__xludf.DUMMYFUNCTION("""COMPUTED_VALUE"""),10277.0)</f>
        <v>10277</v>
      </c>
    </row>
    <row r="266">
      <c r="A266" s="1" t="str">
        <f>IFERROR(__xludf.DUMMYFUNCTION("""COMPUTED_VALUE"""),"Ravenswood Bank")</f>
        <v>Ravenswood Bank</v>
      </c>
      <c r="B266" s="1" t="str">
        <f>IFERROR(__xludf.DUMMYFUNCTION("""COMPUTED_VALUE"""),"Chicago")</f>
        <v>Chicago</v>
      </c>
      <c r="C266" s="1" t="str">
        <f>IFERROR(__xludf.DUMMYFUNCTION("""COMPUTED_VALUE"""),"IL")</f>
        <v>IL</v>
      </c>
      <c r="D266" s="1">
        <f>IFERROR(__xludf.DUMMYFUNCTION("""COMPUTED_VALUE"""),34231.0)</f>
        <v>34231</v>
      </c>
      <c r="E266" s="1" t="str">
        <f>IFERROR(__xludf.DUMMYFUNCTION("""COMPUTED_VALUE"""),"Northbrook Bank &amp; Trust Company")</f>
        <v>Northbrook Bank &amp; Trust Company</v>
      </c>
      <c r="F266" s="2">
        <f>IFERROR(__xludf.DUMMYFUNCTION("""COMPUTED_VALUE"""),40396.0)</f>
        <v>40396</v>
      </c>
      <c r="G266" s="1">
        <f>IFERROR(__xludf.DUMMYFUNCTION("""COMPUTED_VALUE"""),10276.0)</f>
        <v>10276</v>
      </c>
    </row>
    <row r="267">
      <c r="A267" s="1" t="str">
        <f>IFERROR(__xludf.DUMMYFUNCTION("""COMPUTED_VALUE"""),"LibertyBank")</f>
        <v>LibertyBank</v>
      </c>
      <c r="B267" s="1" t="str">
        <f>IFERROR(__xludf.DUMMYFUNCTION("""COMPUTED_VALUE"""),"Eugene")</f>
        <v>Eugene</v>
      </c>
      <c r="C267" s="1" t="str">
        <f>IFERROR(__xludf.DUMMYFUNCTION("""COMPUTED_VALUE"""),"OR")</f>
        <v>OR</v>
      </c>
      <c r="D267" s="1">
        <f>IFERROR(__xludf.DUMMYFUNCTION("""COMPUTED_VALUE"""),31964.0)</f>
        <v>31964</v>
      </c>
      <c r="E267" s="1" t="str">
        <f>IFERROR(__xludf.DUMMYFUNCTION("""COMPUTED_VALUE"""),"Home Federal Bank")</f>
        <v>Home Federal Bank</v>
      </c>
      <c r="F267" s="2">
        <f>IFERROR(__xludf.DUMMYFUNCTION("""COMPUTED_VALUE"""),40389.0)</f>
        <v>40389</v>
      </c>
      <c r="G267" s="1">
        <f>IFERROR(__xludf.DUMMYFUNCTION("""COMPUTED_VALUE"""),10273.0)</f>
        <v>10273</v>
      </c>
    </row>
    <row r="268">
      <c r="A268" s="1" t="str">
        <f>IFERROR(__xludf.DUMMYFUNCTION("""COMPUTED_VALUE"""),"The Cowlitz Bank")</f>
        <v>The Cowlitz Bank</v>
      </c>
      <c r="B268" s="1" t="str">
        <f>IFERROR(__xludf.DUMMYFUNCTION("""COMPUTED_VALUE"""),"Longview")</f>
        <v>Longview</v>
      </c>
      <c r="C268" s="1" t="str">
        <f>IFERROR(__xludf.DUMMYFUNCTION("""COMPUTED_VALUE"""),"WA")</f>
        <v>WA</v>
      </c>
      <c r="D268" s="1">
        <f>IFERROR(__xludf.DUMMYFUNCTION("""COMPUTED_VALUE"""),22643.0)</f>
        <v>22643</v>
      </c>
      <c r="E268" s="1" t="str">
        <f>IFERROR(__xludf.DUMMYFUNCTION("""COMPUTED_VALUE"""),"Heritage Bank")</f>
        <v>Heritage Bank</v>
      </c>
      <c r="F268" s="2">
        <f>IFERROR(__xludf.DUMMYFUNCTION("""COMPUTED_VALUE"""),40389.0)</f>
        <v>40389</v>
      </c>
      <c r="G268" s="1">
        <f>IFERROR(__xludf.DUMMYFUNCTION("""COMPUTED_VALUE"""),10275.0)</f>
        <v>10275</v>
      </c>
    </row>
    <row r="269">
      <c r="A269" s="1" t="str">
        <f>IFERROR(__xludf.DUMMYFUNCTION("""COMPUTED_VALUE"""),"Coastal Community Bank")</f>
        <v>Coastal Community Bank</v>
      </c>
      <c r="B269" s="1" t="str">
        <f>IFERROR(__xludf.DUMMYFUNCTION("""COMPUTED_VALUE"""),"Panama City Beach")</f>
        <v>Panama City Beach</v>
      </c>
      <c r="C269" s="1" t="str">
        <f>IFERROR(__xludf.DUMMYFUNCTION("""COMPUTED_VALUE"""),"FL")</f>
        <v>FL</v>
      </c>
      <c r="D269" s="1">
        <f>IFERROR(__xludf.DUMMYFUNCTION("""COMPUTED_VALUE"""),9619.0)</f>
        <v>9619</v>
      </c>
      <c r="E269" s="1" t="str">
        <f>IFERROR(__xludf.DUMMYFUNCTION("""COMPUTED_VALUE"""),"Centennial Bank")</f>
        <v>Centennial Bank</v>
      </c>
      <c r="F269" s="2">
        <f>IFERROR(__xludf.DUMMYFUNCTION("""COMPUTED_VALUE"""),40389.0)</f>
        <v>40389</v>
      </c>
      <c r="G269" s="1">
        <f>IFERROR(__xludf.DUMMYFUNCTION("""COMPUTED_VALUE"""),10272.0)</f>
        <v>10272</v>
      </c>
    </row>
    <row r="270">
      <c r="A270" s="1" t="str">
        <f>IFERROR(__xludf.DUMMYFUNCTION("""COMPUTED_VALUE"""),"Bayside Savings Bank")</f>
        <v>Bayside Savings Bank</v>
      </c>
      <c r="B270" s="1" t="str">
        <f>IFERROR(__xludf.DUMMYFUNCTION("""COMPUTED_VALUE"""),"Port Saint Joe")</f>
        <v>Port Saint Joe</v>
      </c>
      <c r="C270" s="1" t="str">
        <f>IFERROR(__xludf.DUMMYFUNCTION("""COMPUTED_VALUE"""),"FL")</f>
        <v>FL</v>
      </c>
      <c r="D270" s="1">
        <f>IFERROR(__xludf.DUMMYFUNCTION("""COMPUTED_VALUE"""),57669.0)</f>
        <v>57669</v>
      </c>
      <c r="E270" s="1" t="str">
        <f>IFERROR(__xludf.DUMMYFUNCTION("""COMPUTED_VALUE"""),"Centennial Bank")</f>
        <v>Centennial Bank</v>
      </c>
      <c r="F270" s="2">
        <f>IFERROR(__xludf.DUMMYFUNCTION("""COMPUTED_VALUE"""),40389.0)</f>
        <v>40389</v>
      </c>
      <c r="G270" s="1">
        <f>IFERROR(__xludf.DUMMYFUNCTION("""COMPUTED_VALUE"""),10271.0)</f>
        <v>10271</v>
      </c>
    </row>
    <row r="271">
      <c r="A271" s="1" t="str">
        <f>IFERROR(__xludf.DUMMYFUNCTION("""COMPUTED_VALUE"""),"Northwest Bank &amp; Trust")</f>
        <v>Northwest Bank &amp; Trust</v>
      </c>
      <c r="B271" s="1" t="str">
        <f>IFERROR(__xludf.DUMMYFUNCTION("""COMPUTED_VALUE"""),"Acworth")</f>
        <v>Acworth</v>
      </c>
      <c r="C271" s="1" t="str">
        <f>IFERROR(__xludf.DUMMYFUNCTION("""COMPUTED_VALUE"""),"GA")</f>
        <v>GA</v>
      </c>
      <c r="D271" s="1">
        <f>IFERROR(__xludf.DUMMYFUNCTION("""COMPUTED_VALUE"""),57658.0)</f>
        <v>57658</v>
      </c>
      <c r="E271" s="1" t="str">
        <f>IFERROR(__xludf.DUMMYFUNCTION("""COMPUTED_VALUE"""),"State Bank and Trust Company")</f>
        <v>State Bank and Trust Company</v>
      </c>
      <c r="F271" s="2">
        <f>IFERROR(__xludf.DUMMYFUNCTION("""COMPUTED_VALUE"""),40389.0)</f>
        <v>40389</v>
      </c>
      <c r="G271" s="1">
        <f>IFERROR(__xludf.DUMMYFUNCTION("""COMPUTED_VALUE"""),10274.0)</f>
        <v>10274</v>
      </c>
    </row>
    <row r="272">
      <c r="A272" s="1" t="str">
        <f>IFERROR(__xludf.DUMMYFUNCTION("""COMPUTED_VALUE"""),"Home Valley Bank")</f>
        <v>Home Valley Bank</v>
      </c>
      <c r="B272" s="1" t="str">
        <f>IFERROR(__xludf.DUMMYFUNCTION("""COMPUTED_VALUE"""),"Cave Junction")</f>
        <v>Cave Junction</v>
      </c>
      <c r="C272" s="1" t="str">
        <f>IFERROR(__xludf.DUMMYFUNCTION("""COMPUTED_VALUE"""),"OR")</f>
        <v>OR</v>
      </c>
      <c r="D272" s="1">
        <f>IFERROR(__xludf.DUMMYFUNCTION("""COMPUTED_VALUE"""),23181.0)</f>
        <v>23181</v>
      </c>
      <c r="E272" s="1" t="str">
        <f>IFERROR(__xludf.DUMMYFUNCTION("""COMPUTED_VALUE"""),"South Valley Bank &amp; Trust")</f>
        <v>South Valley Bank &amp; Trust</v>
      </c>
      <c r="F272" s="2">
        <f>IFERROR(__xludf.DUMMYFUNCTION("""COMPUTED_VALUE"""),40382.0)</f>
        <v>40382</v>
      </c>
      <c r="G272" s="1">
        <f>IFERROR(__xludf.DUMMYFUNCTION("""COMPUTED_VALUE"""),10266.0)</f>
        <v>10266</v>
      </c>
    </row>
    <row r="273">
      <c r="A273" s="1" t="str">
        <f>IFERROR(__xludf.DUMMYFUNCTION("""COMPUTED_VALUE"""),"SouthwestUSA Bank")</f>
        <v>SouthwestUSA Bank</v>
      </c>
      <c r="B273" s="1" t="str">
        <f>IFERROR(__xludf.DUMMYFUNCTION("""COMPUTED_VALUE"""),"Las Vegas")</f>
        <v>Las Vegas</v>
      </c>
      <c r="C273" s="1" t="str">
        <f>IFERROR(__xludf.DUMMYFUNCTION("""COMPUTED_VALUE"""),"NV")</f>
        <v>NV</v>
      </c>
      <c r="D273" s="1">
        <f>IFERROR(__xludf.DUMMYFUNCTION("""COMPUTED_VALUE"""),35434.0)</f>
        <v>35434</v>
      </c>
      <c r="E273" s="1" t="str">
        <f>IFERROR(__xludf.DUMMYFUNCTION("""COMPUTED_VALUE"""),"Plaza Bank")</f>
        <v>Plaza Bank</v>
      </c>
      <c r="F273" s="2">
        <f>IFERROR(__xludf.DUMMYFUNCTION("""COMPUTED_VALUE"""),40382.0)</f>
        <v>40382</v>
      </c>
      <c r="G273" s="1">
        <f>IFERROR(__xludf.DUMMYFUNCTION("""COMPUTED_VALUE"""),10267.0)</f>
        <v>10267</v>
      </c>
    </row>
    <row r="274">
      <c r="A274" s="1" t="str">
        <f>IFERROR(__xludf.DUMMYFUNCTION("""COMPUTED_VALUE"""),"Community Security Bank")</f>
        <v>Community Security Bank</v>
      </c>
      <c r="B274" s="1" t="str">
        <f>IFERROR(__xludf.DUMMYFUNCTION("""COMPUTED_VALUE"""),"New Prague")</f>
        <v>New Prague</v>
      </c>
      <c r="C274" s="1" t="str">
        <f>IFERROR(__xludf.DUMMYFUNCTION("""COMPUTED_VALUE"""),"MN")</f>
        <v>MN</v>
      </c>
      <c r="D274" s="1">
        <f>IFERROR(__xludf.DUMMYFUNCTION("""COMPUTED_VALUE"""),34486.0)</f>
        <v>34486</v>
      </c>
      <c r="E274" s="1" t="str">
        <f>IFERROR(__xludf.DUMMYFUNCTION("""COMPUTED_VALUE"""),"Roundbank")</f>
        <v>Roundbank</v>
      </c>
      <c r="F274" s="2">
        <f>IFERROR(__xludf.DUMMYFUNCTION("""COMPUTED_VALUE"""),40382.0)</f>
        <v>40382</v>
      </c>
      <c r="G274" s="1">
        <f>IFERROR(__xludf.DUMMYFUNCTION("""COMPUTED_VALUE"""),10264.0)</f>
        <v>10264</v>
      </c>
    </row>
    <row r="275">
      <c r="A275" s="1" t="str">
        <f>IFERROR(__xludf.DUMMYFUNCTION("""COMPUTED_VALUE"""),"Thunder Bank")</f>
        <v>Thunder Bank</v>
      </c>
      <c r="B275" s="1" t="str">
        <f>IFERROR(__xludf.DUMMYFUNCTION("""COMPUTED_VALUE"""),"Sylvan Grove")</f>
        <v>Sylvan Grove</v>
      </c>
      <c r="C275" s="1" t="str">
        <f>IFERROR(__xludf.DUMMYFUNCTION("""COMPUTED_VALUE"""),"KS")</f>
        <v>KS</v>
      </c>
      <c r="D275" s="1">
        <f>IFERROR(__xludf.DUMMYFUNCTION("""COMPUTED_VALUE"""),10506.0)</f>
        <v>10506</v>
      </c>
      <c r="E275" s="1" t="str">
        <f>IFERROR(__xludf.DUMMYFUNCTION("""COMPUTED_VALUE"""),"The Bennington State Bank")</f>
        <v>The Bennington State Bank</v>
      </c>
      <c r="F275" s="2">
        <f>IFERROR(__xludf.DUMMYFUNCTION("""COMPUTED_VALUE"""),40382.0)</f>
        <v>40382</v>
      </c>
      <c r="G275" s="1">
        <f>IFERROR(__xludf.DUMMYFUNCTION("""COMPUTED_VALUE"""),10269.0)</f>
        <v>10269</v>
      </c>
    </row>
    <row r="276">
      <c r="A276" s="1" t="str">
        <f>IFERROR(__xludf.DUMMYFUNCTION("""COMPUTED_VALUE"""),"Williamsburg First National Bank")</f>
        <v>Williamsburg First National Bank</v>
      </c>
      <c r="B276" s="1" t="str">
        <f>IFERROR(__xludf.DUMMYFUNCTION("""COMPUTED_VALUE"""),"Kingstree")</f>
        <v>Kingstree</v>
      </c>
      <c r="C276" s="1" t="str">
        <f>IFERROR(__xludf.DUMMYFUNCTION("""COMPUTED_VALUE"""),"SC")</f>
        <v>SC</v>
      </c>
      <c r="D276" s="1">
        <f>IFERROR(__xludf.DUMMYFUNCTION("""COMPUTED_VALUE"""),17837.0)</f>
        <v>17837</v>
      </c>
      <c r="E276" s="1" t="str">
        <f>IFERROR(__xludf.DUMMYFUNCTION("""COMPUTED_VALUE"""),"First Citizens Bank and Trust Company, Inc.")</f>
        <v>First Citizens Bank and Trust Company, Inc.</v>
      </c>
      <c r="F276" s="2">
        <f>IFERROR(__xludf.DUMMYFUNCTION("""COMPUTED_VALUE"""),40382.0)</f>
        <v>40382</v>
      </c>
      <c r="G276" s="1">
        <f>IFERROR(__xludf.DUMMYFUNCTION("""COMPUTED_VALUE"""),10270.0)</f>
        <v>10270</v>
      </c>
    </row>
    <row r="277">
      <c r="A277" s="1" t="str">
        <f>IFERROR(__xludf.DUMMYFUNCTION("""COMPUTED_VALUE"""),"Crescent Bank and Trust Company")</f>
        <v>Crescent Bank and Trust Company</v>
      </c>
      <c r="B277" s="1" t="str">
        <f>IFERROR(__xludf.DUMMYFUNCTION("""COMPUTED_VALUE"""),"Jasper")</f>
        <v>Jasper</v>
      </c>
      <c r="C277" s="1" t="str">
        <f>IFERROR(__xludf.DUMMYFUNCTION("""COMPUTED_VALUE"""),"GA")</f>
        <v>GA</v>
      </c>
      <c r="D277" s="1">
        <f>IFERROR(__xludf.DUMMYFUNCTION("""COMPUTED_VALUE"""),27559.0)</f>
        <v>27559</v>
      </c>
      <c r="E277" s="1" t="str">
        <f>IFERROR(__xludf.DUMMYFUNCTION("""COMPUTED_VALUE"""),"Renasant Bank")</f>
        <v>Renasant Bank</v>
      </c>
      <c r="F277" s="2">
        <f>IFERROR(__xludf.DUMMYFUNCTION("""COMPUTED_VALUE"""),40382.0)</f>
        <v>40382</v>
      </c>
      <c r="G277" s="1">
        <f>IFERROR(__xludf.DUMMYFUNCTION("""COMPUTED_VALUE"""),10265.0)</f>
        <v>10265</v>
      </c>
    </row>
    <row r="278">
      <c r="A278" s="1" t="str">
        <f>IFERROR(__xludf.DUMMYFUNCTION("""COMPUTED_VALUE"""),"Sterling Bank")</f>
        <v>Sterling Bank</v>
      </c>
      <c r="B278" s="1" t="str">
        <f>IFERROR(__xludf.DUMMYFUNCTION("""COMPUTED_VALUE"""),"Lantana")</f>
        <v>Lantana</v>
      </c>
      <c r="C278" s="1" t="str">
        <f>IFERROR(__xludf.DUMMYFUNCTION("""COMPUTED_VALUE"""),"FL")</f>
        <v>FL</v>
      </c>
      <c r="D278" s="1">
        <f>IFERROR(__xludf.DUMMYFUNCTION("""COMPUTED_VALUE"""),32536.0)</f>
        <v>32536</v>
      </c>
      <c r="E278" s="1" t="str">
        <f>IFERROR(__xludf.DUMMYFUNCTION("""COMPUTED_VALUE"""),"IBERIABANK")</f>
        <v>IBERIABANK</v>
      </c>
      <c r="F278" s="2">
        <f>IFERROR(__xludf.DUMMYFUNCTION("""COMPUTED_VALUE"""),40382.0)</f>
        <v>40382</v>
      </c>
      <c r="G278" s="1">
        <f>IFERROR(__xludf.DUMMYFUNCTION("""COMPUTED_VALUE"""),10268.0)</f>
        <v>10268</v>
      </c>
    </row>
    <row r="279">
      <c r="A279" s="1" t="str">
        <f>IFERROR(__xludf.DUMMYFUNCTION("""COMPUTED_VALUE"""),"Mainstreet Savings Bank, FSB")</f>
        <v>Mainstreet Savings Bank, FSB</v>
      </c>
      <c r="B279" s="1" t="str">
        <f>IFERROR(__xludf.DUMMYFUNCTION("""COMPUTED_VALUE"""),"Hastings")</f>
        <v>Hastings</v>
      </c>
      <c r="C279" s="1" t="str">
        <f>IFERROR(__xludf.DUMMYFUNCTION("""COMPUTED_VALUE"""),"MI")</f>
        <v>MI</v>
      </c>
      <c r="D279" s="1">
        <f>IFERROR(__xludf.DUMMYFUNCTION("""COMPUTED_VALUE"""),28136.0)</f>
        <v>28136</v>
      </c>
      <c r="E279" s="1" t="str">
        <f>IFERROR(__xludf.DUMMYFUNCTION("""COMPUTED_VALUE"""),"Commercial Bank")</f>
        <v>Commercial Bank</v>
      </c>
      <c r="F279" s="2">
        <f>IFERROR(__xludf.DUMMYFUNCTION("""COMPUTED_VALUE"""),40375.0)</f>
        <v>40375</v>
      </c>
      <c r="G279" s="1">
        <f>IFERROR(__xludf.DUMMYFUNCTION("""COMPUTED_VALUE"""),10258.0)</f>
        <v>10258</v>
      </c>
    </row>
    <row r="280">
      <c r="A280" s="1" t="str">
        <f>IFERROR(__xludf.DUMMYFUNCTION("""COMPUTED_VALUE"""),"Olde Cypress Community Bank")</f>
        <v>Olde Cypress Community Bank</v>
      </c>
      <c r="B280" s="1" t="str">
        <f>IFERROR(__xludf.DUMMYFUNCTION("""COMPUTED_VALUE"""),"Clewiston")</f>
        <v>Clewiston</v>
      </c>
      <c r="C280" s="1" t="str">
        <f>IFERROR(__xludf.DUMMYFUNCTION("""COMPUTED_VALUE"""),"FL")</f>
        <v>FL</v>
      </c>
      <c r="D280" s="1">
        <f>IFERROR(__xludf.DUMMYFUNCTION("""COMPUTED_VALUE"""),28864.0)</f>
        <v>28864</v>
      </c>
      <c r="E280" s="1" t="str">
        <f>IFERROR(__xludf.DUMMYFUNCTION("""COMPUTED_VALUE"""),"CenterState Bank of Florida, N.A.")</f>
        <v>CenterState Bank of Florida, N.A.</v>
      </c>
      <c r="F280" s="2">
        <f>IFERROR(__xludf.DUMMYFUNCTION("""COMPUTED_VALUE"""),40375.0)</f>
        <v>40375</v>
      </c>
      <c r="G280" s="1">
        <f>IFERROR(__xludf.DUMMYFUNCTION("""COMPUTED_VALUE"""),10260.0)</f>
        <v>10260</v>
      </c>
    </row>
    <row r="281">
      <c r="A281" s="1" t="str">
        <f>IFERROR(__xludf.DUMMYFUNCTION("""COMPUTED_VALUE"""),"Turnberry Bank")</f>
        <v>Turnberry Bank</v>
      </c>
      <c r="B281" s="1" t="str">
        <f>IFERROR(__xludf.DUMMYFUNCTION("""COMPUTED_VALUE"""),"Aventura")</f>
        <v>Aventura</v>
      </c>
      <c r="C281" s="1" t="str">
        <f>IFERROR(__xludf.DUMMYFUNCTION("""COMPUTED_VALUE"""),"FL")</f>
        <v>FL</v>
      </c>
      <c r="D281" s="1">
        <f>IFERROR(__xludf.DUMMYFUNCTION("""COMPUTED_VALUE"""),32280.0)</f>
        <v>32280</v>
      </c>
      <c r="E281" s="1" t="str">
        <f>IFERROR(__xludf.DUMMYFUNCTION("""COMPUTED_VALUE"""),"NAFH National Bank")</f>
        <v>NAFH National Bank</v>
      </c>
      <c r="F281" s="2">
        <f>IFERROR(__xludf.DUMMYFUNCTION("""COMPUTED_VALUE"""),40375.0)</f>
        <v>40375</v>
      </c>
      <c r="G281" s="1">
        <f>IFERROR(__xludf.DUMMYFUNCTION("""COMPUTED_VALUE"""),10261.0)</f>
        <v>10261</v>
      </c>
    </row>
    <row r="282">
      <c r="A282" s="1" t="str">
        <f>IFERROR(__xludf.DUMMYFUNCTION("""COMPUTED_VALUE"""),"Metro Bank of Dade County")</f>
        <v>Metro Bank of Dade County</v>
      </c>
      <c r="B282" s="1" t="str">
        <f>IFERROR(__xludf.DUMMYFUNCTION("""COMPUTED_VALUE"""),"Miami")</f>
        <v>Miami</v>
      </c>
      <c r="C282" s="1" t="str">
        <f>IFERROR(__xludf.DUMMYFUNCTION("""COMPUTED_VALUE"""),"FL")</f>
        <v>FL</v>
      </c>
      <c r="D282" s="1">
        <f>IFERROR(__xludf.DUMMYFUNCTION("""COMPUTED_VALUE"""),25172.0)</f>
        <v>25172</v>
      </c>
      <c r="E282" s="1" t="str">
        <f>IFERROR(__xludf.DUMMYFUNCTION("""COMPUTED_VALUE"""),"NAFH National Bank")</f>
        <v>NAFH National Bank</v>
      </c>
      <c r="F282" s="2">
        <f>IFERROR(__xludf.DUMMYFUNCTION("""COMPUTED_VALUE"""),40375.0)</f>
        <v>40375</v>
      </c>
      <c r="G282" s="1">
        <f>IFERROR(__xludf.DUMMYFUNCTION("""COMPUTED_VALUE"""),10259.0)</f>
        <v>10259</v>
      </c>
    </row>
    <row r="283">
      <c r="A283" s="1" t="str">
        <f>IFERROR(__xludf.DUMMYFUNCTION("""COMPUTED_VALUE"""),"First National Bank of the South")</f>
        <v>First National Bank of the South</v>
      </c>
      <c r="B283" s="1" t="str">
        <f>IFERROR(__xludf.DUMMYFUNCTION("""COMPUTED_VALUE"""),"Spartanburg")</f>
        <v>Spartanburg</v>
      </c>
      <c r="C283" s="1" t="str">
        <f>IFERROR(__xludf.DUMMYFUNCTION("""COMPUTED_VALUE"""),"SC")</f>
        <v>SC</v>
      </c>
      <c r="D283" s="1">
        <f>IFERROR(__xludf.DUMMYFUNCTION("""COMPUTED_VALUE"""),35383.0)</f>
        <v>35383</v>
      </c>
      <c r="E283" s="1" t="str">
        <f>IFERROR(__xludf.DUMMYFUNCTION("""COMPUTED_VALUE"""),"NAFH National Bank")</f>
        <v>NAFH National Bank</v>
      </c>
      <c r="F283" s="2">
        <f>IFERROR(__xludf.DUMMYFUNCTION("""COMPUTED_VALUE"""),40375.0)</f>
        <v>40375</v>
      </c>
      <c r="G283" s="1">
        <f>IFERROR(__xludf.DUMMYFUNCTION("""COMPUTED_VALUE"""),10263.0)</f>
        <v>10263</v>
      </c>
    </row>
    <row r="284">
      <c r="A284" s="1" t="str">
        <f>IFERROR(__xludf.DUMMYFUNCTION("""COMPUTED_VALUE"""),"Woodlands Bank")</f>
        <v>Woodlands Bank</v>
      </c>
      <c r="B284" s="1" t="str">
        <f>IFERROR(__xludf.DUMMYFUNCTION("""COMPUTED_VALUE"""),"Bluffton")</f>
        <v>Bluffton</v>
      </c>
      <c r="C284" s="1" t="str">
        <f>IFERROR(__xludf.DUMMYFUNCTION("""COMPUTED_VALUE"""),"SC")</f>
        <v>SC</v>
      </c>
      <c r="D284" s="1">
        <f>IFERROR(__xludf.DUMMYFUNCTION("""COMPUTED_VALUE"""),32571.0)</f>
        <v>32571</v>
      </c>
      <c r="E284" s="1" t="str">
        <f>IFERROR(__xludf.DUMMYFUNCTION("""COMPUTED_VALUE"""),"Bank of the Ozarks")</f>
        <v>Bank of the Ozarks</v>
      </c>
      <c r="F284" s="2">
        <f>IFERROR(__xludf.DUMMYFUNCTION("""COMPUTED_VALUE"""),40375.0)</f>
        <v>40375</v>
      </c>
      <c r="G284" s="1">
        <f>IFERROR(__xludf.DUMMYFUNCTION("""COMPUTED_VALUE"""),10262.0)</f>
        <v>10262</v>
      </c>
    </row>
    <row r="285">
      <c r="A285" s="1" t="str">
        <f>IFERROR(__xludf.DUMMYFUNCTION("""COMPUTED_VALUE"""),"Home National Bank")</f>
        <v>Home National Bank</v>
      </c>
      <c r="B285" s="1" t="str">
        <f>IFERROR(__xludf.DUMMYFUNCTION("""COMPUTED_VALUE"""),"Blackwell")</f>
        <v>Blackwell</v>
      </c>
      <c r="C285" s="1" t="str">
        <f>IFERROR(__xludf.DUMMYFUNCTION("""COMPUTED_VALUE"""),"OK")</f>
        <v>OK</v>
      </c>
      <c r="D285" s="1">
        <f>IFERROR(__xludf.DUMMYFUNCTION("""COMPUTED_VALUE"""),11636.0)</f>
        <v>11636</v>
      </c>
      <c r="E285" s="1" t="str">
        <f>IFERROR(__xludf.DUMMYFUNCTION("""COMPUTED_VALUE"""),"RCB Bank")</f>
        <v>RCB Bank</v>
      </c>
      <c r="F285" s="2">
        <f>IFERROR(__xludf.DUMMYFUNCTION("""COMPUTED_VALUE"""),40368.0)</f>
        <v>40368</v>
      </c>
      <c r="G285" s="1">
        <f>IFERROR(__xludf.DUMMYFUNCTION("""COMPUTED_VALUE"""),10256.0)</f>
        <v>10256</v>
      </c>
    </row>
    <row r="286">
      <c r="A286" s="1" t="str">
        <f>IFERROR(__xludf.DUMMYFUNCTION("""COMPUTED_VALUE"""),"USA Bank")</f>
        <v>USA Bank</v>
      </c>
      <c r="B286" s="1" t="str">
        <f>IFERROR(__xludf.DUMMYFUNCTION("""COMPUTED_VALUE"""),"Port Chester")</f>
        <v>Port Chester</v>
      </c>
      <c r="C286" s="1" t="str">
        <f>IFERROR(__xludf.DUMMYFUNCTION("""COMPUTED_VALUE"""),"NY")</f>
        <v>NY</v>
      </c>
      <c r="D286" s="1">
        <f>IFERROR(__xludf.DUMMYFUNCTION("""COMPUTED_VALUE"""),58072.0)</f>
        <v>58072</v>
      </c>
      <c r="E286" s="1" t="str">
        <f>IFERROR(__xludf.DUMMYFUNCTION("""COMPUTED_VALUE"""),"New Century Bank")</f>
        <v>New Century Bank</v>
      </c>
      <c r="F286" s="2">
        <f>IFERROR(__xludf.DUMMYFUNCTION("""COMPUTED_VALUE"""),40368.0)</f>
        <v>40368</v>
      </c>
      <c r="G286" s="1">
        <f>IFERROR(__xludf.DUMMYFUNCTION("""COMPUTED_VALUE"""),10254.0)</f>
        <v>10254</v>
      </c>
    </row>
    <row r="287">
      <c r="A287" s="1" t="str">
        <f>IFERROR(__xludf.DUMMYFUNCTION("""COMPUTED_VALUE"""),"Ideal Federal Savings Bank")</f>
        <v>Ideal Federal Savings Bank</v>
      </c>
      <c r="B287" s="1" t="str">
        <f>IFERROR(__xludf.DUMMYFUNCTION("""COMPUTED_VALUE"""),"Baltimore")</f>
        <v>Baltimore</v>
      </c>
      <c r="C287" s="1" t="str">
        <f>IFERROR(__xludf.DUMMYFUNCTION("""COMPUTED_VALUE"""),"MD")</f>
        <v>MD</v>
      </c>
      <c r="D287" s="1">
        <f>IFERROR(__xludf.DUMMYFUNCTION("""COMPUTED_VALUE"""),32456.0)</f>
        <v>32456</v>
      </c>
      <c r="E287" s="1" t="str">
        <f>IFERROR(__xludf.DUMMYFUNCTION("""COMPUTED_VALUE"""),"No Acquirer")</f>
        <v>No Acquirer</v>
      </c>
      <c r="F287" s="2">
        <f>IFERROR(__xludf.DUMMYFUNCTION("""COMPUTED_VALUE"""),40368.0)</f>
        <v>40368</v>
      </c>
      <c r="G287" s="1">
        <f>IFERROR(__xludf.DUMMYFUNCTION("""COMPUTED_VALUE"""),10257.0)</f>
        <v>10257</v>
      </c>
    </row>
    <row r="288">
      <c r="A288" s="1" t="str">
        <f>IFERROR(__xludf.DUMMYFUNCTION("""COMPUTED_VALUE"""),"Bay National Bank")</f>
        <v>Bay National Bank</v>
      </c>
      <c r="B288" s="1" t="str">
        <f>IFERROR(__xludf.DUMMYFUNCTION("""COMPUTED_VALUE"""),"Baltimore")</f>
        <v>Baltimore</v>
      </c>
      <c r="C288" s="1" t="str">
        <f>IFERROR(__xludf.DUMMYFUNCTION("""COMPUTED_VALUE"""),"MD")</f>
        <v>MD</v>
      </c>
      <c r="D288" s="1">
        <f>IFERROR(__xludf.DUMMYFUNCTION("""COMPUTED_VALUE"""),35462.0)</f>
        <v>35462</v>
      </c>
      <c r="E288" s="1" t="str">
        <f>IFERROR(__xludf.DUMMYFUNCTION("""COMPUTED_VALUE"""),"Bay Bank, FSB")</f>
        <v>Bay Bank, FSB</v>
      </c>
      <c r="F288" s="2">
        <f>IFERROR(__xludf.DUMMYFUNCTION("""COMPUTED_VALUE"""),40368.0)</f>
        <v>40368</v>
      </c>
      <c r="G288" s="1">
        <f>IFERROR(__xludf.DUMMYFUNCTION("""COMPUTED_VALUE"""),10255.0)</f>
        <v>10255</v>
      </c>
    </row>
    <row r="289">
      <c r="A289" s="1" t="str">
        <f>IFERROR(__xludf.DUMMYFUNCTION("""COMPUTED_VALUE"""),"High Desert State Bank")</f>
        <v>High Desert State Bank</v>
      </c>
      <c r="B289" s="1" t="str">
        <f>IFERROR(__xludf.DUMMYFUNCTION("""COMPUTED_VALUE"""),"Albuquerque")</f>
        <v>Albuquerque</v>
      </c>
      <c r="C289" s="1" t="str">
        <f>IFERROR(__xludf.DUMMYFUNCTION("""COMPUTED_VALUE"""),"NM")</f>
        <v>NM</v>
      </c>
      <c r="D289" s="1">
        <f>IFERROR(__xludf.DUMMYFUNCTION("""COMPUTED_VALUE"""),35279.0)</f>
        <v>35279</v>
      </c>
      <c r="E289" s="1" t="str">
        <f>IFERROR(__xludf.DUMMYFUNCTION("""COMPUTED_VALUE"""),"First American Bank")</f>
        <v>First American Bank</v>
      </c>
      <c r="F289" s="2">
        <f>IFERROR(__xludf.DUMMYFUNCTION("""COMPUTED_VALUE"""),40354.0)</f>
        <v>40354</v>
      </c>
      <c r="G289" s="1">
        <f>IFERROR(__xludf.DUMMYFUNCTION("""COMPUTED_VALUE"""),10252.0)</f>
        <v>10252</v>
      </c>
    </row>
    <row r="290">
      <c r="A290" s="1" t="str">
        <f>IFERROR(__xludf.DUMMYFUNCTION("""COMPUTED_VALUE"""),"First National Bank")</f>
        <v>First National Bank</v>
      </c>
      <c r="B290" s="1" t="str">
        <f>IFERROR(__xludf.DUMMYFUNCTION("""COMPUTED_VALUE"""),"Savannah")</f>
        <v>Savannah</v>
      </c>
      <c r="C290" s="1" t="str">
        <f>IFERROR(__xludf.DUMMYFUNCTION("""COMPUTED_VALUE"""),"GA")</f>
        <v>GA</v>
      </c>
      <c r="D290" s="1">
        <f>IFERROR(__xludf.DUMMYFUNCTION("""COMPUTED_VALUE"""),34152.0)</f>
        <v>34152</v>
      </c>
      <c r="E290" s="1" t="str">
        <f>IFERROR(__xludf.DUMMYFUNCTION("""COMPUTED_VALUE"""),"The Savannah Bank, N.A.")</f>
        <v>The Savannah Bank, N.A.</v>
      </c>
      <c r="F290" s="2">
        <f>IFERROR(__xludf.DUMMYFUNCTION("""COMPUTED_VALUE"""),40354.0)</f>
        <v>40354</v>
      </c>
      <c r="G290" s="1">
        <f>IFERROR(__xludf.DUMMYFUNCTION("""COMPUTED_VALUE"""),10251.0)</f>
        <v>10251</v>
      </c>
    </row>
    <row r="291">
      <c r="A291" s="1" t="str">
        <f>IFERROR(__xludf.DUMMYFUNCTION("""COMPUTED_VALUE"""),"Peninsula Bank")</f>
        <v>Peninsula Bank</v>
      </c>
      <c r="B291" s="1" t="str">
        <f>IFERROR(__xludf.DUMMYFUNCTION("""COMPUTED_VALUE"""),"Englewood")</f>
        <v>Englewood</v>
      </c>
      <c r="C291" s="1" t="str">
        <f>IFERROR(__xludf.DUMMYFUNCTION("""COMPUTED_VALUE"""),"FL")</f>
        <v>FL</v>
      </c>
      <c r="D291" s="1">
        <f>IFERROR(__xludf.DUMMYFUNCTION("""COMPUTED_VALUE"""),26563.0)</f>
        <v>26563</v>
      </c>
      <c r="E291" s="1" t="str">
        <f>IFERROR(__xludf.DUMMYFUNCTION("""COMPUTED_VALUE"""),"Premier American Bank, N.A.")</f>
        <v>Premier American Bank, N.A.</v>
      </c>
      <c r="F291" s="2">
        <f>IFERROR(__xludf.DUMMYFUNCTION("""COMPUTED_VALUE"""),40354.0)</f>
        <v>40354</v>
      </c>
      <c r="G291" s="1">
        <f>IFERROR(__xludf.DUMMYFUNCTION("""COMPUTED_VALUE"""),10253.0)</f>
        <v>10253</v>
      </c>
    </row>
    <row r="292">
      <c r="A292" s="1" t="str">
        <f>IFERROR(__xludf.DUMMYFUNCTION("""COMPUTED_VALUE"""),"Nevada Security Bank")</f>
        <v>Nevada Security Bank</v>
      </c>
      <c r="B292" s="1" t="str">
        <f>IFERROR(__xludf.DUMMYFUNCTION("""COMPUTED_VALUE"""),"Reno")</f>
        <v>Reno</v>
      </c>
      <c r="C292" s="1" t="str">
        <f>IFERROR(__xludf.DUMMYFUNCTION("""COMPUTED_VALUE"""),"NV")</f>
        <v>NV</v>
      </c>
      <c r="D292" s="1">
        <f>IFERROR(__xludf.DUMMYFUNCTION("""COMPUTED_VALUE"""),57110.0)</f>
        <v>57110</v>
      </c>
      <c r="E292" s="1" t="str">
        <f>IFERROR(__xludf.DUMMYFUNCTION("""COMPUTED_VALUE"""),"Umpqua Bank")</f>
        <v>Umpqua Bank</v>
      </c>
      <c r="F292" s="2">
        <f>IFERROR(__xludf.DUMMYFUNCTION("""COMPUTED_VALUE"""),40347.0)</f>
        <v>40347</v>
      </c>
      <c r="G292" s="1">
        <f>IFERROR(__xludf.DUMMYFUNCTION("""COMPUTED_VALUE"""),10250.0)</f>
        <v>10250</v>
      </c>
    </row>
    <row r="293">
      <c r="A293" s="1" t="str">
        <f>IFERROR(__xludf.DUMMYFUNCTION("""COMPUTED_VALUE"""),"Washington First International Bank")</f>
        <v>Washington First International Bank</v>
      </c>
      <c r="B293" s="1" t="str">
        <f>IFERROR(__xludf.DUMMYFUNCTION("""COMPUTED_VALUE"""),"Seattle")</f>
        <v>Seattle</v>
      </c>
      <c r="C293" s="1" t="str">
        <f>IFERROR(__xludf.DUMMYFUNCTION("""COMPUTED_VALUE"""),"WA")</f>
        <v>WA</v>
      </c>
      <c r="D293" s="1">
        <f>IFERROR(__xludf.DUMMYFUNCTION("""COMPUTED_VALUE"""),32955.0)</f>
        <v>32955</v>
      </c>
      <c r="E293" s="1" t="str">
        <f>IFERROR(__xludf.DUMMYFUNCTION("""COMPUTED_VALUE"""),"East West Bank")</f>
        <v>East West Bank</v>
      </c>
      <c r="F293" s="2">
        <f>IFERROR(__xludf.DUMMYFUNCTION("""COMPUTED_VALUE"""),40340.0)</f>
        <v>40340</v>
      </c>
      <c r="G293" s="1">
        <f>IFERROR(__xludf.DUMMYFUNCTION("""COMPUTED_VALUE"""),10249.0)</f>
        <v>10249</v>
      </c>
    </row>
    <row r="294">
      <c r="A294" s="1" t="str">
        <f>IFERROR(__xludf.DUMMYFUNCTION("""COMPUTED_VALUE"""),"TierOne Bank")</f>
        <v>TierOne Bank</v>
      </c>
      <c r="B294" s="1" t="str">
        <f>IFERROR(__xludf.DUMMYFUNCTION("""COMPUTED_VALUE"""),"Lincoln")</f>
        <v>Lincoln</v>
      </c>
      <c r="C294" s="1" t="str">
        <f>IFERROR(__xludf.DUMMYFUNCTION("""COMPUTED_VALUE"""),"NE")</f>
        <v>NE</v>
      </c>
      <c r="D294" s="1">
        <f>IFERROR(__xludf.DUMMYFUNCTION("""COMPUTED_VALUE"""),29341.0)</f>
        <v>29341</v>
      </c>
      <c r="E294" s="1" t="str">
        <f>IFERROR(__xludf.DUMMYFUNCTION("""COMPUTED_VALUE"""),"Great Western Bank")</f>
        <v>Great Western Bank</v>
      </c>
      <c r="F294" s="2">
        <f>IFERROR(__xludf.DUMMYFUNCTION("""COMPUTED_VALUE"""),40333.0)</f>
        <v>40333</v>
      </c>
      <c r="G294" s="1">
        <f>IFERROR(__xludf.DUMMYFUNCTION("""COMPUTED_VALUE"""),10248.0)</f>
        <v>10248</v>
      </c>
    </row>
    <row r="295">
      <c r="A295" s="1" t="str">
        <f>IFERROR(__xludf.DUMMYFUNCTION("""COMPUTED_VALUE"""),"Arcola Homestead Savings Bank")</f>
        <v>Arcola Homestead Savings Bank</v>
      </c>
      <c r="B295" s="1" t="str">
        <f>IFERROR(__xludf.DUMMYFUNCTION("""COMPUTED_VALUE"""),"Arcola")</f>
        <v>Arcola</v>
      </c>
      <c r="C295" s="1" t="str">
        <f>IFERROR(__xludf.DUMMYFUNCTION("""COMPUTED_VALUE"""),"IL")</f>
        <v>IL</v>
      </c>
      <c r="D295" s="1">
        <f>IFERROR(__xludf.DUMMYFUNCTION("""COMPUTED_VALUE"""),31813.0)</f>
        <v>31813</v>
      </c>
      <c r="E295" s="1" t="str">
        <f>IFERROR(__xludf.DUMMYFUNCTION("""COMPUTED_VALUE"""),"No Acquirer")</f>
        <v>No Acquirer</v>
      </c>
      <c r="F295" s="2">
        <f>IFERROR(__xludf.DUMMYFUNCTION("""COMPUTED_VALUE"""),40333.0)</f>
        <v>40333</v>
      </c>
      <c r="G295" s="1">
        <f>IFERROR(__xludf.DUMMYFUNCTION("""COMPUTED_VALUE"""),10246.0)</f>
        <v>10246</v>
      </c>
    </row>
    <row r="296">
      <c r="A296" s="1" t="str">
        <f>IFERROR(__xludf.DUMMYFUNCTION("""COMPUTED_VALUE"""),"First National Bank")</f>
        <v>First National Bank</v>
      </c>
      <c r="B296" s="1" t="str">
        <f>IFERROR(__xludf.DUMMYFUNCTION("""COMPUTED_VALUE"""),"Rosedale")</f>
        <v>Rosedale</v>
      </c>
      <c r="C296" s="1" t="str">
        <f>IFERROR(__xludf.DUMMYFUNCTION("""COMPUTED_VALUE"""),"MS")</f>
        <v>MS</v>
      </c>
      <c r="D296" s="1">
        <f>IFERROR(__xludf.DUMMYFUNCTION("""COMPUTED_VALUE"""),15814.0)</f>
        <v>15814</v>
      </c>
      <c r="E296" s="1" t="str">
        <f>IFERROR(__xludf.DUMMYFUNCTION("""COMPUTED_VALUE"""),"The Jefferson Bank")</f>
        <v>The Jefferson Bank</v>
      </c>
      <c r="F296" s="2">
        <f>IFERROR(__xludf.DUMMYFUNCTION("""COMPUTED_VALUE"""),40333.0)</f>
        <v>40333</v>
      </c>
      <c r="G296" s="1">
        <f>IFERROR(__xludf.DUMMYFUNCTION("""COMPUTED_VALUE"""),10247.0)</f>
        <v>10247</v>
      </c>
    </row>
    <row r="297">
      <c r="A297" s="1" t="str">
        <f>IFERROR(__xludf.DUMMYFUNCTION("""COMPUTED_VALUE"""),"Sun West Bank")</f>
        <v>Sun West Bank</v>
      </c>
      <c r="B297" s="1" t="str">
        <f>IFERROR(__xludf.DUMMYFUNCTION("""COMPUTED_VALUE"""),"Las Vegas")</f>
        <v>Las Vegas</v>
      </c>
      <c r="C297" s="1" t="str">
        <f>IFERROR(__xludf.DUMMYFUNCTION("""COMPUTED_VALUE"""),"NV")</f>
        <v>NV</v>
      </c>
      <c r="D297" s="1">
        <f>IFERROR(__xludf.DUMMYFUNCTION("""COMPUTED_VALUE"""),34785.0)</f>
        <v>34785</v>
      </c>
      <c r="E297" s="1" t="str">
        <f>IFERROR(__xludf.DUMMYFUNCTION("""COMPUTED_VALUE"""),"City National Bank")</f>
        <v>City National Bank</v>
      </c>
      <c r="F297" s="2">
        <f>IFERROR(__xludf.DUMMYFUNCTION("""COMPUTED_VALUE"""),40326.0)</f>
        <v>40326</v>
      </c>
      <c r="G297" s="1">
        <f>IFERROR(__xludf.DUMMYFUNCTION("""COMPUTED_VALUE"""),10245.0)</f>
        <v>10245</v>
      </c>
    </row>
    <row r="298">
      <c r="A298" s="1" t="str">
        <f>IFERROR(__xludf.DUMMYFUNCTION("""COMPUTED_VALUE"""),"Granite Community Bank, NA")</f>
        <v>Granite Community Bank, NA</v>
      </c>
      <c r="B298" s="1" t="str">
        <f>IFERROR(__xludf.DUMMYFUNCTION("""COMPUTED_VALUE"""),"Granite Bay")</f>
        <v>Granite Bay</v>
      </c>
      <c r="C298" s="1" t="str">
        <f>IFERROR(__xludf.DUMMYFUNCTION("""COMPUTED_VALUE"""),"CA")</f>
        <v>CA</v>
      </c>
      <c r="D298" s="1">
        <f>IFERROR(__xludf.DUMMYFUNCTION("""COMPUTED_VALUE"""),57315.0)</f>
        <v>57315</v>
      </c>
      <c r="E298" s="1" t="str">
        <f>IFERROR(__xludf.DUMMYFUNCTION("""COMPUTED_VALUE"""),"Tri Counties Bank")</f>
        <v>Tri Counties Bank</v>
      </c>
      <c r="F298" s="2">
        <f>IFERROR(__xludf.DUMMYFUNCTION("""COMPUTED_VALUE"""),40326.0)</f>
        <v>40326</v>
      </c>
      <c r="G298" s="1">
        <f>IFERROR(__xludf.DUMMYFUNCTION("""COMPUTED_VALUE"""),10244.0)</f>
        <v>10244</v>
      </c>
    </row>
    <row r="299">
      <c r="A299" s="1" t="str">
        <f>IFERROR(__xludf.DUMMYFUNCTION("""COMPUTED_VALUE"""),"Bank of Florida - Tampa")</f>
        <v>Bank of Florida - Tampa</v>
      </c>
      <c r="B299" s="1" t="str">
        <f>IFERROR(__xludf.DUMMYFUNCTION("""COMPUTED_VALUE"""),"Tampa")</f>
        <v>Tampa</v>
      </c>
      <c r="C299" s="1" t="str">
        <f>IFERROR(__xludf.DUMMYFUNCTION("""COMPUTED_VALUE"""),"FL")</f>
        <v>FL</v>
      </c>
      <c r="D299" s="1">
        <f>IFERROR(__xludf.DUMMYFUNCTION("""COMPUTED_VALUE"""),57814.0)</f>
        <v>57814</v>
      </c>
      <c r="E299" s="1" t="str">
        <f>IFERROR(__xludf.DUMMYFUNCTION("""COMPUTED_VALUE"""),"EverBank")</f>
        <v>EverBank</v>
      </c>
      <c r="F299" s="2">
        <f>IFERROR(__xludf.DUMMYFUNCTION("""COMPUTED_VALUE"""),40326.0)</f>
        <v>40326</v>
      </c>
      <c r="G299" s="1">
        <f>IFERROR(__xludf.DUMMYFUNCTION("""COMPUTED_VALUE"""),10243.0)</f>
        <v>10243</v>
      </c>
    </row>
    <row r="300">
      <c r="A300" s="1" t="str">
        <f>IFERROR(__xludf.DUMMYFUNCTION("""COMPUTED_VALUE"""),"Bank of Florida - Southwest")</f>
        <v>Bank of Florida - Southwest</v>
      </c>
      <c r="B300" s="1" t="str">
        <f>IFERROR(__xludf.DUMMYFUNCTION("""COMPUTED_VALUE"""),"Naples")</f>
        <v>Naples</v>
      </c>
      <c r="C300" s="1" t="str">
        <f>IFERROR(__xludf.DUMMYFUNCTION("""COMPUTED_VALUE"""),"FL")</f>
        <v>FL</v>
      </c>
      <c r="D300" s="1">
        <f>IFERROR(__xludf.DUMMYFUNCTION("""COMPUTED_VALUE"""),35106.0)</f>
        <v>35106</v>
      </c>
      <c r="E300" s="1" t="str">
        <f>IFERROR(__xludf.DUMMYFUNCTION("""COMPUTED_VALUE"""),"EverBank")</f>
        <v>EverBank</v>
      </c>
      <c r="F300" s="2">
        <f>IFERROR(__xludf.DUMMYFUNCTION("""COMPUTED_VALUE"""),40326.0)</f>
        <v>40326</v>
      </c>
      <c r="G300" s="1">
        <f>IFERROR(__xludf.DUMMYFUNCTION("""COMPUTED_VALUE"""),10242.0)</f>
        <v>10242</v>
      </c>
    </row>
    <row r="301">
      <c r="A301" s="1" t="str">
        <f>IFERROR(__xludf.DUMMYFUNCTION("""COMPUTED_VALUE"""),"Bank of Florida - Southeast")</f>
        <v>Bank of Florida - Southeast</v>
      </c>
      <c r="B301" s="1" t="str">
        <f>IFERROR(__xludf.DUMMYFUNCTION("""COMPUTED_VALUE"""),"Fort Lauderdale")</f>
        <v>Fort Lauderdale</v>
      </c>
      <c r="C301" s="1" t="str">
        <f>IFERROR(__xludf.DUMMYFUNCTION("""COMPUTED_VALUE"""),"FL")</f>
        <v>FL</v>
      </c>
      <c r="D301" s="1">
        <f>IFERROR(__xludf.DUMMYFUNCTION("""COMPUTED_VALUE"""),57360.0)</f>
        <v>57360</v>
      </c>
      <c r="E301" s="1" t="str">
        <f>IFERROR(__xludf.DUMMYFUNCTION("""COMPUTED_VALUE"""),"EverBank")</f>
        <v>EverBank</v>
      </c>
      <c r="F301" s="2">
        <f>IFERROR(__xludf.DUMMYFUNCTION("""COMPUTED_VALUE"""),40326.0)</f>
        <v>40326</v>
      </c>
      <c r="G301" s="1">
        <f>IFERROR(__xludf.DUMMYFUNCTION("""COMPUTED_VALUE"""),10241.0)</f>
        <v>10241</v>
      </c>
    </row>
    <row r="302">
      <c r="A302" s="1" t="str">
        <f>IFERROR(__xludf.DUMMYFUNCTION("""COMPUTED_VALUE"""),"Pinehurst Bank")</f>
        <v>Pinehurst Bank</v>
      </c>
      <c r="B302" s="1" t="str">
        <f>IFERROR(__xludf.DUMMYFUNCTION("""COMPUTED_VALUE"""),"Saint Paul")</f>
        <v>Saint Paul</v>
      </c>
      <c r="C302" s="1" t="str">
        <f>IFERROR(__xludf.DUMMYFUNCTION("""COMPUTED_VALUE"""),"MN")</f>
        <v>MN</v>
      </c>
      <c r="D302" s="1">
        <f>IFERROR(__xludf.DUMMYFUNCTION("""COMPUTED_VALUE"""),57735.0)</f>
        <v>57735</v>
      </c>
      <c r="E302" s="1" t="str">
        <f>IFERROR(__xludf.DUMMYFUNCTION("""COMPUTED_VALUE"""),"Coulee Bank")</f>
        <v>Coulee Bank</v>
      </c>
      <c r="F302" s="2">
        <f>IFERROR(__xludf.DUMMYFUNCTION("""COMPUTED_VALUE"""),40319.0)</f>
        <v>40319</v>
      </c>
      <c r="G302" s="1">
        <f>IFERROR(__xludf.DUMMYFUNCTION("""COMPUTED_VALUE"""),10240.0)</f>
        <v>10240</v>
      </c>
    </row>
    <row r="303">
      <c r="A303" s="1" t="str">
        <f>IFERROR(__xludf.DUMMYFUNCTION("""COMPUTED_VALUE"""),"Midwest Bank and Trust Company")</f>
        <v>Midwest Bank and Trust Company</v>
      </c>
      <c r="B303" s="1" t="str">
        <f>IFERROR(__xludf.DUMMYFUNCTION("""COMPUTED_VALUE"""),"Elmwood Park")</f>
        <v>Elmwood Park</v>
      </c>
      <c r="C303" s="1" t="str">
        <f>IFERROR(__xludf.DUMMYFUNCTION("""COMPUTED_VALUE"""),"IL")</f>
        <v>IL</v>
      </c>
      <c r="D303" s="1">
        <f>IFERROR(__xludf.DUMMYFUNCTION("""COMPUTED_VALUE"""),18117.0)</f>
        <v>18117</v>
      </c>
      <c r="E303" s="1" t="str">
        <f>IFERROR(__xludf.DUMMYFUNCTION("""COMPUTED_VALUE"""),"FirstMerit Bank, N.A.")</f>
        <v>FirstMerit Bank, N.A.</v>
      </c>
      <c r="F303" s="2">
        <f>IFERROR(__xludf.DUMMYFUNCTION("""COMPUTED_VALUE"""),40312.0)</f>
        <v>40312</v>
      </c>
      <c r="G303" s="1">
        <f>IFERROR(__xludf.DUMMYFUNCTION("""COMPUTED_VALUE"""),10236.0)</f>
        <v>10236</v>
      </c>
    </row>
    <row r="304">
      <c r="A304" s="1" t="str">
        <f>IFERROR(__xludf.DUMMYFUNCTION("""COMPUTED_VALUE"""),"Southwest Community Bank")</f>
        <v>Southwest Community Bank</v>
      </c>
      <c r="B304" s="1" t="str">
        <f>IFERROR(__xludf.DUMMYFUNCTION("""COMPUTED_VALUE"""),"Springfield")</f>
        <v>Springfield</v>
      </c>
      <c r="C304" s="1" t="str">
        <f>IFERROR(__xludf.DUMMYFUNCTION("""COMPUTED_VALUE"""),"MO")</f>
        <v>MO</v>
      </c>
      <c r="D304" s="1">
        <f>IFERROR(__xludf.DUMMYFUNCTION("""COMPUTED_VALUE"""),34255.0)</f>
        <v>34255</v>
      </c>
      <c r="E304" s="1" t="str">
        <f>IFERROR(__xludf.DUMMYFUNCTION("""COMPUTED_VALUE"""),"Simmons First National Bank")</f>
        <v>Simmons First National Bank</v>
      </c>
      <c r="F304" s="2">
        <f>IFERROR(__xludf.DUMMYFUNCTION("""COMPUTED_VALUE"""),40312.0)</f>
        <v>40312</v>
      </c>
      <c r="G304" s="1">
        <f>IFERROR(__xludf.DUMMYFUNCTION("""COMPUTED_VALUE"""),10239.0)</f>
        <v>10239</v>
      </c>
    </row>
    <row r="305">
      <c r="A305" s="1" t="str">
        <f>IFERROR(__xludf.DUMMYFUNCTION("""COMPUTED_VALUE"""),"New Liberty Bank")</f>
        <v>New Liberty Bank</v>
      </c>
      <c r="B305" s="1" t="str">
        <f>IFERROR(__xludf.DUMMYFUNCTION("""COMPUTED_VALUE"""),"Plymouth")</f>
        <v>Plymouth</v>
      </c>
      <c r="C305" s="1" t="str">
        <f>IFERROR(__xludf.DUMMYFUNCTION("""COMPUTED_VALUE"""),"MI")</f>
        <v>MI</v>
      </c>
      <c r="D305" s="1">
        <f>IFERROR(__xludf.DUMMYFUNCTION("""COMPUTED_VALUE"""),35586.0)</f>
        <v>35586</v>
      </c>
      <c r="E305" s="1" t="str">
        <f>IFERROR(__xludf.DUMMYFUNCTION("""COMPUTED_VALUE"""),"Bank of Ann Arbor")</f>
        <v>Bank of Ann Arbor</v>
      </c>
      <c r="F305" s="2">
        <f>IFERROR(__xludf.DUMMYFUNCTION("""COMPUTED_VALUE"""),40312.0)</f>
        <v>40312</v>
      </c>
      <c r="G305" s="1">
        <f>IFERROR(__xludf.DUMMYFUNCTION("""COMPUTED_VALUE"""),10237.0)</f>
        <v>10237</v>
      </c>
    </row>
    <row r="306">
      <c r="A306" s="1" t="str">
        <f>IFERROR(__xludf.DUMMYFUNCTION("""COMPUTED_VALUE"""),"Satilla Community Bank")</f>
        <v>Satilla Community Bank</v>
      </c>
      <c r="B306" s="1" t="str">
        <f>IFERROR(__xludf.DUMMYFUNCTION("""COMPUTED_VALUE"""),"Saint Marys")</f>
        <v>Saint Marys</v>
      </c>
      <c r="C306" s="1" t="str">
        <f>IFERROR(__xludf.DUMMYFUNCTION("""COMPUTED_VALUE"""),"GA")</f>
        <v>GA</v>
      </c>
      <c r="D306" s="1">
        <f>IFERROR(__xludf.DUMMYFUNCTION("""COMPUTED_VALUE"""),35114.0)</f>
        <v>35114</v>
      </c>
      <c r="E306" s="1" t="str">
        <f>IFERROR(__xludf.DUMMYFUNCTION("""COMPUTED_VALUE"""),"Ameris Bank")</f>
        <v>Ameris Bank</v>
      </c>
      <c r="F306" s="2">
        <f>IFERROR(__xludf.DUMMYFUNCTION("""COMPUTED_VALUE"""),40312.0)</f>
        <v>40312</v>
      </c>
      <c r="G306" s="1">
        <f>IFERROR(__xludf.DUMMYFUNCTION("""COMPUTED_VALUE"""),10238.0)</f>
        <v>10238</v>
      </c>
    </row>
    <row r="307">
      <c r="A307" s="1" t="str">
        <f>IFERROR(__xludf.DUMMYFUNCTION("""COMPUTED_VALUE"""),"1st Pacific Bank of California")</f>
        <v>1st Pacific Bank of California</v>
      </c>
      <c r="B307" s="1" t="str">
        <f>IFERROR(__xludf.DUMMYFUNCTION("""COMPUTED_VALUE"""),"San Diego")</f>
        <v>San Diego</v>
      </c>
      <c r="C307" s="1" t="str">
        <f>IFERROR(__xludf.DUMMYFUNCTION("""COMPUTED_VALUE"""),"CA")</f>
        <v>CA</v>
      </c>
      <c r="D307" s="1">
        <f>IFERROR(__xludf.DUMMYFUNCTION("""COMPUTED_VALUE"""),35517.0)</f>
        <v>35517</v>
      </c>
      <c r="E307" s="1" t="str">
        <f>IFERROR(__xludf.DUMMYFUNCTION("""COMPUTED_VALUE"""),"City National Bank")</f>
        <v>City National Bank</v>
      </c>
      <c r="F307" s="2">
        <f>IFERROR(__xludf.DUMMYFUNCTION("""COMPUTED_VALUE"""),40305.0)</f>
        <v>40305</v>
      </c>
      <c r="G307" s="1">
        <f>IFERROR(__xludf.DUMMYFUNCTION("""COMPUTED_VALUE"""),10232.0)</f>
        <v>10232</v>
      </c>
    </row>
    <row r="308">
      <c r="A308" s="1" t="str">
        <f>IFERROR(__xludf.DUMMYFUNCTION("""COMPUTED_VALUE"""),"Towne Bank of Arizona")</f>
        <v>Towne Bank of Arizona</v>
      </c>
      <c r="B308" s="1" t="str">
        <f>IFERROR(__xludf.DUMMYFUNCTION("""COMPUTED_VALUE"""),"Mesa")</f>
        <v>Mesa</v>
      </c>
      <c r="C308" s="1" t="str">
        <f>IFERROR(__xludf.DUMMYFUNCTION("""COMPUTED_VALUE"""),"AZ")</f>
        <v>AZ</v>
      </c>
      <c r="D308" s="1">
        <f>IFERROR(__xludf.DUMMYFUNCTION("""COMPUTED_VALUE"""),57697.0)</f>
        <v>57697</v>
      </c>
      <c r="E308" s="1" t="str">
        <f>IFERROR(__xludf.DUMMYFUNCTION("""COMPUTED_VALUE"""),"Commerce Bank of Arizona")</f>
        <v>Commerce Bank of Arizona</v>
      </c>
      <c r="F308" s="2">
        <f>IFERROR(__xludf.DUMMYFUNCTION("""COMPUTED_VALUE"""),40305.0)</f>
        <v>40305</v>
      </c>
      <c r="G308" s="1">
        <f>IFERROR(__xludf.DUMMYFUNCTION("""COMPUTED_VALUE"""),10235.0)</f>
        <v>10235</v>
      </c>
    </row>
    <row r="309">
      <c r="A309" s="1" t="str">
        <f>IFERROR(__xludf.DUMMYFUNCTION("""COMPUTED_VALUE"""),"Access Bank")</f>
        <v>Access Bank</v>
      </c>
      <c r="B309" s="1" t="str">
        <f>IFERROR(__xludf.DUMMYFUNCTION("""COMPUTED_VALUE"""),"Champlin")</f>
        <v>Champlin</v>
      </c>
      <c r="C309" s="1" t="str">
        <f>IFERROR(__xludf.DUMMYFUNCTION("""COMPUTED_VALUE"""),"MN")</f>
        <v>MN</v>
      </c>
      <c r="D309" s="1">
        <f>IFERROR(__xludf.DUMMYFUNCTION("""COMPUTED_VALUE"""),16476.0)</f>
        <v>16476</v>
      </c>
      <c r="E309" s="1" t="str">
        <f>IFERROR(__xludf.DUMMYFUNCTION("""COMPUTED_VALUE"""),"PrinsBank")</f>
        <v>PrinsBank</v>
      </c>
      <c r="F309" s="2">
        <f>IFERROR(__xludf.DUMMYFUNCTION("""COMPUTED_VALUE"""),40305.0)</f>
        <v>40305</v>
      </c>
      <c r="G309" s="1">
        <f>IFERROR(__xludf.DUMMYFUNCTION("""COMPUTED_VALUE"""),10233.0)</f>
        <v>10233</v>
      </c>
    </row>
    <row r="310">
      <c r="A310" s="1" t="str">
        <f>IFERROR(__xludf.DUMMYFUNCTION("""COMPUTED_VALUE"""),"The Bank of Bonifay")</f>
        <v>The Bank of Bonifay</v>
      </c>
      <c r="B310" s="1" t="str">
        <f>IFERROR(__xludf.DUMMYFUNCTION("""COMPUTED_VALUE"""),"Bonifay")</f>
        <v>Bonifay</v>
      </c>
      <c r="C310" s="1" t="str">
        <f>IFERROR(__xludf.DUMMYFUNCTION("""COMPUTED_VALUE"""),"FL")</f>
        <v>FL</v>
      </c>
      <c r="D310" s="1">
        <f>IFERROR(__xludf.DUMMYFUNCTION("""COMPUTED_VALUE"""),14246.0)</f>
        <v>14246</v>
      </c>
      <c r="E310" s="1" t="str">
        <f>IFERROR(__xludf.DUMMYFUNCTION("""COMPUTED_VALUE"""),"First Federal Bank of Florida")</f>
        <v>First Federal Bank of Florida</v>
      </c>
      <c r="F310" s="2">
        <f>IFERROR(__xludf.DUMMYFUNCTION("""COMPUTED_VALUE"""),40305.0)</f>
        <v>40305</v>
      </c>
      <c r="G310" s="1">
        <f>IFERROR(__xludf.DUMMYFUNCTION("""COMPUTED_VALUE"""),10234.0)</f>
        <v>10234</v>
      </c>
    </row>
    <row r="311">
      <c r="A311" s="1" t="str">
        <f>IFERROR(__xludf.DUMMYFUNCTION("""COMPUTED_VALUE"""),"Frontier Bank")</f>
        <v>Frontier Bank</v>
      </c>
      <c r="B311" s="1" t="str">
        <f>IFERROR(__xludf.DUMMYFUNCTION("""COMPUTED_VALUE"""),"Everett")</f>
        <v>Everett</v>
      </c>
      <c r="C311" s="1" t="str">
        <f>IFERROR(__xludf.DUMMYFUNCTION("""COMPUTED_VALUE"""),"WA")</f>
        <v>WA</v>
      </c>
      <c r="D311" s="1">
        <f>IFERROR(__xludf.DUMMYFUNCTION("""COMPUTED_VALUE"""),22710.0)</f>
        <v>22710</v>
      </c>
      <c r="E311" s="1" t="str">
        <f>IFERROR(__xludf.DUMMYFUNCTION("""COMPUTED_VALUE"""),"Union Bank, N.A.")</f>
        <v>Union Bank, N.A.</v>
      </c>
      <c r="F311" s="2">
        <f>IFERROR(__xludf.DUMMYFUNCTION("""COMPUTED_VALUE"""),40298.0)</f>
        <v>40298</v>
      </c>
      <c r="G311" s="1">
        <f>IFERROR(__xludf.DUMMYFUNCTION("""COMPUTED_VALUE"""),10228.0)</f>
        <v>10228</v>
      </c>
    </row>
    <row r="312">
      <c r="A312" s="1" t="str">
        <f>IFERROR(__xludf.DUMMYFUNCTION("""COMPUTED_VALUE"""),"BC National Banks")</f>
        <v>BC National Banks</v>
      </c>
      <c r="B312" s="1" t="str">
        <f>IFERROR(__xludf.DUMMYFUNCTION("""COMPUTED_VALUE"""),"Butler")</f>
        <v>Butler</v>
      </c>
      <c r="C312" s="1" t="str">
        <f>IFERROR(__xludf.DUMMYFUNCTION("""COMPUTED_VALUE"""),"MO")</f>
        <v>MO</v>
      </c>
      <c r="D312" s="1">
        <f>IFERROR(__xludf.DUMMYFUNCTION("""COMPUTED_VALUE"""),17792.0)</f>
        <v>17792</v>
      </c>
      <c r="E312" s="1" t="str">
        <f>IFERROR(__xludf.DUMMYFUNCTION("""COMPUTED_VALUE"""),"Community First Bank")</f>
        <v>Community First Bank</v>
      </c>
      <c r="F312" s="2">
        <f>IFERROR(__xludf.DUMMYFUNCTION("""COMPUTED_VALUE"""),40298.0)</f>
        <v>40298</v>
      </c>
      <c r="G312" s="1">
        <f>IFERROR(__xludf.DUMMYFUNCTION("""COMPUTED_VALUE"""),10225.0)</f>
        <v>10225</v>
      </c>
    </row>
    <row r="313">
      <c r="A313" s="1" t="str">
        <f>IFERROR(__xludf.DUMMYFUNCTION("""COMPUTED_VALUE"""),"Champion Bank")</f>
        <v>Champion Bank</v>
      </c>
      <c r="B313" s="1" t="str">
        <f>IFERROR(__xludf.DUMMYFUNCTION("""COMPUTED_VALUE"""),"Creve Coeur")</f>
        <v>Creve Coeur</v>
      </c>
      <c r="C313" s="1" t="str">
        <f>IFERROR(__xludf.DUMMYFUNCTION("""COMPUTED_VALUE"""),"MO")</f>
        <v>MO</v>
      </c>
      <c r="D313" s="1">
        <f>IFERROR(__xludf.DUMMYFUNCTION("""COMPUTED_VALUE"""),58362.0)</f>
        <v>58362</v>
      </c>
      <c r="E313" s="1" t="str">
        <f>IFERROR(__xludf.DUMMYFUNCTION("""COMPUTED_VALUE"""),"BankLiberty")</f>
        <v>BankLiberty</v>
      </c>
      <c r="F313" s="2">
        <f>IFERROR(__xludf.DUMMYFUNCTION("""COMPUTED_VALUE"""),40298.0)</f>
        <v>40298</v>
      </c>
      <c r="G313" s="1">
        <f>IFERROR(__xludf.DUMMYFUNCTION("""COMPUTED_VALUE"""),10227.0)</f>
        <v>10227</v>
      </c>
    </row>
    <row r="314">
      <c r="A314" s="1" t="str">
        <f>IFERROR(__xludf.DUMMYFUNCTION("""COMPUTED_VALUE"""),"CF Bancorp")</f>
        <v>CF Bancorp</v>
      </c>
      <c r="B314" s="1" t="str">
        <f>IFERROR(__xludf.DUMMYFUNCTION("""COMPUTED_VALUE"""),"Port Huron")</f>
        <v>Port Huron</v>
      </c>
      <c r="C314" s="1" t="str">
        <f>IFERROR(__xludf.DUMMYFUNCTION("""COMPUTED_VALUE"""),"MI")</f>
        <v>MI</v>
      </c>
      <c r="D314" s="1">
        <f>IFERROR(__xludf.DUMMYFUNCTION("""COMPUTED_VALUE"""),30005.0)</f>
        <v>30005</v>
      </c>
      <c r="E314" s="1" t="str">
        <f>IFERROR(__xludf.DUMMYFUNCTION("""COMPUTED_VALUE"""),"First Michigan Bank")</f>
        <v>First Michigan Bank</v>
      </c>
      <c r="F314" s="2">
        <f>IFERROR(__xludf.DUMMYFUNCTION("""COMPUTED_VALUE"""),40298.0)</f>
        <v>40298</v>
      </c>
      <c r="G314" s="1">
        <f>IFERROR(__xludf.DUMMYFUNCTION("""COMPUTED_VALUE"""),10226.0)</f>
        <v>10226</v>
      </c>
    </row>
    <row r="315">
      <c r="A315" s="1" t="str">
        <f>IFERROR(__xludf.DUMMYFUNCTION("""COMPUTED_VALUE"""),"Westernbank Puerto Rico
En Español")</f>
        <v>Westernbank Puerto Rico
En Español</v>
      </c>
      <c r="B315" s="1" t="str">
        <f>IFERROR(__xludf.DUMMYFUNCTION("""COMPUTED_VALUE"""),"Mayaguez")</f>
        <v>Mayaguez</v>
      </c>
      <c r="C315" s="1" t="str">
        <f>IFERROR(__xludf.DUMMYFUNCTION("""COMPUTED_VALUE"""),"PR")</f>
        <v>PR</v>
      </c>
      <c r="D315" s="1">
        <f>IFERROR(__xludf.DUMMYFUNCTION("""COMPUTED_VALUE"""),31027.0)</f>
        <v>31027</v>
      </c>
      <c r="E315" s="1" t="str">
        <f>IFERROR(__xludf.DUMMYFUNCTION("""COMPUTED_VALUE"""),"Banco Popular de Puerto Rico")</f>
        <v>Banco Popular de Puerto Rico</v>
      </c>
      <c r="F315" s="2">
        <f>IFERROR(__xludf.DUMMYFUNCTION("""COMPUTED_VALUE"""),40298.0)</f>
        <v>40298</v>
      </c>
      <c r="G315" s="1">
        <f>IFERROR(__xludf.DUMMYFUNCTION("""COMPUTED_VALUE"""),10231.0)</f>
        <v>10231</v>
      </c>
    </row>
    <row r="316">
      <c r="A316" s="1" t="str">
        <f>IFERROR(__xludf.DUMMYFUNCTION("""COMPUTED_VALUE"""),"R-G Premier Bank of Puerto Rico
En Español")</f>
        <v>R-G Premier Bank of Puerto Rico
En Español</v>
      </c>
      <c r="B316" s="1" t="str">
        <f>IFERROR(__xludf.DUMMYFUNCTION("""COMPUTED_VALUE"""),"Hato Rey")</f>
        <v>Hato Rey</v>
      </c>
      <c r="C316" s="1" t="str">
        <f>IFERROR(__xludf.DUMMYFUNCTION("""COMPUTED_VALUE"""),"PR")</f>
        <v>PR</v>
      </c>
      <c r="D316" s="1">
        <f>IFERROR(__xludf.DUMMYFUNCTION("""COMPUTED_VALUE"""),32185.0)</f>
        <v>32185</v>
      </c>
      <c r="E316" s="1" t="str">
        <f>IFERROR(__xludf.DUMMYFUNCTION("""COMPUTED_VALUE"""),"Scotiabank de Puerto Rico")</f>
        <v>Scotiabank de Puerto Rico</v>
      </c>
      <c r="F316" s="2">
        <f>IFERROR(__xludf.DUMMYFUNCTION("""COMPUTED_VALUE"""),40298.0)</f>
        <v>40298</v>
      </c>
      <c r="G316" s="1">
        <f>IFERROR(__xludf.DUMMYFUNCTION("""COMPUTED_VALUE"""),10230.0)</f>
        <v>10230</v>
      </c>
    </row>
    <row r="317">
      <c r="A317" s="1" t="str">
        <f>IFERROR(__xludf.DUMMYFUNCTION("""COMPUTED_VALUE"""),"Eurobank
En Español")</f>
        <v>Eurobank
En Español</v>
      </c>
      <c r="B317" s="1" t="str">
        <f>IFERROR(__xludf.DUMMYFUNCTION("""COMPUTED_VALUE"""),"San Juan")</f>
        <v>San Juan</v>
      </c>
      <c r="C317" s="1" t="str">
        <f>IFERROR(__xludf.DUMMYFUNCTION("""COMPUTED_VALUE"""),"PR")</f>
        <v>PR</v>
      </c>
      <c r="D317" s="1">
        <f>IFERROR(__xludf.DUMMYFUNCTION("""COMPUTED_VALUE"""),27150.0)</f>
        <v>27150</v>
      </c>
      <c r="E317" s="1" t="str">
        <f>IFERROR(__xludf.DUMMYFUNCTION("""COMPUTED_VALUE"""),"Oriental Bank and Trust")</f>
        <v>Oriental Bank and Trust</v>
      </c>
      <c r="F317" s="2">
        <f>IFERROR(__xludf.DUMMYFUNCTION("""COMPUTED_VALUE"""),40298.0)</f>
        <v>40298</v>
      </c>
      <c r="G317" s="1">
        <f>IFERROR(__xludf.DUMMYFUNCTION("""COMPUTED_VALUE"""),10229.0)</f>
        <v>10229</v>
      </c>
    </row>
    <row r="318">
      <c r="A318" s="1" t="str">
        <f>IFERROR(__xludf.DUMMYFUNCTION("""COMPUTED_VALUE"""),"Wheatland Bank")</f>
        <v>Wheatland Bank</v>
      </c>
      <c r="B318" s="1" t="str">
        <f>IFERROR(__xludf.DUMMYFUNCTION("""COMPUTED_VALUE"""),"Naperville")</f>
        <v>Naperville</v>
      </c>
      <c r="C318" s="1" t="str">
        <f>IFERROR(__xludf.DUMMYFUNCTION("""COMPUTED_VALUE"""),"IL")</f>
        <v>IL</v>
      </c>
      <c r="D318" s="1">
        <f>IFERROR(__xludf.DUMMYFUNCTION("""COMPUTED_VALUE"""),58429.0)</f>
        <v>58429</v>
      </c>
      <c r="E318" s="1" t="str">
        <f>IFERROR(__xludf.DUMMYFUNCTION("""COMPUTED_VALUE"""),"Wheaton Bank &amp; Trust")</f>
        <v>Wheaton Bank &amp; Trust</v>
      </c>
      <c r="F318" s="2">
        <f>IFERROR(__xludf.DUMMYFUNCTION("""COMPUTED_VALUE"""),40291.0)</f>
        <v>40291</v>
      </c>
      <c r="G318" s="1">
        <f>IFERROR(__xludf.DUMMYFUNCTION("""COMPUTED_VALUE"""),10224.0)</f>
        <v>10224</v>
      </c>
    </row>
    <row r="319">
      <c r="A319" s="1" t="str">
        <f>IFERROR(__xludf.DUMMYFUNCTION("""COMPUTED_VALUE"""),"Peotone Bank and Trust Company")</f>
        <v>Peotone Bank and Trust Company</v>
      </c>
      <c r="B319" s="1" t="str">
        <f>IFERROR(__xludf.DUMMYFUNCTION("""COMPUTED_VALUE"""),"Peotone")</f>
        <v>Peotone</v>
      </c>
      <c r="C319" s="1" t="str">
        <f>IFERROR(__xludf.DUMMYFUNCTION("""COMPUTED_VALUE"""),"IL")</f>
        <v>IL</v>
      </c>
      <c r="D319" s="1">
        <f>IFERROR(__xludf.DUMMYFUNCTION("""COMPUTED_VALUE"""),10888.0)</f>
        <v>10888</v>
      </c>
      <c r="E319" s="1" t="str">
        <f>IFERROR(__xludf.DUMMYFUNCTION("""COMPUTED_VALUE"""),"First Midwest Bank")</f>
        <v>First Midwest Bank</v>
      </c>
      <c r="F319" s="2">
        <f>IFERROR(__xludf.DUMMYFUNCTION("""COMPUTED_VALUE"""),40291.0)</f>
        <v>40291</v>
      </c>
      <c r="G319" s="1">
        <f>IFERROR(__xludf.DUMMYFUNCTION("""COMPUTED_VALUE"""),10223.0)</f>
        <v>10223</v>
      </c>
    </row>
    <row r="320">
      <c r="A320" s="1" t="str">
        <f>IFERROR(__xludf.DUMMYFUNCTION("""COMPUTED_VALUE"""),"Lincoln Park Savings Bank")</f>
        <v>Lincoln Park Savings Bank</v>
      </c>
      <c r="B320" s="1" t="str">
        <f>IFERROR(__xludf.DUMMYFUNCTION("""COMPUTED_VALUE"""),"Chicago")</f>
        <v>Chicago</v>
      </c>
      <c r="C320" s="1" t="str">
        <f>IFERROR(__xludf.DUMMYFUNCTION("""COMPUTED_VALUE"""),"IL")</f>
        <v>IL</v>
      </c>
      <c r="D320" s="1">
        <f>IFERROR(__xludf.DUMMYFUNCTION("""COMPUTED_VALUE"""),30600.0)</f>
        <v>30600</v>
      </c>
      <c r="E320" s="1" t="str">
        <f>IFERROR(__xludf.DUMMYFUNCTION("""COMPUTED_VALUE"""),"Northbrook Bank &amp; Trust Company")</f>
        <v>Northbrook Bank &amp; Trust Company</v>
      </c>
      <c r="F320" s="2">
        <f>IFERROR(__xludf.DUMMYFUNCTION("""COMPUTED_VALUE"""),40291.0)</f>
        <v>40291</v>
      </c>
      <c r="G320" s="1">
        <f>IFERROR(__xludf.DUMMYFUNCTION("""COMPUTED_VALUE"""),10221.0)</f>
        <v>10221</v>
      </c>
    </row>
    <row r="321">
      <c r="A321" s="1" t="str">
        <f>IFERROR(__xludf.DUMMYFUNCTION("""COMPUTED_VALUE"""),"New Century Bank")</f>
        <v>New Century Bank</v>
      </c>
      <c r="B321" s="1" t="str">
        <f>IFERROR(__xludf.DUMMYFUNCTION("""COMPUTED_VALUE"""),"Chicago")</f>
        <v>Chicago</v>
      </c>
      <c r="C321" s="1" t="str">
        <f>IFERROR(__xludf.DUMMYFUNCTION("""COMPUTED_VALUE"""),"IL")</f>
        <v>IL</v>
      </c>
      <c r="D321" s="1">
        <f>IFERROR(__xludf.DUMMYFUNCTION("""COMPUTED_VALUE"""),34821.0)</f>
        <v>34821</v>
      </c>
      <c r="E321" s="1" t="str">
        <f>IFERROR(__xludf.DUMMYFUNCTION("""COMPUTED_VALUE"""),"MB Financial Bank, N.A.")</f>
        <v>MB Financial Bank, N.A.</v>
      </c>
      <c r="F321" s="2">
        <f>IFERROR(__xludf.DUMMYFUNCTION("""COMPUTED_VALUE"""),40291.0)</f>
        <v>40291</v>
      </c>
      <c r="G321" s="1">
        <f>IFERROR(__xludf.DUMMYFUNCTION("""COMPUTED_VALUE"""),10222.0)</f>
        <v>10222</v>
      </c>
    </row>
    <row r="322">
      <c r="A322" s="1" t="str">
        <f>IFERROR(__xludf.DUMMYFUNCTION("""COMPUTED_VALUE"""),"Citizens Bank and Trust Company of Chicago")</f>
        <v>Citizens Bank and Trust Company of Chicago</v>
      </c>
      <c r="B322" s="1" t="str">
        <f>IFERROR(__xludf.DUMMYFUNCTION("""COMPUTED_VALUE"""),"Chicago")</f>
        <v>Chicago</v>
      </c>
      <c r="C322" s="1" t="str">
        <f>IFERROR(__xludf.DUMMYFUNCTION("""COMPUTED_VALUE"""),"IL")</f>
        <v>IL</v>
      </c>
      <c r="D322" s="1">
        <f>IFERROR(__xludf.DUMMYFUNCTION("""COMPUTED_VALUE"""),34658.0)</f>
        <v>34658</v>
      </c>
      <c r="E322" s="1" t="str">
        <f>IFERROR(__xludf.DUMMYFUNCTION("""COMPUTED_VALUE"""),"Republic Bank of Chicago")</f>
        <v>Republic Bank of Chicago</v>
      </c>
      <c r="F322" s="2">
        <f>IFERROR(__xludf.DUMMYFUNCTION("""COMPUTED_VALUE"""),40291.0)</f>
        <v>40291</v>
      </c>
      <c r="G322" s="1">
        <f>IFERROR(__xludf.DUMMYFUNCTION("""COMPUTED_VALUE"""),10220.0)</f>
        <v>10220</v>
      </c>
    </row>
    <row r="323">
      <c r="A323" s="1" t="str">
        <f>IFERROR(__xludf.DUMMYFUNCTION("""COMPUTED_VALUE"""),"Broadway Bank")</f>
        <v>Broadway Bank</v>
      </c>
      <c r="B323" s="1" t="str">
        <f>IFERROR(__xludf.DUMMYFUNCTION("""COMPUTED_VALUE"""),"Chicago")</f>
        <v>Chicago</v>
      </c>
      <c r="C323" s="1" t="str">
        <f>IFERROR(__xludf.DUMMYFUNCTION("""COMPUTED_VALUE"""),"IL")</f>
        <v>IL</v>
      </c>
      <c r="D323" s="1">
        <f>IFERROR(__xludf.DUMMYFUNCTION("""COMPUTED_VALUE"""),22853.0)</f>
        <v>22853</v>
      </c>
      <c r="E323" s="1" t="str">
        <f>IFERROR(__xludf.DUMMYFUNCTION("""COMPUTED_VALUE"""),"MB Financial Bank, N.A.")</f>
        <v>MB Financial Bank, N.A.</v>
      </c>
      <c r="F323" s="2">
        <f>IFERROR(__xludf.DUMMYFUNCTION("""COMPUTED_VALUE"""),40291.0)</f>
        <v>40291</v>
      </c>
      <c r="G323" s="1">
        <f>IFERROR(__xludf.DUMMYFUNCTION("""COMPUTED_VALUE"""),10219.0)</f>
        <v>10219</v>
      </c>
    </row>
    <row r="324">
      <c r="A324" s="1" t="str">
        <f>IFERROR(__xludf.DUMMYFUNCTION("""COMPUTED_VALUE"""),"Amcore Bank, National Association")</f>
        <v>Amcore Bank, National Association</v>
      </c>
      <c r="B324" s="1" t="str">
        <f>IFERROR(__xludf.DUMMYFUNCTION("""COMPUTED_VALUE"""),"Rockford")</f>
        <v>Rockford</v>
      </c>
      <c r="C324" s="1" t="str">
        <f>IFERROR(__xludf.DUMMYFUNCTION("""COMPUTED_VALUE"""),"IL")</f>
        <v>IL</v>
      </c>
      <c r="D324" s="1">
        <f>IFERROR(__xludf.DUMMYFUNCTION("""COMPUTED_VALUE"""),3735.0)</f>
        <v>3735</v>
      </c>
      <c r="E324" s="1" t="str">
        <f>IFERROR(__xludf.DUMMYFUNCTION("""COMPUTED_VALUE"""),"Harris N.A.")</f>
        <v>Harris N.A.</v>
      </c>
      <c r="F324" s="2">
        <f>IFERROR(__xludf.DUMMYFUNCTION("""COMPUTED_VALUE"""),40291.0)</f>
        <v>40291</v>
      </c>
      <c r="G324" s="1">
        <f>IFERROR(__xludf.DUMMYFUNCTION("""COMPUTED_VALUE"""),10218.0)</f>
        <v>10218</v>
      </c>
    </row>
    <row r="325">
      <c r="A325" s="1" t="str">
        <f>IFERROR(__xludf.DUMMYFUNCTION("""COMPUTED_VALUE"""),"City Bank")</f>
        <v>City Bank</v>
      </c>
      <c r="B325" s="1" t="str">
        <f>IFERROR(__xludf.DUMMYFUNCTION("""COMPUTED_VALUE"""),"Lynnwood")</f>
        <v>Lynnwood</v>
      </c>
      <c r="C325" s="1" t="str">
        <f>IFERROR(__xludf.DUMMYFUNCTION("""COMPUTED_VALUE"""),"WA")</f>
        <v>WA</v>
      </c>
      <c r="D325" s="1">
        <f>IFERROR(__xludf.DUMMYFUNCTION("""COMPUTED_VALUE"""),21521.0)</f>
        <v>21521</v>
      </c>
      <c r="E325" s="1" t="str">
        <f>IFERROR(__xludf.DUMMYFUNCTION("""COMPUTED_VALUE"""),"Whidbey Island Bank")</f>
        <v>Whidbey Island Bank</v>
      </c>
      <c r="F325" s="2">
        <f>IFERROR(__xludf.DUMMYFUNCTION("""COMPUTED_VALUE"""),40284.0)</f>
        <v>40284</v>
      </c>
      <c r="G325" s="1">
        <f>IFERROR(__xludf.DUMMYFUNCTION("""COMPUTED_VALUE"""),10212.0)</f>
        <v>10212</v>
      </c>
    </row>
    <row r="326">
      <c r="A326" s="1" t="str">
        <f>IFERROR(__xludf.DUMMYFUNCTION("""COMPUTED_VALUE"""),"Tamalpais Bank")</f>
        <v>Tamalpais Bank</v>
      </c>
      <c r="B326" s="1" t="str">
        <f>IFERROR(__xludf.DUMMYFUNCTION("""COMPUTED_VALUE"""),"San Rafael")</f>
        <v>San Rafael</v>
      </c>
      <c r="C326" s="1" t="str">
        <f>IFERROR(__xludf.DUMMYFUNCTION("""COMPUTED_VALUE"""),"CA")</f>
        <v>CA</v>
      </c>
      <c r="D326" s="1">
        <f>IFERROR(__xludf.DUMMYFUNCTION("""COMPUTED_VALUE"""),33493.0)</f>
        <v>33493</v>
      </c>
      <c r="E326" s="1" t="str">
        <f>IFERROR(__xludf.DUMMYFUNCTION("""COMPUTED_VALUE"""),"Union Bank, N.A.")</f>
        <v>Union Bank, N.A.</v>
      </c>
      <c r="F326" s="2">
        <f>IFERROR(__xludf.DUMMYFUNCTION("""COMPUTED_VALUE"""),40284.0)</f>
        <v>40284</v>
      </c>
      <c r="G326" s="1">
        <f>IFERROR(__xludf.DUMMYFUNCTION("""COMPUTED_VALUE"""),10217.0)</f>
        <v>10217</v>
      </c>
    </row>
    <row r="327">
      <c r="A327" s="1" t="str">
        <f>IFERROR(__xludf.DUMMYFUNCTION("""COMPUTED_VALUE"""),"Innovative Bank")</f>
        <v>Innovative Bank</v>
      </c>
      <c r="B327" s="1" t="str">
        <f>IFERROR(__xludf.DUMMYFUNCTION("""COMPUTED_VALUE"""),"Oakland")</f>
        <v>Oakland</v>
      </c>
      <c r="C327" s="1" t="str">
        <f>IFERROR(__xludf.DUMMYFUNCTION("""COMPUTED_VALUE"""),"CA")</f>
        <v>CA</v>
      </c>
      <c r="D327" s="1">
        <f>IFERROR(__xludf.DUMMYFUNCTION("""COMPUTED_VALUE"""),23876.0)</f>
        <v>23876</v>
      </c>
      <c r="E327" s="1" t="str">
        <f>IFERROR(__xludf.DUMMYFUNCTION("""COMPUTED_VALUE"""),"Center Bank")</f>
        <v>Center Bank</v>
      </c>
      <c r="F327" s="2">
        <f>IFERROR(__xludf.DUMMYFUNCTION("""COMPUTED_VALUE"""),40284.0)</f>
        <v>40284</v>
      </c>
      <c r="G327" s="1">
        <f>IFERROR(__xludf.DUMMYFUNCTION("""COMPUTED_VALUE"""),10214.0)</f>
        <v>10214</v>
      </c>
    </row>
    <row r="328">
      <c r="A328" s="1" t="str">
        <f>IFERROR(__xludf.DUMMYFUNCTION("""COMPUTED_VALUE"""),"Butler Bank")</f>
        <v>Butler Bank</v>
      </c>
      <c r="B328" s="1" t="str">
        <f>IFERROR(__xludf.DUMMYFUNCTION("""COMPUTED_VALUE"""),"Lowell")</f>
        <v>Lowell</v>
      </c>
      <c r="C328" s="1" t="str">
        <f>IFERROR(__xludf.DUMMYFUNCTION("""COMPUTED_VALUE"""),"MA")</f>
        <v>MA</v>
      </c>
      <c r="D328" s="1">
        <f>IFERROR(__xludf.DUMMYFUNCTION("""COMPUTED_VALUE"""),26619.0)</f>
        <v>26619</v>
      </c>
      <c r="E328" s="1" t="str">
        <f>IFERROR(__xludf.DUMMYFUNCTION("""COMPUTED_VALUE"""),"People's United Bank")</f>
        <v>People's United Bank</v>
      </c>
      <c r="F328" s="2">
        <f>IFERROR(__xludf.DUMMYFUNCTION("""COMPUTED_VALUE"""),40284.0)</f>
        <v>40284</v>
      </c>
      <c r="G328" s="1">
        <f>IFERROR(__xludf.DUMMYFUNCTION("""COMPUTED_VALUE"""),10211.0)</f>
        <v>10211</v>
      </c>
    </row>
    <row r="329">
      <c r="A329" s="1" t="str">
        <f>IFERROR(__xludf.DUMMYFUNCTION("""COMPUTED_VALUE"""),"Riverside National Bank of Florida")</f>
        <v>Riverside National Bank of Florida</v>
      </c>
      <c r="B329" s="1" t="str">
        <f>IFERROR(__xludf.DUMMYFUNCTION("""COMPUTED_VALUE"""),"Fort Pierce")</f>
        <v>Fort Pierce</v>
      </c>
      <c r="C329" s="1" t="str">
        <f>IFERROR(__xludf.DUMMYFUNCTION("""COMPUTED_VALUE"""),"FL")</f>
        <v>FL</v>
      </c>
      <c r="D329" s="1">
        <f>IFERROR(__xludf.DUMMYFUNCTION("""COMPUTED_VALUE"""),24067.0)</f>
        <v>24067</v>
      </c>
      <c r="E329" s="1" t="str">
        <f>IFERROR(__xludf.DUMMYFUNCTION("""COMPUTED_VALUE"""),"TD Bank, N.A.")</f>
        <v>TD Bank, N.A.</v>
      </c>
      <c r="F329" s="2">
        <f>IFERROR(__xludf.DUMMYFUNCTION("""COMPUTED_VALUE"""),40284.0)</f>
        <v>40284</v>
      </c>
      <c r="G329" s="1">
        <f>IFERROR(__xludf.DUMMYFUNCTION("""COMPUTED_VALUE"""),10216.0)</f>
        <v>10216</v>
      </c>
    </row>
    <row r="330">
      <c r="A330" s="1" t="str">
        <f>IFERROR(__xludf.DUMMYFUNCTION("""COMPUTED_VALUE"""),"AmericanFirst Bank")</f>
        <v>AmericanFirst Bank</v>
      </c>
      <c r="B330" s="1" t="str">
        <f>IFERROR(__xludf.DUMMYFUNCTION("""COMPUTED_VALUE"""),"Clermont")</f>
        <v>Clermont</v>
      </c>
      <c r="C330" s="1" t="str">
        <f>IFERROR(__xludf.DUMMYFUNCTION("""COMPUTED_VALUE"""),"FL")</f>
        <v>FL</v>
      </c>
      <c r="D330" s="1">
        <f>IFERROR(__xludf.DUMMYFUNCTION("""COMPUTED_VALUE"""),57724.0)</f>
        <v>57724</v>
      </c>
      <c r="E330" s="1" t="str">
        <f>IFERROR(__xludf.DUMMYFUNCTION("""COMPUTED_VALUE"""),"TD Bank, N.A.")</f>
        <v>TD Bank, N.A.</v>
      </c>
      <c r="F330" s="2">
        <f>IFERROR(__xludf.DUMMYFUNCTION("""COMPUTED_VALUE"""),40284.0)</f>
        <v>40284</v>
      </c>
      <c r="G330" s="1">
        <f>IFERROR(__xludf.DUMMYFUNCTION("""COMPUTED_VALUE"""),10210.0)</f>
        <v>10210</v>
      </c>
    </row>
    <row r="331">
      <c r="A331" s="1" t="str">
        <f>IFERROR(__xludf.DUMMYFUNCTION("""COMPUTED_VALUE"""),"First Federal Bank of North Florida")</f>
        <v>First Federal Bank of North Florida</v>
      </c>
      <c r="B331" s="1" t="str">
        <f>IFERROR(__xludf.DUMMYFUNCTION("""COMPUTED_VALUE"""),"Palatka")</f>
        <v>Palatka</v>
      </c>
      <c r="C331" s="1" t="str">
        <f>IFERROR(__xludf.DUMMYFUNCTION("""COMPUTED_VALUE"""),"FL")</f>
        <v>FL</v>
      </c>
      <c r="D331" s="1">
        <f>IFERROR(__xludf.DUMMYFUNCTION("""COMPUTED_VALUE"""),28886.0)</f>
        <v>28886</v>
      </c>
      <c r="E331" s="1" t="str">
        <f>IFERROR(__xludf.DUMMYFUNCTION("""COMPUTED_VALUE"""),"TD Bank, N.A.")</f>
        <v>TD Bank, N.A.</v>
      </c>
      <c r="F331" s="2">
        <f>IFERROR(__xludf.DUMMYFUNCTION("""COMPUTED_VALUE"""),40284.0)</f>
        <v>40284</v>
      </c>
      <c r="G331" s="1">
        <f>IFERROR(__xludf.DUMMYFUNCTION("""COMPUTED_VALUE"""),10213.0)</f>
        <v>10213</v>
      </c>
    </row>
    <row r="332">
      <c r="A332" s="1" t="str">
        <f>IFERROR(__xludf.DUMMYFUNCTION("""COMPUTED_VALUE"""),"Lakeside Community Bank")</f>
        <v>Lakeside Community Bank</v>
      </c>
      <c r="B332" s="1" t="str">
        <f>IFERROR(__xludf.DUMMYFUNCTION("""COMPUTED_VALUE"""),"Sterling Heights")</f>
        <v>Sterling Heights</v>
      </c>
      <c r="C332" s="1" t="str">
        <f>IFERROR(__xludf.DUMMYFUNCTION("""COMPUTED_VALUE"""),"MI")</f>
        <v>MI</v>
      </c>
      <c r="D332" s="1">
        <f>IFERROR(__xludf.DUMMYFUNCTION("""COMPUTED_VALUE"""),34878.0)</f>
        <v>34878</v>
      </c>
      <c r="E332" s="1" t="str">
        <f>IFERROR(__xludf.DUMMYFUNCTION("""COMPUTED_VALUE"""),"No Acquirer")</f>
        <v>No Acquirer</v>
      </c>
      <c r="F332" s="2">
        <f>IFERROR(__xludf.DUMMYFUNCTION("""COMPUTED_VALUE"""),40284.0)</f>
        <v>40284</v>
      </c>
      <c r="G332" s="1">
        <f>IFERROR(__xludf.DUMMYFUNCTION("""COMPUTED_VALUE"""),10215.0)</f>
        <v>10215</v>
      </c>
    </row>
    <row r="333">
      <c r="A333" s="1" t="str">
        <f>IFERROR(__xludf.DUMMYFUNCTION("""COMPUTED_VALUE"""),"Beach First National Bank")</f>
        <v>Beach First National Bank</v>
      </c>
      <c r="B333" s="1" t="str">
        <f>IFERROR(__xludf.DUMMYFUNCTION("""COMPUTED_VALUE"""),"Myrtle Beach")</f>
        <v>Myrtle Beach</v>
      </c>
      <c r="C333" s="1" t="str">
        <f>IFERROR(__xludf.DUMMYFUNCTION("""COMPUTED_VALUE"""),"SC")</f>
        <v>SC</v>
      </c>
      <c r="D333" s="1">
        <f>IFERROR(__xludf.DUMMYFUNCTION("""COMPUTED_VALUE"""),34242.0)</f>
        <v>34242</v>
      </c>
      <c r="E333" s="1" t="str">
        <f>IFERROR(__xludf.DUMMYFUNCTION("""COMPUTED_VALUE"""),"Bank of North Carolina")</f>
        <v>Bank of North Carolina</v>
      </c>
      <c r="F333" s="2">
        <f>IFERROR(__xludf.DUMMYFUNCTION("""COMPUTED_VALUE"""),40277.0)</f>
        <v>40277</v>
      </c>
      <c r="G333" s="1">
        <f>IFERROR(__xludf.DUMMYFUNCTION("""COMPUTED_VALUE"""),10209.0)</f>
        <v>10209</v>
      </c>
    </row>
    <row r="334">
      <c r="A334" s="1" t="str">
        <f>IFERROR(__xludf.DUMMYFUNCTION("""COMPUTED_VALUE"""),"Desert Hills Bank")</f>
        <v>Desert Hills Bank</v>
      </c>
      <c r="B334" s="1" t="str">
        <f>IFERROR(__xludf.DUMMYFUNCTION("""COMPUTED_VALUE"""),"Phoenix")</f>
        <v>Phoenix</v>
      </c>
      <c r="C334" s="1" t="str">
        <f>IFERROR(__xludf.DUMMYFUNCTION("""COMPUTED_VALUE"""),"AZ")</f>
        <v>AZ</v>
      </c>
      <c r="D334" s="1">
        <f>IFERROR(__xludf.DUMMYFUNCTION("""COMPUTED_VALUE"""),57060.0)</f>
        <v>57060</v>
      </c>
      <c r="E334" s="1" t="str">
        <f>IFERROR(__xludf.DUMMYFUNCTION("""COMPUTED_VALUE"""),"New York Community Bank")</f>
        <v>New York Community Bank</v>
      </c>
      <c r="F334" s="2">
        <f>IFERROR(__xludf.DUMMYFUNCTION("""COMPUTED_VALUE"""),40263.0)</f>
        <v>40263</v>
      </c>
      <c r="G334" s="1">
        <f>IFERROR(__xludf.DUMMYFUNCTION("""COMPUTED_VALUE"""),10205.0)</f>
        <v>10205</v>
      </c>
    </row>
    <row r="335">
      <c r="A335" s="1" t="str">
        <f>IFERROR(__xludf.DUMMYFUNCTION("""COMPUTED_VALUE"""),"Unity National Bank")</f>
        <v>Unity National Bank</v>
      </c>
      <c r="B335" s="1" t="str">
        <f>IFERROR(__xludf.DUMMYFUNCTION("""COMPUTED_VALUE"""),"Cartersville")</f>
        <v>Cartersville</v>
      </c>
      <c r="C335" s="1" t="str">
        <f>IFERROR(__xludf.DUMMYFUNCTION("""COMPUTED_VALUE"""),"GA")</f>
        <v>GA</v>
      </c>
      <c r="D335" s="1">
        <f>IFERROR(__xludf.DUMMYFUNCTION("""COMPUTED_VALUE"""),34678.0)</f>
        <v>34678</v>
      </c>
      <c r="E335" s="1" t="str">
        <f>IFERROR(__xludf.DUMMYFUNCTION("""COMPUTED_VALUE"""),"Bank of the Ozarks")</f>
        <v>Bank of the Ozarks</v>
      </c>
      <c r="F335" s="2">
        <f>IFERROR(__xludf.DUMMYFUNCTION("""COMPUTED_VALUE"""),40263.0)</f>
        <v>40263</v>
      </c>
      <c r="G335" s="1">
        <f>IFERROR(__xludf.DUMMYFUNCTION("""COMPUTED_VALUE"""),10208.0)</f>
        <v>10208</v>
      </c>
    </row>
    <row r="336">
      <c r="A336" s="1" t="str">
        <f>IFERROR(__xludf.DUMMYFUNCTION("""COMPUTED_VALUE"""),"Key West Bank")</f>
        <v>Key West Bank</v>
      </c>
      <c r="B336" s="1" t="str">
        <f>IFERROR(__xludf.DUMMYFUNCTION("""COMPUTED_VALUE"""),"Key West")</f>
        <v>Key West</v>
      </c>
      <c r="C336" s="1" t="str">
        <f>IFERROR(__xludf.DUMMYFUNCTION("""COMPUTED_VALUE"""),"FL")</f>
        <v>FL</v>
      </c>
      <c r="D336" s="1">
        <f>IFERROR(__xludf.DUMMYFUNCTION("""COMPUTED_VALUE"""),34684.0)</f>
        <v>34684</v>
      </c>
      <c r="E336" s="1" t="str">
        <f>IFERROR(__xludf.DUMMYFUNCTION("""COMPUTED_VALUE"""),"Centennial Bank")</f>
        <v>Centennial Bank</v>
      </c>
      <c r="F336" s="2">
        <f>IFERROR(__xludf.DUMMYFUNCTION("""COMPUTED_VALUE"""),40263.0)</f>
        <v>40263</v>
      </c>
      <c r="G336" s="1">
        <f>IFERROR(__xludf.DUMMYFUNCTION("""COMPUTED_VALUE"""),10206.0)</f>
        <v>10206</v>
      </c>
    </row>
    <row r="337">
      <c r="A337" s="1" t="str">
        <f>IFERROR(__xludf.DUMMYFUNCTION("""COMPUTED_VALUE"""),"McIntosh Commercial Bank")</f>
        <v>McIntosh Commercial Bank</v>
      </c>
      <c r="B337" s="1" t="str">
        <f>IFERROR(__xludf.DUMMYFUNCTION("""COMPUTED_VALUE"""),"Carrollton")</f>
        <v>Carrollton</v>
      </c>
      <c r="C337" s="1" t="str">
        <f>IFERROR(__xludf.DUMMYFUNCTION("""COMPUTED_VALUE"""),"GA")</f>
        <v>GA</v>
      </c>
      <c r="D337" s="1">
        <f>IFERROR(__xludf.DUMMYFUNCTION("""COMPUTED_VALUE"""),57399.0)</f>
        <v>57399</v>
      </c>
      <c r="E337" s="1" t="str">
        <f>IFERROR(__xludf.DUMMYFUNCTION("""COMPUTED_VALUE"""),"CharterBank")</f>
        <v>CharterBank</v>
      </c>
      <c r="F337" s="2">
        <f>IFERROR(__xludf.DUMMYFUNCTION("""COMPUTED_VALUE"""),40263.0)</f>
        <v>40263</v>
      </c>
      <c r="G337" s="1">
        <f>IFERROR(__xludf.DUMMYFUNCTION("""COMPUTED_VALUE"""),10207.0)</f>
        <v>10207</v>
      </c>
    </row>
    <row r="338">
      <c r="A338" s="1" t="str">
        <f>IFERROR(__xludf.DUMMYFUNCTION("""COMPUTED_VALUE"""),"State Bank of Aurora")</f>
        <v>State Bank of Aurora</v>
      </c>
      <c r="B338" s="1" t="str">
        <f>IFERROR(__xludf.DUMMYFUNCTION("""COMPUTED_VALUE"""),"Aurora")</f>
        <v>Aurora</v>
      </c>
      <c r="C338" s="1" t="str">
        <f>IFERROR(__xludf.DUMMYFUNCTION("""COMPUTED_VALUE"""),"MN")</f>
        <v>MN</v>
      </c>
      <c r="D338" s="1">
        <f>IFERROR(__xludf.DUMMYFUNCTION("""COMPUTED_VALUE"""),8221.0)</f>
        <v>8221</v>
      </c>
      <c r="E338" s="1" t="str">
        <f>IFERROR(__xludf.DUMMYFUNCTION("""COMPUTED_VALUE"""),"Northern State Bank")</f>
        <v>Northern State Bank</v>
      </c>
      <c r="F338" s="2">
        <f>IFERROR(__xludf.DUMMYFUNCTION("""COMPUTED_VALUE"""),40256.0)</f>
        <v>40256</v>
      </c>
      <c r="G338" s="1">
        <f>IFERROR(__xludf.DUMMYFUNCTION("""COMPUTED_VALUE"""),10203.0)</f>
        <v>10203</v>
      </c>
    </row>
    <row r="339">
      <c r="A339" s="1" t="str">
        <f>IFERROR(__xludf.DUMMYFUNCTION("""COMPUTED_VALUE"""),"First Lowndes Bank")</f>
        <v>First Lowndes Bank</v>
      </c>
      <c r="B339" s="1" t="str">
        <f>IFERROR(__xludf.DUMMYFUNCTION("""COMPUTED_VALUE"""),"Fort Deposit")</f>
        <v>Fort Deposit</v>
      </c>
      <c r="C339" s="1" t="str">
        <f>IFERROR(__xludf.DUMMYFUNCTION("""COMPUTED_VALUE"""),"AL")</f>
        <v>AL</v>
      </c>
      <c r="D339" s="1">
        <f>IFERROR(__xludf.DUMMYFUNCTION("""COMPUTED_VALUE"""),24957.0)</f>
        <v>24957</v>
      </c>
      <c r="E339" s="1" t="str">
        <f>IFERROR(__xludf.DUMMYFUNCTION("""COMPUTED_VALUE"""),"First Citizens Bank")</f>
        <v>First Citizens Bank</v>
      </c>
      <c r="F339" s="2">
        <f>IFERROR(__xludf.DUMMYFUNCTION("""COMPUTED_VALUE"""),40256.0)</f>
        <v>40256</v>
      </c>
      <c r="G339" s="1">
        <f>IFERROR(__xludf.DUMMYFUNCTION("""COMPUTED_VALUE"""),10204.0)</f>
        <v>10204</v>
      </c>
    </row>
    <row r="340">
      <c r="A340" s="1" t="str">
        <f>IFERROR(__xludf.DUMMYFUNCTION("""COMPUTED_VALUE"""),"Bank of Hiawassee")</f>
        <v>Bank of Hiawassee</v>
      </c>
      <c r="B340" s="1" t="str">
        <f>IFERROR(__xludf.DUMMYFUNCTION("""COMPUTED_VALUE"""),"Hiawassee")</f>
        <v>Hiawassee</v>
      </c>
      <c r="C340" s="1" t="str">
        <f>IFERROR(__xludf.DUMMYFUNCTION("""COMPUTED_VALUE"""),"GA")</f>
        <v>GA</v>
      </c>
      <c r="D340" s="1">
        <f>IFERROR(__xludf.DUMMYFUNCTION("""COMPUTED_VALUE"""),10054.0)</f>
        <v>10054</v>
      </c>
      <c r="E340" s="1" t="str">
        <f>IFERROR(__xludf.DUMMYFUNCTION("""COMPUTED_VALUE"""),"Citizens South Bank")</f>
        <v>Citizens South Bank</v>
      </c>
      <c r="F340" s="2">
        <f>IFERROR(__xludf.DUMMYFUNCTION("""COMPUTED_VALUE"""),40256.0)</f>
        <v>40256</v>
      </c>
      <c r="G340" s="1">
        <f>IFERROR(__xludf.DUMMYFUNCTION("""COMPUTED_VALUE"""),10202.0)</f>
        <v>10202</v>
      </c>
    </row>
    <row r="341">
      <c r="A341" s="1" t="str">
        <f>IFERROR(__xludf.DUMMYFUNCTION("""COMPUTED_VALUE"""),"Appalachian Community Bank")</f>
        <v>Appalachian Community Bank</v>
      </c>
      <c r="B341" s="1" t="str">
        <f>IFERROR(__xludf.DUMMYFUNCTION("""COMPUTED_VALUE"""),"Ellijay")</f>
        <v>Ellijay</v>
      </c>
      <c r="C341" s="1" t="str">
        <f>IFERROR(__xludf.DUMMYFUNCTION("""COMPUTED_VALUE"""),"GA")</f>
        <v>GA</v>
      </c>
      <c r="D341" s="1">
        <f>IFERROR(__xludf.DUMMYFUNCTION("""COMPUTED_VALUE"""),33989.0)</f>
        <v>33989</v>
      </c>
      <c r="E341" s="1" t="str">
        <f>IFERROR(__xludf.DUMMYFUNCTION("""COMPUTED_VALUE"""),"Community &amp; Southern Bank")</f>
        <v>Community &amp; Southern Bank</v>
      </c>
      <c r="F341" s="2">
        <f>IFERROR(__xludf.DUMMYFUNCTION("""COMPUTED_VALUE"""),40256.0)</f>
        <v>40256</v>
      </c>
      <c r="G341" s="1">
        <f>IFERROR(__xludf.DUMMYFUNCTION("""COMPUTED_VALUE"""),10199.0)</f>
        <v>10199</v>
      </c>
    </row>
    <row r="342">
      <c r="A342" s="1" t="str">
        <f>IFERROR(__xludf.DUMMYFUNCTION("""COMPUTED_VALUE"""),"Advanta Bank Corp.")</f>
        <v>Advanta Bank Corp.</v>
      </c>
      <c r="B342" s="1" t="str">
        <f>IFERROR(__xludf.DUMMYFUNCTION("""COMPUTED_VALUE"""),"Draper")</f>
        <v>Draper</v>
      </c>
      <c r="C342" s="1" t="str">
        <f>IFERROR(__xludf.DUMMYFUNCTION("""COMPUTED_VALUE"""),"UT")</f>
        <v>UT</v>
      </c>
      <c r="D342" s="1">
        <f>IFERROR(__xludf.DUMMYFUNCTION("""COMPUTED_VALUE"""),33535.0)</f>
        <v>33535</v>
      </c>
      <c r="E342" s="1" t="str">
        <f>IFERROR(__xludf.DUMMYFUNCTION("""COMPUTED_VALUE"""),"No Acquirer")</f>
        <v>No Acquirer</v>
      </c>
      <c r="F342" s="2">
        <f>IFERROR(__xludf.DUMMYFUNCTION("""COMPUTED_VALUE"""),40256.0)</f>
        <v>40256</v>
      </c>
      <c r="G342" s="1">
        <f>IFERROR(__xludf.DUMMYFUNCTION("""COMPUTED_VALUE"""),10200.0)</f>
        <v>10200</v>
      </c>
    </row>
    <row r="343">
      <c r="A343" s="1" t="str">
        <f>IFERROR(__xludf.DUMMYFUNCTION("""COMPUTED_VALUE"""),"Century Security Bank")</f>
        <v>Century Security Bank</v>
      </c>
      <c r="B343" s="1" t="str">
        <f>IFERROR(__xludf.DUMMYFUNCTION("""COMPUTED_VALUE"""),"Duluth")</f>
        <v>Duluth</v>
      </c>
      <c r="C343" s="1" t="str">
        <f>IFERROR(__xludf.DUMMYFUNCTION("""COMPUTED_VALUE"""),"GA")</f>
        <v>GA</v>
      </c>
      <c r="D343" s="1">
        <f>IFERROR(__xludf.DUMMYFUNCTION("""COMPUTED_VALUE"""),58104.0)</f>
        <v>58104</v>
      </c>
      <c r="E343" s="1" t="str">
        <f>IFERROR(__xludf.DUMMYFUNCTION("""COMPUTED_VALUE"""),"Bank of Upson")</f>
        <v>Bank of Upson</v>
      </c>
      <c r="F343" s="2">
        <f>IFERROR(__xludf.DUMMYFUNCTION("""COMPUTED_VALUE"""),40256.0)</f>
        <v>40256</v>
      </c>
      <c r="G343" s="1">
        <f>IFERROR(__xludf.DUMMYFUNCTION("""COMPUTED_VALUE"""),10198.0)</f>
        <v>10198</v>
      </c>
    </row>
    <row r="344">
      <c r="A344" s="1" t="str">
        <f>IFERROR(__xludf.DUMMYFUNCTION("""COMPUTED_VALUE"""),"American National Bank")</f>
        <v>American National Bank</v>
      </c>
      <c r="B344" s="1" t="str">
        <f>IFERROR(__xludf.DUMMYFUNCTION("""COMPUTED_VALUE"""),"Parma")</f>
        <v>Parma</v>
      </c>
      <c r="C344" s="1" t="str">
        <f>IFERROR(__xludf.DUMMYFUNCTION("""COMPUTED_VALUE"""),"OH")</f>
        <v>OH</v>
      </c>
      <c r="D344" s="1">
        <f>IFERROR(__xludf.DUMMYFUNCTION("""COMPUTED_VALUE"""),18806.0)</f>
        <v>18806</v>
      </c>
      <c r="E344" s="1" t="str">
        <f>IFERROR(__xludf.DUMMYFUNCTION("""COMPUTED_VALUE"""),"The National Bank and Trust Company")</f>
        <v>The National Bank and Trust Company</v>
      </c>
      <c r="F344" s="2">
        <f>IFERROR(__xludf.DUMMYFUNCTION("""COMPUTED_VALUE"""),40256.0)</f>
        <v>40256</v>
      </c>
      <c r="G344" s="1">
        <f>IFERROR(__xludf.DUMMYFUNCTION("""COMPUTED_VALUE"""),10201.0)</f>
        <v>10201</v>
      </c>
    </row>
    <row r="345">
      <c r="A345" s="1" t="str">
        <f>IFERROR(__xludf.DUMMYFUNCTION("""COMPUTED_VALUE"""),"Statewide Bank")</f>
        <v>Statewide Bank</v>
      </c>
      <c r="B345" s="1" t="str">
        <f>IFERROR(__xludf.DUMMYFUNCTION("""COMPUTED_VALUE"""),"Covington")</f>
        <v>Covington</v>
      </c>
      <c r="C345" s="1" t="str">
        <f>IFERROR(__xludf.DUMMYFUNCTION("""COMPUTED_VALUE"""),"LA")</f>
        <v>LA</v>
      </c>
      <c r="D345" s="1">
        <f>IFERROR(__xludf.DUMMYFUNCTION("""COMPUTED_VALUE"""),29561.0)</f>
        <v>29561</v>
      </c>
      <c r="E345" s="1" t="str">
        <f>IFERROR(__xludf.DUMMYFUNCTION("""COMPUTED_VALUE"""),"Home Bank")</f>
        <v>Home Bank</v>
      </c>
      <c r="F345" s="2">
        <f>IFERROR(__xludf.DUMMYFUNCTION("""COMPUTED_VALUE"""),40249.0)</f>
        <v>40249</v>
      </c>
      <c r="G345" s="1">
        <f>IFERROR(__xludf.DUMMYFUNCTION("""COMPUTED_VALUE"""),10196.0)</f>
        <v>10196</v>
      </c>
    </row>
    <row r="346">
      <c r="A346" s="1" t="str">
        <f>IFERROR(__xludf.DUMMYFUNCTION("""COMPUTED_VALUE"""),"Old Southern Bank")</f>
        <v>Old Southern Bank</v>
      </c>
      <c r="B346" s="1" t="str">
        <f>IFERROR(__xludf.DUMMYFUNCTION("""COMPUTED_VALUE"""),"Orlando")</f>
        <v>Orlando</v>
      </c>
      <c r="C346" s="1" t="str">
        <f>IFERROR(__xludf.DUMMYFUNCTION("""COMPUTED_VALUE"""),"FL")</f>
        <v>FL</v>
      </c>
      <c r="D346" s="1">
        <f>IFERROR(__xludf.DUMMYFUNCTION("""COMPUTED_VALUE"""),58182.0)</f>
        <v>58182</v>
      </c>
      <c r="E346" s="1" t="str">
        <f>IFERROR(__xludf.DUMMYFUNCTION("""COMPUTED_VALUE"""),"Centennial Bank")</f>
        <v>Centennial Bank</v>
      </c>
      <c r="F346" s="2">
        <f>IFERROR(__xludf.DUMMYFUNCTION("""COMPUTED_VALUE"""),40249.0)</f>
        <v>40249</v>
      </c>
      <c r="G346" s="1">
        <f>IFERROR(__xludf.DUMMYFUNCTION("""COMPUTED_VALUE"""),10197.0)</f>
        <v>10197</v>
      </c>
    </row>
    <row r="347">
      <c r="A347" s="1" t="str">
        <f>IFERROR(__xludf.DUMMYFUNCTION("""COMPUTED_VALUE"""),"The Park Avenue Bank")</f>
        <v>The Park Avenue Bank</v>
      </c>
      <c r="B347" s="1" t="str">
        <f>IFERROR(__xludf.DUMMYFUNCTION("""COMPUTED_VALUE"""),"New York")</f>
        <v>New York</v>
      </c>
      <c r="C347" s="1" t="str">
        <f>IFERROR(__xludf.DUMMYFUNCTION("""COMPUTED_VALUE"""),"NY")</f>
        <v>NY</v>
      </c>
      <c r="D347" s="1">
        <f>IFERROR(__xludf.DUMMYFUNCTION("""COMPUTED_VALUE"""),27096.0)</f>
        <v>27096</v>
      </c>
      <c r="E347" s="1" t="str">
        <f>IFERROR(__xludf.DUMMYFUNCTION("""COMPUTED_VALUE"""),"Valley National Bank")</f>
        <v>Valley National Bank</v>
      </c>
      <c r="F347" s="2">
        <f>IFERROR(__xludf.DUMMYFUNCTION("""COMPUTED_VALUE"""),40249.0)</f>
        <v>40249</v>
      </c>
      <c r="G347" s="1">
        <f>IFERROR(__xludf.DUMMYFUNCTION("""COMPUTED_VALUE"""),10195.0)</f>
        <v>10195</v>
      </c>
    </row>
    <row r="348">
      <c r="A348" s="1" t="str">
        <f>IFERROR(__xludf.DUMMYFUNCTION("""COMPUTED_VALUE"""),"LibertyPointe Bank")</f>
        <v>LibertyPointe Bank</v>
      </c>
      <c r="B348" s="1" t="str">
        <f>IFERROR(__xludf.DUMMYFUNCTION("""COMPUTED_VALUE"""),"New York")</f>
        <v>New York</v>
      </c>
      <c r="C348" s="1" t="str">
        <f>IFERROR(__xludf.DUMMYFUNCTION("""COMPUTED_VALUE"""),"NY")</f>
        <v>NY</v>
      </c>
      <c r="D348" s="1">
        <f>IFERROR(__xludf.DUMMYFUNCTION("""COMPUTED_VALUE"""),58071.0)</f>
        <v>58071</v>
      </c>
      <c r="E348" s="1" t="str">
        <f>IFERROR(__xludf.DUMMYFUNCTION("""COMPUTED_VALUE"""),"Valley National Bank")</f>
        <v>Valley National Bank</v>
      </c>
      <c r="F348" s="2">
        <f>IFERROR(__xludf.DUMMYFUNCTION("""COMPUTED_VALUE"""),40248.0)</f>
        <v>40248</v>
      </c>
      <c r="G348" s="1">
        <f>IFERROR(__xludf.DUMMYFUNCTION("""COMPUTED_VALUE"""),10194.0)</f>
        <v>10194</v>
      </c>
    </row>
    <row r="349">
      <c r="A349" s="1" t="str">
        <f>IFERROR(__xludf.DUMMYFUNCTION("""COMPUTED_VALUE"""),"Centennial Bank")</f>
        <v>Centennial Bank</v>
      </c>
      <c r="B349" s="1" t="str">
        <f>IFERROR(__xludf.DUMMYFUNCTION("""COMPUTED_VALUE"""),"Ogden")</f>
        <v>Ogden</v>
      </c>
      <c r="C349" s="1" t="str">
        <f>IFERROR(__xludf.DUMMYFUNCTION("""COMPUTED_VALUE"""),"UT")</f>
        <v>UT</v>
      </c>
      <c r="D349" s="1">
        <f>IFERROR(__xludf.DUMMYFUNCTION("""COMPUTED_VALUE"""),34430.0)</f>
        <v>34430</v>
      </c>
      <c r="E349" s="1" t="str">
        <f>IFERROR(__xludf.DUMMYFUNCTION("""COMPUTED_VALUE"""),"No Acquirer")</f>
        <v>No Acquirer</v>
      </c>
      <c r="F349" s="2">
        <f>IFERROR(__xludf.DUMMYFUNCTION("""COMPUTED_VALUE"""),40242.0)</f>
        <v>40242</v>
      </c>
      <c r="G349" s="1">
        <f>IFERROR(__xludf.DUMMYFUNCTION("""COMPUTED_VALUE"""),10193.0)</f>
        <v>10193</v>
      </c>
    </row>
    <row r="350">
      <c r="A350" s="1" t="str">
        <f>IFERROR(__xludf.DUMMYFUNCTION("""COMPUTED_VALUE"""),"Waterfield Bank")</f>
        <v>Waterfield Bank</v>
      </c>
      <c r="B350" s="1" t="str">
        <f>IFERROR(__xludf.DUMMYFUNCTION("""COMPUTED_VALUE"""),"Germantown")</f>
        <v>Germantown</v>
      </c>
      <c r="C350" s="1" t="str">
        <f>IFERROR(__xludf.DUMMYFUNCTION("""COMPUTED_VALUE"""),"MD")</f>
        <v>MD</v>
      </c>
      <c r="D350" s="1">
        <f>IFERROR(__xludf.DUMMYFUNCTION("""COMPUTED_VALUE"""),34976.0)</f>
        <v>34976</v>
      </c>
      <c r="E350" s="1" t="str">
        <f>IFERROR(__xludf.DUMMYFUNCTION("""COMPUTED_VALUE"""),"No Acquirer")</f>
        <v>No Acquirer</v>
      </c>
      <c r="F350" s="2">
        <f>IFERROR(__xludf.DUMMYFUNCTION("""COMPUTED_VALUE"""),40242.0)</f>
        <v>40242</v>
      </c>
      <c r="G350" s="1">
        <f>IFERROR(__xludf.DUMMYFUNCTION("""COMPUTED_VALUE"""),10190.0)</f>
        <v>10190</v>
      </c>
    </row>
    <row r="351">
      <c r="A351" s="1" t="str">
        <f>IFERROR(__xludf.DUMMYFUNCTION("""COMPUTED_VALUE"""),"Bank of Illinois")</f>
        <v>Bank of Illinois</v>
      </c>
      <c r="B351" s="1" t="str">
        <f>IFERROR(__xludf.DUMMYFUNCTION("""COMPUTED_VALUE"""),"Normal")</f>
        <v>Normal</v>
      </c>
      <c r="C351" s="1" t="str">
        <f>IFERROR(__xludf.DUMMYFUNCTION("""COMPUTED_VALUE"""),"IL")</f>
        <v>IL</v>
      </c>
      <c r="D351" s="1">
        <f>IFERROR(__xludf.DUMMYFUNCTION("""COMPUTED_VALUE"""),9268.0)</f>
        <v>9268</v>
      </c>
      <c r="E351" s="1" t="str">
        <f>IFERROR(__xludf.DUMMYFUNCTION("""COMPUTED_VALUE"""),"Heartland Bank and Trust Company")</f>
        <v>Heartland Bank and Trust Company</v>
      </c>
      <c r="F351" s="2">
        <f>IFERROR(__xludf.DUMMYFUNCTION("""COMPUTED_VALUE"""),40242.0)</f>
        <v>40242</v>
      </c>
      <c r="G351" s="1">
        <f>IFERROR(__xludf.DUMMYFUNCTION("""COMPUTED_VALUE"""),10191.0)</f>
        <v>10191</v>
      </c>
    </row>
    <row r="352">
      <c r="A352" s="1" t="str">
        <f>IFERROR(__xludf.DUMMYFUNCTION("""COMPUTED_VALUE"""),"Sun American Bank")</f>
        <v>Sun American Bank</v>
      </c>
      <c r="B352" s="1" t="str">
        <f>IFERROR(__xludf.DUMMYFUNCTION("""COMPUTED_VALUE"""),"Boca Raton")</f>
        <v>Boca Raton</v>
      </c>
      <c r="C352" s="1" t="str">
        <f>IFERROR(__xludf.DUMMYFUNCTION("""COMPUTED_VALUE"""),"FL")</f>
        <v>FL</v>
      </c>
      <c r="D352" s="1">
        <f>IFERROR(__xludf.DUMMYFUNCTION("""COMPUTED_VALUE"""),27126.0)</f>
        <v>27126</v>
      </c>
      <c r="E352" s="1" t="str">
        <f>IFERROR(__xludf.DUMMYFUNCTION("""COMPUTED_VALUE"""),"First-Citizens Bank &amp; Trust Company")</f>
        <v>First-Citizens Bank &amp; Trust Company</v>
      </c>
      <c r="F352" s="2">
        <f>IFERROR(__xludf.DUMMYFUNCTION("""COMPUTED_VALUE"""),40242.0)</f>
        <v>40242</v>
      </c>
      <c r="G352" s="1">
        <f>IFERROR(__xludf.DUMMYFUNCTION("""COMPUTED_VALUE"""),10192.0)</f>
        <v>10192</v>
      </c>
    </row>
    <row r="353">
      <c r="A353" s="1" t="str">
        <f>IFERROR(__xludf.DUMMYFUNCTION("""COMPUTED_VALUE"""),"Rainier Pacific Bank")</f>
        <v>Rainier Pacific Bank</v>
      </c>
      <c r="B353" s="1" t="str">
        <f>IFERROR(__xludf.DUMMYFUNCTION("""COMPUTED_VALUE"""),"Tacoma")</f>
        <v>Tacoma</v>
      </c>
      <c r="C353" s="1" t="str">
        <f>IFERROR(__xludf.DUMMYFUNCTION("""COMPUTED_VALUE"""),"WA")</f>
        <v>WA</v>
      </c>
      <c r="D353" s="1">
        <f>IFERROR(__xludf.DUMMYFUNCTION("""COMPUTED_VALUE"""),38129.0)</f>
        <v>38129</v>
      </c>
      <c r="E353" s="1" t="str">
        <f>IFERROR(__xludf.DUMMYFUNCTION("""COMPUTED_VALUE"""),"Umpqua Bank")</f>
        <v>Umpqua Bank</v>
      </c>
      <c r="F353" s="2">
        <f>IFERROR(__xludf.DUMMYFUNCTION("""COMPUTED_VALUE"""),40235.0)</f>
        <v>40235</v>
      </c>
      <c r="G353" s="1">
        <f>IFERROR(__xludf.DUMMYFUNCTION("""COMPUTED_VALUE"""),10189.0)</f>
        <v>10189</v>
      </c>
    </row>
    <row r="354">
      <c r="A354" s="1" t="str">
        <f>IFERROR(__xludf.DUMMYFUNCTION("""COMPUTED_VALUE"""),"Carson River Community Bank")</f>
        <v>Carson River Community Bank</v>
      </c>
      <c r="B354" s="1" t="str">
        <f>IFERROR(__xludf.DUMMYFUNCTION("""COMPUTED_VALUE"""),"Carson City")</f>
        <v>Carson City</v>
      </c>
      <c r="C354" s="1" t="str">
        <f>IFERROR(__xludf.DUMMYFUNCTION("""COMPUTED_VALUE"""),"NV")</f>
        <v>NV</v>
      </c>
      <c r="D354" s="1">
        <f>IFERROR(__xludf.DUMMYFUNCTION("""COMPUTED_VALUE"""),58352.0)</f>
        <v>58352</v>
      </c>
      <c r="E354" s="1" t="str">
        <f>IFERROR(__xludf.DUMMYFUNCTION("""COMPUTED_VALUE"""),"Heritage Bank of Nevada")</f>
        <v>Heritage Bank of Nevada</v>
      </c>
      <c r="F354" s="2">
        <f>IFERROR(__xludf.DUMMYFUNCTION("""COMPUTED_VALUE"""),40235.0)</f>
        <v>40235</v>
      </c>
      <c r="G354" s="1">
        <f>IFERROR(__xludf.DUMMYFUNCTION("""COMPUTED_VALUE"""),10188.0)</f>
        <v>10188</v>
      </c>
    </row>
    <row r="355">
      <c r="A355" s="1" t="str">
        <f>IFERROR(__xludf.DUMMYFUNCTION("""COMPUTED_VALUE"""),"La Jolla Bank, FSB")</f>
        <v>La Jolla Bank, FSB</v>
      </c>
      <c r="B355" s="1" t="str">
        <f>IFERROR(__xludf.DUMMYFUNCTION("""COMPUTED_VALUE"""),"La Jolla")</f>
        <v>La Jolla</v>
      </c>
      <c r="C355" s="1" t="str">
        <f>IFERROR(__xludf.DUMMYFUNCTION("""COMPUTED_VALUE"""),"CA")</f>
        <v>CA</v>
      </c>
      <c r="D355" s="1">
        <f>IFERROR(__xludf.DUMMYFUNCTION("""COMPUTED_VALUE"""),32423.0)</f>
        <v>32423</v>
      </c>
      <c r="E355" s="1" t="str">
        <f>IFERROR(__xludf.DUMMYFUNCTION("""COMPUTED_VALUE"""),"OneWest Bank, FSB")</f>
        <v>OneWest Bank, FSB</v>
      </c>
      <c r="F355" s="2">
        <f>IFERROR(__xludf.DUMMYFUNCTION("""COMPUTED_VALUE"""),40228.0)</f>
        <v>40228</v>
      </c>
      <c r="G355" s="1">
        <f>IFERROR(__xludf.DUMMYFUNCTION("""COMPUTED_VALUE"""),10185.0)</f>
        <v>10185</v>
      </c>
    </row>
    <row r="356">
      <c r="A356" s="1" t="str">
        <f>IFERROR(__xludf.DUMMYFUNCTION("""COMPUTED_VALUE"""),"George Washington Savings Bank")</f>
        <v>George Washington Savings Bank</v>
      </c>
      <c r="B356" s="1" t="str">
        <f>IFERROR(__xludf.DUMMYFUNCTION("""COMPUTED_VALUE"""),"Orland Park")</f>
        <v>Orland Park</v>
      </c>
      <c r="C356" s="1" t="str">
        <f>IFERROR(__xludf.DUMMYFUNCTION("""COMPUTED_VALUE"""),"IL")</f>
        <v>IL</v>
      </c>
      <c r="D356" s="1">
        <f>IFERROR(__xludf.DUMMYFUNCTION("""COMPUTED_VALUE"""),29952.0)</f>
        <v>29952</v>
      </c>
      <c r="E356" s="1" t="str">
        <f>IFERROR(__xludf.DUMMYFUNCTION("""COMPUTED_VALUE"""),"FirstMerit Bank, N.A.")</f>
        <v>FirstMerit Bank, N.A.</v>
      </c>
      <c r="F356" s="2">
        <f>IFERROR(__xludf.DUMMYFUNCTION("""COMPUTED_VALUE"""),40228.0)</f>
        <v>40228</v>
      </c>
      <c r="G356" s="1">
        <f>IFERROR(__xludf.DUMMYFUNCTION("""COMPUTED_VALUE"""),10184.0)</f>
        <v>10184</v>
      </c>
    </row>
    <row r="357">
      <c r="A357" s="1" t="str">
        <f>IFERROR(__xludf.DUMMYFUNCTION("""COMPUTED_VALUE"""),"The La Coste National Bank")</f>
        <v>The La Coste National Bank</v>
      </c>
      <c r="B357" s="1" t="str">
        <f>IFERROR(__xludf.DUMMYFUNCTION("""COMPUTED_VALUE"""),"La Coste")</f>
        <v>La Coste</v>
      </c>
      <c r="C357" s="1" t="str">
        <f>IFERROR(__xludf.DUMMYFUNCTION("""COMPUTED_VALUE"""),"TX")</f>
        <v>TX</v>
      </c>
      <c r="D357" s="1">
        <f>IFERROR(__xludf.DUMMYFUNCTION("""COMPUTED_VALUE"""),3287.0)</f>
        <v>3287</v>
      </c>
      <c r="E357" s="1" t="str">
        <f>IFERROR(__xludf.DUMMYFUNCTION("""COMPUTED_VALUE"""),"Community National Bank")</f>
        <v>Community National Bank</v>
      </c>
      <c r="F357" s="2">
        <f>IFERROR(__xludf.DUMMYFUNCTION("""COMPUTED_VALUE"""),40228.0)</f>
        <v>40228</v>
      </c>
      <c r="G357" s="1">
        <f>IFERROR(__xludf.DUMMYFUNCTION("""COMPUTED_VALUE"""),10186.0)</f>
        <v>10186</v>
      </c>
    </row>
    <row r="358">
      <c r="A358" s="1" t="str">
        <f>IFERROR(__xludf.DUMMYFUNCTION("""COMPUTED_VALUE"""),"Marco Community Bank")</f>
        <v>Marco Community Bank</v>
      </c>
      <c r="B358" s="1" t="str">
        <f>IFERROR(__xludf.DUMMYFUNCTION("""COMPUTED_VALUE"""),"Marco Island")</f>
        <v>Marco Island</v>
      </c>
      <c r="C358" s="1" t="str">
        <f>IFERROR(__xludf.DUMMYFUNCTION("""COMPUTED_VALUE"""),"FL")</f>
        <v>FL</v>
      </c>
      <c r="D358" s="1">
        <f>IFERROR(__xludf.DUMMYFUNCTION("""COMPUTED_VALUE"""),57586.0)</f>
        <v>57586</v>
      </c>
      <c r="E358" s="1" t="str">
        <f>IFERROR(__xludf.DUMMYFUNCTION("""COMPUTED_VALUE"""),"Mutual of Omaha Bank")</f>
        <v>Mutual of Omaha Bank</v>
      </c>
      <c r="F358" s="2">
        <f>IFERROR(__xludf.DUMMYFUNCTION("""COMPUTED_VALUE"""),40228.0)</f>
        <v>40228</v>
      </c>
      <c r="G358" s="1">
        <f>IFERROR(__xludf.DUMMYFUNCTION("""COMPUTED_VALUE"""),10187.0)</f>
        <v>10187</v>
      </c>
    </row>
    <row r="359">
      <c r="A359" s="1" t="str">
        <f>IFERROR(__xludf.DUMMYFUNCTION("""COMPUTED_VALUE"""),"1st American State Bank of Minnesota")</f>
        <v>1st American State Bank of Minnesota</v>
      </c>
      <c r="B359" s="1" t="str">
        <f>IFERROR(__xludf.DUMMYFUNCTION("""COMPUTED_VALUE"""),"Hancock")</f>
        <v>Hancock</v>
      </c>
      <c r="C359" s="1" t="str">
        <f>IFERROR(__xludf.DUMMYFUNCTION("""COMPUTED_VALUE"""),"MN")</f>
        <v>MN</v>
      </c>
      <c r="D359" s="1">
        <f>IFERROR(__xludf.DUMMYFUNCTION("""COMPUTED_VALUE"""),15448.0)</f>
        <v>15448</v>
      </c>
      <c r="E359" s="1" t="str">
        <f>IFERROR(__xludf.DUMMYFUNCTION("""COMPUTED_VALUE"""),"Community Development Bank, FSB")</f>
        <v>Community Development Bank, FSB</v>
      </c>
      <c r="F359" s="2">
        <f>IFERROR(__xludf.DUMMYFUNCTION("""COMPUTED_VALUE"""),40214.0)</f>
        <v>40214</v>
      </c>
      <c r="G359" s="1">
        <f>IFERROR(__xludf.DUMMYFUNCTION("""COMPUTED_VALUE"""),10183.0)</f>
        <v>10183</v>
      </c>
    </row>
    <row r="360">
      <c r="A360" s="1" t="str">
        <f>IFERROR(__xludf.DUMMYFUNCTION("""COMPUTED_VALUE"""),"American Marine Bank")</f>
        <v>American Marine Bank</v>
      </c>
      <c r="B360" s="1" t="str">
        <f>IFERROR(__xludf.DUMMYFUNCTION("""COMPUTED_VALUE"""),"Bainbridge Island")</f>
        <v>Bainbridge Island</v>
      </c>
      <c r="C360" s="1" t="str">
        <f>IFERROR(__xludf.DUMMYFUNCTION("""COMPUTED_VALUE"""),"WA")</f>
        <v>WA</v>
      </c>
      <c r="D360" s="1">
        <f>IFERROR(__xludf.DUMMYFUNCTION("""COMPUTED_VALUE"""),16730.0)</f>
        <v>16730</v>
      </c>
      <c r="E360" s="1" t="str">
        <f>IFERROR(__xludf.DUMMYFUNCTION("""COMPUTED_VALUE"""),"Columbia State Bank")</f>
        <v>Columbia State Bank</v>
      </c>
      <c r="F360" s="2">
        <f>IFERROR(__xludf.DUMMYFUNCTION("""COMPUTED_VALUE"""),40207.0)</f>
        <v>40207</v>
      </c>
      <c r="G360" s="1">
        <f>IFERROR(__xludf.DUMMYFUNCTION("""COMPUTED_VALUE"""),10178.0)</f>
        <v>10178</v>
      </c>
    </row>
    <row r="361">
      <c r="A361" s="1" t="str">
        <f>IFERROR(__xludf.DUMMYFUNCTION("""COMPUTED_VALUE"""),"First Regional Bank")</f>
        <v>First Regional Bank</v>
      </c>
      <c r="B361" s="1" t="str">
        <f>IFERROR(__xludf.DUMMYFUNCTION("""COMPUTED_VALUE"""),"Los Angeles")</f>
        <v>Los Angeles</v>
      </c>
      <c r="C361" s="1" t="str">
        <f>IFERROR(__xludf.DUMMYFUNCTION("""COMPUTED_VALUE"""),"CA")</f>
        <v>CA</v>
      </c>
      <c r="D361" s="1">
        <f>IFERROR(__xludf.DUMMYFUNCTION("""COMPUTED_VALUE"""),23011.0)</f>
        <v>23011</v>
      </c>
      <c r="E361" s="1" t="str">
        <f>IFERROR(__xludf.DUMMYFUNCTION("""COMPUTED_VALUE"""),"First-Citizens Bank &amp; Trust Company")</f>
        <v>First-Citizens Bank &amp; Trust Company</v>
      </c>
      <c r="F361" s="2">
        <f>IFERROR(__xludf.DUMMYFUNCTION("""COMPUTED_VALUE"""),40207.0)</f>
        <v>40207</v>
      </c>
      <c r="G361" s="1">
        <f>IFERROR(__xludf.DUMMYFUNCTION("""COMPUTED_VALUE"""),10177.0)</f>
        <v>10177</v>
      </c>
    </row>
    <row r="362">
      <c r="A362" s="1" t="str">
        <f>IFERROR(__xludf.DUMMYFUNCTION("""COMPUTED_VALUE"""),"Community Bank and Trust")</f>
        <v>Community Bank and Trust</v>
      </c>
      <c r="B362" s="1" t="str">
        <f>IFERROR(__xludf.DUMMYFUNCTION("""COMPUTED_VALUE"""),"Cornelia")</f>
        <v>Cornelia</v>
      </c>
      <c r="C362" s="1" t="str">
        <f>IFERROR(__xludf.DUMMYFUNCTION("""COMPUTED_VALUE"""),"GA")</f>
        <v>GA</v>
      </c>
      <c r="D362" s="1">
        <f>IFERROR(__xludf.DUMMYFUNCTION("""COMPUTED_VALUE"""),5702.0)</f>
        <v>5702</v>
      </c>
      <c r="E362" s="1" t="str">
        <f>IFERROR(__xludf.DUMMYFUNCTION("""COMPUTED_VALUE"""),"SCBT National Association")</f>
        <v>SCBT National Association</v>
      </c>
      <c r="F362" s="2">
        <f>IFERROR(__xludf.DUMMYFUNCTION("""COMPUTED_VALUE"""),40207.0)</f>
        <v>40207</v>
      </c>
      <c r="G362" s="1">
        <f>IFERROR(__xludf.DUMMYFUNCTION("""COMPUTED_VALUE"""),10180.0)</f>
        <v>10180</v>
      </c>
    </row>
    <row r="363">
      <c r="A363" s="1" t="str">
        <f>IFERROR(__xludf.DUMMYFUNCTION("""COMPUTED_VALUE"""),"Marshall Bank, N.A.")</f>
        <v>Marshall Bank, N.A.</v>
      </c>
      <c r="B363" s="1" t="str">
        <f>IFERROR(__xludf.DUMMYFUNCTION("""COMPUTED_VALUE"""),"Hallock")</f>
        <v>Hallock</v>
      </c>
      <c r="C363" s="1" t="str">
        <f>IFERROR(__xludf.DUMMYFUNCTION("""COMPUTED_VALUE"""),"MN")</f>
        <v>MN</v>
      </c>
      <c r="D363" s="1">
        <f>IFERROR(__xludf.DUMMYFUNCTION("""COMPUTED_VALUE"""),16133.0)</f>
        <v>16133</v>
      </c>
      <c r="E363" s="1" t="str">
        <f>IFERROR(__xludf.DUMMYFUNCTION("""COMPUTED_VALUE"""),"United Valley Bank")</f>
        <v>United Valley Bank</v>
      </c>
      <c r="F363" s="2">
        <f>IFERROR(__xludf.DUMMYFUNCTION("""COMPUTED_VALUE"""),40207.0)</f>
        <v>40207</v>
      </c>
      <c r="G363" s="1">
        <f>IFERROR(__xludf.DUMMYFUNCTION("""COMPUTED_VALUE"""),10182.0)</f>
        <v>10182</v>
      </c>
    </row>
    <row r="364">
      <c r="A364" s="1" t="str">
        <f>IFERROR(__xludf.DUMMYFUNCTION("""COMPUTED_VALUE"""),"Florida Community Bank")</f>
        <v>Florida Community Bank</v>
      </c>
      <c r="B364" s="1" t="str">
        <f>IFERROR(__xludf.DUMMYFUNCTION("""COMPUTED_VALUE"""),"Immokalee")</f>
        <v>Immokalee</v>
      </c>
      <c r="C364" s="1" t="str">
        <f>IFERROR(__xludf.DUMMYFUNCTION("""COMPUTED_VALUE"""),"FL")</f>
        <v>FL</v>
      </c>
      <c r="D364" s="1">
        <f>IFERROR(__xludf.DUMMYFUNCTION("""COMPUTED_VALUE"""),5672.0)</f>
        <v>5672</v>
      </c>
      <c r="E364" s="1" t="str">
        <f>IFERROR(__xludf.DUMMYFUNCTION("""COMPUTED_VALUE"""),"Premier American Bank, N.A.")</f>
        <v>Premier American Bank, N.A.</v>
      </c>
      <c r="F364" s="2">
        <f>IFERROR(__xludf.DUMMYFUNCTION("""COMPUTED_VALUE"""),40207.0)</f>
        <v>40207</v>
      </c>
      <c r="G364" s="1">
        <f>IFERROR(__xludf.DUMMYFUNCTION("""COMPUTED_VALUE"""),10181.0)</f>
        <v>10181</v>
      </c>
    </row>
    <row r="365">
      <c r="A365" s="1" t="str">
        <f>IFERROR(__xludf.DUMMYFUNCTION("""COMPUTED_VALUE"""),"First National Bank of Georgia")</f>
        <v>First National Bank of Georgia</v>
      </c>
      <c r="B365" s="1" t="str">
        <f>IFERROR(__xludf.DUMMYFUNCTION("""COMPUTED_VALUE"""),"Carrollton")</f>
        <v>Carrollton</v>
      </c>
      <c r="C365" s="1" t="str">
        <f>IFERROR(__xludf.DUMMYFUNCTION("""COMPUTED_VALUE"""),"GA")</f>
        <v>GA</v>
      </c>
      <c r="D365" s="1">
        <f>IFERROR(__xludf.DUMMYFUNCTION("""COMPUTED_VALUE"""),16480.0)</f>
        <v>16480</v>
      </c>
      <c r="E365" s="1" t="str">
        <f>IFERROR(__xludf.DUMMYFUNCTION("""COMPUTED_VALUE"""),"Community &amp; Southern Bank")</f>
        <v>Community &amp; Southern Bank</v>
      </c>
      <c r="F365" s="2">
        <f>IFERROR(__xludf.DUMMYFUNCTION("""COMPUTED_VALUE"""),40207.0)</f>
        <v>40207</v>
      </c>
      <c r="G365" s="1">
        <f>IFERROR(__xludf.DUMMYFUNCTION("""COMPUTED_VALUE"""),10179.0)</f>
        <v>10179</v>
      </c>
    </row>
    <row r="366">
      <c r="A366" s="1" t="str">
        <f>IFERROR(__xludf.DUMMYFUNCTION("""COMPUTED_VALUE"""),"Columbia River Bank")</f>
        <v>Columbia River Bank</v>
      </c>
      <c r="B366" s="1" t="str">
        <f>IFERROR(__xludf.DUMMYFUNCTION("""COMPUTED_VALUE"""),"The Dalles")</f>
        <v>The Dalles</v>
      </c>
      <c r="C366" s="1" t="str">
        <f>IFERROR(__xludf.DUMMYFUNCTION("""COMPUTED_VALUE"""),"OR")</f>
        <v>OR</v>
      </c>
      <c r="D366" s="1">
        <f>IFERROR(__xludf.DUMMYFUNCTION("""COMPUTED_VALUE"""),22469.0)</f>
        <v>22469</v>
      </c>
      <c r="E366" s="1" t="str">
        <f>IFERROR(__xludf.DUMMYFUNCTION("""COMPUTED_VALUE"""),"Columbia State Bank")</f>
        <v>Columbia State Bank</v>
      </c>
      <c r="F366" s="2">
        <f>IFERROR(__xludf.DUMMYFUNCTION("""COMPUTED_VALUE"""),40200.0)</f>
        <v>40200</v>
      </c>
      <c r="G366" s="1">
        <f>IFERROR(__xludf.DUMMYFUNCTION("""COMPUTED_VALUE"""),10176.0)</f>
        <v>10176</v>
      </c>
    </row>
    <row r="367">
      <c r="A367" s="1" t="str">
        <f>IFERROR(__xludf.DUMMYFUNCTION("""COMPUTED_VALUE"""),"Evergreen Bank")</f>
        <v>Evergreen Bank</v>
      </c>
      <c r="B367" s="1" t="str">
        <f>IFERROR(__xludf.DUMMYFUNCTION("""COMPUTED_VALUE"""),"Seattle")</f>
        <v>Seattle</v>
      </c>
      <c r="C367" s="1" t="str">
        <f>IFERROR(__xludf.DUMMYFUNCTION("""COMPUTED_VALUE"""),"WA")</f>
        <v>WA</v>
      </c>
      <c r="D367" s="1">
        <f>IFERROR(__xludf.DUMMYFUNCTION("""COMPUTED_VALUE"""),20501.0)</f>
        <v>20501</v>
      </c>
      <c r="E367" s="1" t="str">
        <f>IFERROR(__xludf.DUMMYFUNCTION("""COMPUTED_VALUE"""),"Umpqua Bank")</f>
        <v>Umpqua Bank</v>
      </c>
      <c r="F367" s="2">
        <f>IFERROR(__xludf.DUMMYFUNCTION("""COMPUTED_VALUE"""),40200.0)</f>
        <v>40200</v>
      </c>
      <c r="G367" s="1">
        <f>IFERROR(__xludf.DUMMYFUNCTION("""COMPUTED_VALUE"""),10172.0)</f>
        <v>10172</v>
      </c>
    </row>
    <row r="368">
      <c r="A368" s="1" t="str">
        <f>IFERROR(__xludf.DUMMYFUNCTION("""COMPUTED_VALUE"""),"Charter Bank")</f>
        <v>Charter Bank</v>
      </c>
      <c r="B368" s="1" t="str">
        <f>IFERROR(__xludf.DUMMYFUNCTION("""COMPUTED_VALUE"""),"Santa Fe")</f>
        <v>Santa Fe</v>
      </c>
      <c r="C368" s="1" t="str">
        <f>IFERROR(__xludf.DUMMYFUNCTION("""COMPUTED_VALUE"""),"NM")</f>
        <v>NM</v>
      </c>
      <c r="D368" s="1">
        <f>IFERROR(__xludf.DUMMYFUNCTION("""COMPUTED_VALUE"""),32498.0)</f>
        <v>32498</v>
      </c>
      <c r="E368" s="1" t="str">
        <f>IFERROR(__xludf.DUMMYFUNCTION("""COMPUTED_VALUE"""),"Charter Bank")</f>
        <v>Charter Bank</v>
      </c>
      <c r="F368" s="2">
        <f>IFERROR(__xludf.DUMMYFUNCTION("""COMPUTED_VALUE"""),40200.0)</f>
        <v>40200</v>
      </c>
      <c r="G368" s="1">
        <f>IFERROR(__xludf.DUMMYFUNCTION("""COMPUTED_VALUE"""),10175.0)</f>
        <v>10175</v>
      </c>
    </row>
    <row r="369">
      <c r="A369" s="1" t="str">
        <f>IFERROR(__xludf.DUMMYFUNCTION("""COMPUTED_VALUE"""),"Bank of Leeton")</f>
        <v>Bank of Leeton</v>
      </c>
      <c r="B369" s="1" t="str">
        <f>IFERROR(__xludf.DUMMYFUNCTION("""COMPUTED_VALUE"""),"Leeton")</f>
        <v>Leeton</v>
      </c>
      <c r="C369" s="1" t="str">
        <f>IFERROR(__xludf.DUMMYFUNCTION("""COMPUTED_VALUE"""),"MO")</f>
        <v>MO</v>
      </c>
      <c r="D369" s="1">
        <f>IFERROR(__xludf.DUMMYFUNCTION("""COMPUTED_VALUE"""),8265.0)</f>
        <v>8265</v>
      </c>
      <c r="E369" s="1" t="str">
        <f>IFERROR(__xludf.DUMMYFUNCTION("""COMPUTED_VALUE"""),"Sunflower Bank, N.A.")</f>
        <v>Sunflower Bank, N.A.</v>
      </c>
      <c r="F369" s="2">
        <f>IFERROR(__xludf.DUMMYFUNCTION("""COMPUTED_VALUE"""),40200.0)</f>
        <v>40200</v>
      </c>
      <c r="G369" s="1">
        <f>IFERROR(__xludf.DUMMYFUNCTION("""COMPUTED_VALUE"""),10174.0)</f>
        <v>10174</v>
      </c>
    </row>
    <row r="370">
      <c r="A370" s="1" t="str">
        <f>IFERROR(__xludf.DUMMYFUNCTION("""COMPUTED_VALUE"""),"Premier American Bank")</f>
        <v>Premier American Bank</v>
      </c>
      <c r="B370" s="1" t="str">
        <f>IFERROR(__xludf.DUMMYFUNCTION("""COMPUTED_VALUE"""),"Miami")</f>
        <v>Miami</v>
      </c>
      <c r="C370" s="1" t="str">
        <f>IFERROR(__xludf.DUMMYFUNCTION("""COMPUTED_VALUE"""),"FL")</f>
        <v>FL</v>
      </c>
      <c r="D370" s="1">
        <f>IFERROR(__xludf.DUMMYFUNCTION("""COMPUTED_VALUE"""),57147.0)</f>
        <v>57147</v>
      </c>
      <c r="E370" s="1" t="str">
        <f>IFERROR(__xludf.DUMMYFUNCTION("""COMPUTED_VALUE"""),"Premier American Bank, N.A.")</f>
        <v>Premier American Bank, N.A.</v>
      </c>
      <c r="F370" s="2">
        <f>IFERROR(__xludf.DUMMYFUNCTION("""COMPUTED_VALUE"""),40200.0)</f>
        <v>40200</v>
      </c>
      <c r="G370" s="1">
        <f>IFERROR(__xludf.DUMMYFUNCTION("""COMPUTED_VALUE"""),10173.0)</f>
        <v>10173</v>
      </c>
    </row>
    <row r="371">
      <c r="A371" s="1" t="str">
        <f>IFERROR(__xludf.DUMMYFUNCTION("""COMPUTED_VALUE"""),"Barnes Banking Company")</f>
        <v>Barnes Banking Company</v>
      </c>
      <c r="B371" s="1" t="str">
        <f>IFERROR(__xludf.DUMMYFUNCTION("""COMPUTED_VALUE"""),"Kaysville")</f>
        <v>Kaysville</v>
      </c>
      <c r="C371" s="1" t="str">
        <f>IFERROR(__xludf.DUMMYFUNCTION("""COMPUTED_VALUE"""),"UT")</f>
        <v>UT</v>
      </c>
      <c r="D371" s="1">
        <f>IFERROR(__xludf.DUMMYFUNCTION("""COMPUTED_VALUE"""),1252.0)</f>
        <v>1252</v>
      </c>
      <c r="E371" s="1" t="str">
        <f>IFERROR(__xludf.DUMMYFUNCTION("""COMPUTED_VALUE"""),"No Acquirer")</f>
        <v>No Acquirer</v>
      </c>
      <c r="F371" s="2">
        <f>IFERROR(__xludf.DUMMYFUNCTION("""COMPUTED_VALUE"""),40193.0)</f>
        <v>40193</v>
      </c>
      <c r="G371" s="1">
        <f>IFERROR(__xludf.DUMMYFUNCTION("""COMPUTED_VALUE"""),10171.0)</f>
        <v>10171</v>
      </c>
    </row>
    <row r="372">
      <c r="A372" s="1" t="str">
        <f>IFERROR(__xludf.DUMMYFUNCTION("""COMPUTED_VALUE"""),"St. Stephen State Bank")</f>
        <v>St. Stephen State Bank</v>
      </c>
      <c r="B372" s="1" t="str">
        <f>IFERROR(__xludf.DUMMYFUNCTION("""COMPUTED_VALUE"""),"St. Stephen")</f>
        <v>St. Stephen</v>
      </c>
      <c r="C372" s="1" t="str">
        <f>IFERROR(__xludf.DUMMYFUNCTION("""COMPUTED_VALUE"""),"MN")</f>
        <v>MN</v>
      </c>
      <c r="D372" s="1">
        <f>IFERROR(__xludf.DUMMYFUNCTION("""COMPUTED_VALUE"""),17522.0)</f>
        <v>17522</v>
      </c>
      <c r="E372" s="1" t="str">
        <f>IFERROR(__xludf.DUMMYFUNCTION("""COMPUTED_VALUE"""),"First State Bank of St. Joseph")</f>
        <v>First State Bank of St. Joseph</v>
      </c>
      <c r="F372" s="2">
        <f>IFERROR(__xludf.DUMMYFUNCTION("""COMPUTED_VALUE"""),40193.0)</f>
        <v>40193</v>
      </c>
      <c r="G372" s="1">
        <f>IFERROR(__xludf.DUMMYFUNCTION("""COMPUTED_VALUE"""),10169.0)</f>
        <v>10169</v>
      </c>
    </row>
    <row r="373">
      <c r="A373" s="1" t="str">
        <f>IFERROR(__xludf.DUMMYFUNCTION("""COMPUTED_VALUE"""),"Town Community Bank &amp; Trust")</f>
        <v>Town Community Bank &amp; Trust</v>
      </c>
      <c r="B373" s="1" t="str">
        <f>IFERROR(__xludf.DUMMYFUNCTION("""COMPUTED_VALUE"""),"Antioch")</f>
        <v>Antioch</v>
      </c>
      <c r="C373" s="1" t="str">
        <f>IFERROR(__xludf.DUMMYFUNCTION("""COMPUTED_VALUE"""),"IL")</f>
        <v>IL</v>
      </c>
      <c r="D373" s="1">
        <f>IFERROR(__xludf.DUMMYFUNCTION("""COMPUTED_VALUE"""),34705.0)</f>
        <v>34705</v>
      </c>
      <c r="E373" s="1" t="str">
        <f>IFERROR(__xludf.DUMMYFUNCTION("""COMPUTED_VALUE"""),"First American Bank")</f>
        <v>First American Bank</v>
      </c>
      <c r="F373" s="2">
        <f>IFERROR(__xludf.DUMMYFUNCTION("""COMPUTED_VALUE"""),40193.0)</f>
        <v>40193</v>
      </c>
      <c r="G373" s="1">
        <f>IFERROR(__xludf.DUMMYFUNCTION("""COMPUTED_VALUE"""),10170.0)</f>
        <v>10170</v>
      </c>
    </row>
    <row r="374">
      <c r="A374" s="1" t="str">
        <f>IFERROR(__xludf.DUMMYFUNCTION("""COMPUTED_VALUE"""),"Horizon Bank")</f>
        <v>Horizon Bank</v>
      </c>
      <c r="B374" s="1" t="str">
        <f>IFERROR(__xludf.DUMMYFUNCTION("""COMPUTED_VALUE"""),"Bellingham")</f>
        <v>Bellingham</v>
      </c>
      <c r="C374" s="1" t="str">
        <f>IFERROR(__xludf.DUMMYFUNCTION("""COMPUTED_VALUE"""),"WA")</f>
        <v>WA</v>
      </c>
      <c r="D374" s="1">
        <f>IFERROR(__xludf.DUMMYFUNCTION("""COMPUTED_VALUE"""),22977.0)</f>
        <v>22977</v>
      </c>
      <c r="E374" s="1" t="str">
        <f>IFERROR(__xludf.DUMMYFUNCTION("""COMPUTED_VALUE"""),"Washington Federal Savings and Loan Association")</f>
        <v>Washington Federal Savings and Loan Association</v>
      </c>
      <c r="F374" s="2">
        <f>IFERROR(__xludf.DUMMYFUNCTION("""COMPUTED_VALUE"""),40186.0)</f>
        <v>40186</v>
      </c>
      <c r="G374" s="1">
        <f>IFERROR(__xludf.DUMMYFUNCTION("""COMPUTED_VALUE"""),10168.0)</f>
        <v>10168</v>
      </c>
    </row>
    <row r="375">
      <c r="A375" s="1" t="str">
        <f>IFERROR(__xludf.DUMMYFUNCTION("""COMPUTED_VALUE"""),"First Federal Bank of California, F.S.B.")</f>
        <v>First Federal Bank of California, F.S.B.</v>
      </c>
      <c r="B375" s="1" t="str">
        <f>IFERROR(__xludf.DUMMYFUNCTION("""COMPUTED_VALUE"""),"Santa Monica")</f>
        <v>Santa Monica</v>
      </c>
      <c r="C375" s="1" t="str">
        <f>IFERROR(__xludf.DUMMYFUNCTION("""COMPUTED_VALUE"""),"CA")</f>
        <v>CA</v>
      </c>
      <c r="D375" s="1">
        <f>IFERROR(__xludf.DUMMYFUNCTION("""COMPUTED_VALUE"""),28536.0)</f>
        <v>28536</v>
      </c>
      <c r="E375" s="1" t="str">
        <f>IFERROR(__xludf.DUMMYFUNCTION("""COMPUTED_VALUE"""),"OneWest Bank, FSB")</f>
        <v>OneWest Bank, FSB</v>
      </c>
      <c r="F375" s="2">
        <f>IFERROR(__xludf.DUMMYFUNCTION("""COMPUTED_VALUE"""),40165.0)</f>
        <v>40165</v>
      </c>
      <c r="G375" s="1">
        <f>IFERROR(__xludf.DUMMYFUNCTION("""COMPUTED_VALUE"""),10167.0)</f>
        <v>10167</v>
      </c>
    </row>
    <row r="376">
      <c r="A376" s="1" t="str">
        <f>IFERROR(__xludf.DUMMYFUNCTION("""COMPUTED_VALUE"""),"Imperial Capital Bank")</f>
        <v>Imperial Capital Bank</v>
      </c>
      <c r="B376" s="1" t="str">
        <f>IFERROR(__xludf.DUMMYFUNCTION("""COMPUTED_VALUE"""),"La Jolla")</f>
        <v>La Jolla</v>
      </c>
      <c r="C376" s="1" t="str">
        <f>IFERROR(__xludf.DUMMYFUNCTION("""COMPUTED_VALUE"""),"CA")</f>
        <v>CA</v>
      </c>
      <c r="D376" s="1">
        <f>IFERROR(__xludf.DUMMYFUNCTION("""COMPUTED_VALUE"""),26348.0)</f>
        <v>26348</v>
      </c>
      <c r="E376" s="1" t="str">
        <f>IFERROR(__xludf.DUMMYFUNCTION("""COMPUTED_VALUE"""),"City National Bank")</f>
        <v>City National Bank</v>
      </c>
      <c r="F376" s="2">
        <f>IFERROR(__xludf.DUMMYFUNCTION("""COMPUTED_VALUE"""),40165.0)</f>
        <v>40165</v>
      </c>
      <c r="G376" s="1">
        <f>IFERROR(__xludf.DUMMYFUNCTION("""COMPUTED_VALUE"""),10161.0)</f>
        <v>10161</v>
      </c>
    </row>
    <row r="377">
      <c r="A377" s="1" t="str">
        <f>IFERROR(__xludf.DUMMYFUNCTION("""COMPUTED_VALUE"""),"Independent Bankers' Bank")</f>
        <v>Independent Bankers' Bank</v>
      </c>
      <c r="B377" s="1" t="str">
        <f>IFERROR(__xludf.DUMMYFUNCTION("""COMPUTED_VALUE"""),"Springfield")</f>
        <v>Springfield</v>
      </c>
      <c r="C377" s="1" t="str">
        <f>IFERROR(__xludf.DUMMYFUNCTION("""COMPUTED_VALUE"""),"IL")</f>
        <v>IL</v>
      </c>
      <c r="D377" s="1">
        <f>IFERROR(__xludf.DUMMYFUNCTION("""COMPUTED_VALUE"""),26820.0)</f>
        <v>26820</v>
      </c>
      <c r="E377" s="1" t="str">
        <f>IFERROR(__xludf.DUMMYFUNCTION("""COMPUTED_VALUE"""),"The Independent BankersBank (TIB)")</f>
        <v>The Independent BankersBank (TIB)</v>
      </c>
      <c r="F377" s="2">
        <f>IFERROR(__xludf.DUMMYFUNCTION("""COMPUTED_VALUE"""),40165.0)</f>
        <v>40165</v>
      </c>
      <c r="G377" s="1">
        <f>IFERROR(__xludf.DUMMYFUNCTION("""COMPUTED_VALUE"""),10166.0)</f>
        <v>10166</v>
      </c>
    </row>
    <row r="378">
      <c r="A378" s="1" t="str">
        <f>IFERROR(__xludf.DUMMYFUNCTION("""COMPUTED_VALUE"""),"New South Federal Savings Bank")</f>
        <v>New South Federal Savings Bank</v>
      </c>
      <c r="B378" s="1" t="str">
        <f>IFERROR(__xludf.DUMMYFUNCTION("""COMPUTED_VALUE"""),"Irondale")</f>
        <v>Irondale</v>
      </c>
      <c r="C378" s="1" t="str">
        <f>IFERROR(__xludf.DUMMYFUNCTION("""COMPUTED_VALUE"""),"AL")</f>
        <v>AL</v>
      </c>
      <c r="D378" s="1">
        <f>IFERROR(__xludf.DUMMYFUNCTION("""COMPUTED_VALUE"""),32276.0)</f>
        <v>32276</v>
      </c>
      <c r="E378" s="1" t="str">
        <f>IFERROR(__xludf.DUMMYFUNCTION("""COMPUTED_VALUE"""),"Beal Bank")</f>
        <v>Beal Bank</v>
      </c>
      <c r="F378" s="2">
        <f>IFERROR(__xludf.DUMMYFUNCTION("""COMPUTED_VALUE"""),40165.0)</f>
        <v>40165</v>
      </c>
      <c r="G378" s="1">
        <f>IFERROR(__xludf.DUMMYFUNCTION("""COMPUTED_VALUE"""),10163.0)</f>
        <v>10163</v>
      </c>
    </row>
    <row r="379">
      <c r="A379" s="1" t="str">
        <f>IFERROR(__xludf.DUMMYFUNCTION("""COMPUTED_VALUE"""),"Citizens State Bank")</f>
        <v>Citizens State Bank</v>
      </c>
      <c r="B379" s="1" t="str">
        <f>IFERROR(__xludf.DUMMYFUNCTION("""COMPUTED_VALUE"""),"New Baltimore")</f>
        <v>New Baltimore</v>
      </c>
      <c r="C379" s="1" t="str">
        <f>IFERROR(__xludf.DUMMYFUNCTION("""COMPUTED_VALUE"""),"MI")</f>
        <v>MI</v>
      </c>
      <c r="D379" s="1">
        <f>IFERROR(__xludf.DUMMYFUNCTION("""COMPUTED_VALUE"""),1006.0)</f>
        <v>1006</v>
      </c>
      <c r="E379" s="1" t="str">
        <f>IFERROR(__xludf.DUMMYFUNCTION("""COMPUTED_VALUE"""),"No Acquirer")</f>
        <v>No Acquirer</v>
      </c>
      <c r="F379" s="2">
        <f>IFERROR(__xludf.DUMMYFUNCTION("""COMPUTED_VALUE"""),40165.0)</f>
        <v>40165</v>
      </c>
      <c r="G379" s="1">
        <f>IFERROR(__xludf.DUMMYFUNCTION("""COMPUTED_VALUE"""),10162.0)</f>
        <v>10162</v>
      </c>
    </row>
    <row r="380">
      <c r="A380" s="1" t="str">
        <f>IFERROR(__xludf.DUMMYFUNCTION("""COMPUTED_VALUE"""),"Peoples First Community Bank")</f>
        <v>Peoples First Community Bank</v>
      </c>
      <c r="B380" s="1" t="str">
        <f>IFERROR(__xludf.DUMMYFUNCTION("""COMPUTED_VALUE"""),"Panama City")</f>
        <v>Panama City</v>
      </c>
      <c r="C380" s="1" t="str">
        <f>IFERROR(__xludf.DUMMYFUNCTION("""COMPUTED_VALUE"""),"FL")</f>
        <v>FL</v>
      </c>
      <c r="D380" s="1">
        <f>IFERROR(__xludf.DUMMYFUNCTION("""COMPUTED_VALUE"""),32167.0)</f>
        <v>32167</v>
      </c>
      <c r="E380" s="1" t="str">
        <f>IFERROR(__xludf.DUMMYFUNCTION("""COMPUTED_VALUE"""),"Hancock Bank")</f>
        <v>Hancock Bank</v>
      </c>
      <c r="F380" s="2">
        <f>IFERROR(__xludf.DUMMYFUNCTION("""COMPUTED_VALUE"""),40165.0)</f>
        <v>40165</v>
      </c>
      <c r="G380" s="1">
        <f>IFERROR(__xludf.DUMMYFUNCTION("""COMPUTED_VALUE"""),10165.0)</f>
        <v>10165</v>
      </c>
    </row>
    <row r="381">
      <c r="A381" s="1" t="str">
        <f>IFERROR(__xludf.DUMMYFUNCTION("""COMPUTED_VALUE"""),"RockBridge Commercial Bank")</f>
        <v>RockBridge Commercial Bank</v>
      </c>
      <c r="B381" s="1" t="str">
        <f>IFERROR(__xludf.DUMMYFUNCTION("""COMPUTED_VALUE"""),"Atlanta")</f>
        <v>Atlanta</v>
      </c>
      <c r="C381" s="1" t="str">
        <f>IFERROR(__xludf.DUMMYFUNCTION("""COMPUTED_VALUE"""),"GA")</f>
        <v>GA</v>
      </c>
      <c r="D381" s="1">
        <f>IFERROR(__xludf.DUMMYFUNCTION("""COMPUTED_VALUE"""),58315.0)</f>
        <v>58315</v>
      </c>
      <c r="E381" s="1" t="str">
        <f>IFERROR(__xludf.DUMMYFUNCTION("""COMPUTED_VALUE"""),"No Acquirer")</f>
        <v>No Acquirer</v>
      </c>
      <c r="F381" s="2">
        <f>IFERROR(__xludf.DUMMYFUNCTION("""COMPUTED_VALUE"""),40165.0)</f>
        <v>40165</v>
      </c>
      <c r="G381" s="1">
        <f>IFERROR(__xludf.DUMMYFUNCTION("""COMPUTED_VALUE"""),10164.0)</f>
        <v>10164</v>
      </c>
    </row>
    <row r="382">
      <c r="A382" s="1" t="str">
        <f>IFERROR(__xludf.DUMMYFUNCTION("""COMPUTED_VALUE"""),"SolutionsBank")</f>
        <v>SolutionsBank</v>
      </c>
      <c r="B382" s="1" t="str">
        <f>IFERROR(__xludf.DUMMYFUNCTION("""COMPUTED_VALUE"""),"Overland Park")</f>
        <v>Overland Park</v>
      </c>
      <c r="C382" s="1" t="str">
        <f>IFERROR(__xludf.DUMMYFUNCTION("""COMPUTED_VALUE"""),"KS")</f>
        <v>KS</v>
      </c>
      <c r="D382" s="1">
        <f>IFERROR(__xludf.DUMMYFUNCTION("""COMPUTED_VALUE"""),4731.0)</f>
        <v>4731</v>
      </c>
      <c r="E382" s="1" t="str">
        <f>IFERROR(__xludf.DUMMYFUNCTION("""COMPUTED_VALUE"""),"Arvest Bank")</f>
        <v>Arvest Bank</v>
      </c>
      <c r="F382" s="2">
        <f>IFERROR(__xludf.DUMMYFUNCTION("""COMPUTED_VALUE"""),40158.0)</f>
        <v>40158</v>
      </c>
      <c r="G382" s="1">
        <f>IFERROR(__xludf.DUMMYFUNCTION("""COMPUTED_VALUE"""),10160.0)</f>
        <v>10160</v>
      </c>
    </row>
    <row r="383">
      <c r="A383" s="1" t="str">
        <f>IFERROR(__xludf.DUMMYFUNCTION("""COMPUTED_VALUE"""),"Valley Capital Bank, N.A.")</f>
        <v>Valley Capital Bank, N.A.</v>
      </c>
      <c r="B383" s="1" t="str">
        <f>IFERROR(__xludf.DUMMYFUNCTION("""COMPUTED_VALUE"""),"Mesa")</f>
        <v>Mesa</v>
      </c>
      <c r="C383" s="1" t="str">
        <f>IFERROR(__xludf.DUMMYFUNCTION("""COMPUTED_VALUE"""),"AZ")</f>
        <v>AZ</v>
      </c>
      <c r="D383" s="1">
        <f>IFERROR(__xludf.DUMMYFUNCTION("""COMPUTED_VALUE"""),58399.0)</f>
        <v>58399</v>
      </c>
      <c r="E383" s="1" t="str">
        <f>IFERROR(__xludf.DUMMYFUNCTION("""COMPUTED_VALUE"""),"Enterprise Bank &amp; Trust")</f>
        <v>Enterprise Bank &amp; Trust</v>
      </c>
      <c r="F383" s="2">
        <f>IFERROR(__xludf.DUMMYFUNCTION("""COMPUTED_VALUE"""),40158.0)</f>
        <v>40158</v>
      </c>
      <c r="G383" s="1">
        <f>IFERROR(__xludf.DUMMYFUNCTION("""COMPUTED_VALUE"""),10159.0)</f>
        <v>10159</v>
      </c>
    </row>
    <row r="384">
      <c r="A384" s="1" t="str">
        <f>IFERROR(__xludf.DUMMYFUNCTION("""COMPUTED_VALUE"""),"Republic Federal Bank, N.A.")</f>
        <v>Republic Federal Bank, N.A.</v>
      </c>
      <c r="B384" s="1" t="str">
        <f>IFERROR(__xludf.DUMMYFUNCTION("""COMPUTED_VALUE"""),"Miami")</f>
        <v>Miami</v>
      </c>
      <c r="C384" s="1" t="str">
        <f>IFERROR(__xludf.DUMMYFUNCTION("""COMPUTED_VALUE"""),"FL")</f>
        <v>FL</v>
      </c>
      <c r="D384" s="1">
        <f>IFERROR(__xludf.DUMMYFUNCTION("""COMPUTED_VALUE"""),22846.0)</f>
        <v>22846</v>
      </c>
      <c r="E384" s="1" t="str">
        <f>IFERROR(__xludf.DUMMYFUNCTION("""COMPUTED_VALUE"""),"1st United Bank")</f>
        <v>1st United Bank</v>
      </c>
      <c r="F384" s="2">
        <f>IFERROR(__xludf.DUMMYFUNCTION("""COMPUTED_VALUE"""),40158.0)</f>
        <v>40158</v>
      </c>
      <c r="G384" s="1">
        <f>IFERROR(__xludf.DUMMYFUNCTION("""COMPUTED_VALUE"""),10158.0)</f>
        <v>10158</v>
      </c>
    </row>
    <row r="385">
      <c r="A385" s="1" t="str">
        <f>IFERROR(__xludf.DUMMYFUNCTION("""COMPUTED_VALUE"""),"Greater Atlantic Bank")</f>
        <v>Greater Atlantic Bank</v>
      </c>
      <c r="B385" s="1" t="str">
        <f>IFERROR(__xludf.DUMMYFUNCTION("""COMPUTED_VALUE"""),"Reston")</f>
        <v>Reston</v>
      </c>
      <c r="C385" s="1" t="str">
        <f>IFERROR(__xludf.DUMMYFUNCTION("""COMPUTED_VALUE"""),"VA")</f>
        <v>VA</v>
      </c>
      <c r="D385" s="1">
        <f>IFERROR(__xludf.DUMMYFUNCTION("""COMPUTED_VALUE"""),32583.0)</f>
        <v>32583</v>
      </c>
      <c r="E385" s="1" t="str">
        <f>IFERROR(__xludf.DUMMYFUNCTION("""COMPUTED_VALUE"""),"Sonabank")</f>
        <v>Sonabank</v>
      </c>
      <c r="F385" s="2">
        <f>IFERROR(__xludf.DUMMYFUNCTION("""COMPUTED_VALUE"""),40151.0)</f>
        <v>40151</v>
      </c>
      <c r="G385" s="1">
        <f>IFERROR(__xludf.DUMMYFUNCTION("""COMPUTED_VALUE"""),10156.0)</f>
        <v>10156</v>
      </c>
    </row>
    <row r="386">
      <c r="A386" s="1" t="str">
        <f>IFERROR(__xludf.DUMMYFUNCTION("""COMPUTED_VALUE"""),"Benchmark Bank")</f>
        <v>Benchmark Bank</v>
      </c>
      <c r="B386" s="1" t="str">
        <f>IFERROR(__xludf.DUMMYFUNCTION("""COMPUTED_VALUE"""),"Aurora")</f>
        <v>Aurora</v>
      </c>
      <c r="C386" s="1" t="str">
        <f>IFERROR(__xludf.DUMMYFUNCTION("""COMPUTED_VALUE"""),"IL")</f>
        <v>IL</v>
      </c>
      <c r="D386" s="1">
        <f>IFERROR(__xludf.DUMMYFUNCTION("""COMPUTED_VALUE"""),10440.0)</f>
        <v>10440</v>
      </c>
      <c r="E386" s="1" t="str">
        <f>IFERROR(__xludf.DUMMYFUNCTION("""COMPUTED_VALUE"""),"MB Financial Bank, N.A.")</f>
        <v>MB Financial Bank, N.A.</v>
      </c>
      <c r="F386" s="2">
        <f>IFERROR(__xludf.DUMMYFUNCTION("""COMPUTED_VALUE"""),40151.0)</f>
        <v>40151</v>
      </c>
      <c r="G386" s="1">
        <f>IFERROR(__xludf.DUMMYFUNCTION("""COMPUTED_VALUE"""),10154.0)</f>
        <v>10154</v>
      </c>
    </row>
    <row r="387">
      <c r="A387" s="1" t="str">
        <f>IFERROR(__xludf.DUMMYFUNCTION("""COMPUTED_VALUE"""),"AmTrust Bank")</f>
        <v>AmTrust Bank</v>
      </c>
      <c r="B387" s="1" t="str">
        <f>IFERROR(__xludf.DUMMYFUNCTION("""COMPUTED_VALUE"""),"Cleveland")</f>
        <v>Cleveland</v>
      </c>
      <c r="C387" s="1" t="str">
        <f>IFERROR(__xludf.DUMMYFUNCTION("""COMPUTED_VALUE"""),"OH")</f>
        <v>OH</v>
      </c>
      <c r="D387" s="1">
        <f>IFERROR(__xludf.DUMMYFUNCTION("""COMPUTED_VALUE"""),29776.0)</f>
        <v>29776</v>
      </c>
      <c r="E387" s="1" t="str">
        <f>IFERROR(__xludf.DUMMYFUNCTION("""COMPUTED_VALUE"""),"New York Community Bank")</f>
        <v>New York Community Bank</v>
      </c>
      <c r="F387" s="2">
        <f>IFERROR(__xludf.DUMMYFUNCTION("""COMPUTED_VALUE"""),40151.0)</f>
        <v>40151</v>
      </c>
      <c r="G387" s="1">
        <f>IFERROR(__xludf.DUMMYFUNCTION("""COMPUTED_VALUE"""),10155.0)</f>
        <v>10155</v>
      </c>
    </row>
    <row r="388">
      <c r="A388" s="1" t="str">
        <f>IFERROR(__xludf.DUMMYFUNCTION("""COMPUTED_VALUE"""),"The Tattnall Bank")</f>
        <v>The Tattnall Bank</v>
      </c>
      <c r="B388" s="1" t="str">
        <f>IFERROR(__xludf.DUMMYFUNCTION("""COMPUTED_VALUE"""),"Reidsville")</f>
        <v>Reidsville</v>
      </c>
      <c r="C388" s="1" t="str">
        <f>IFERROR(__xludf.DUMMYFUNCTION("""COMPUTED_VALUE"""),"GA")</f>
        <v>GA</v>
      </c>
      <c r="D388" s="1">
        <f>IFERROR(__xludf.DUMMYFUNCTION("""COMPUTED_VALUE"""),12080.0)</f>
        <v>12080</v>
      </c>
      <c r="E388" s="1" t="str">
        <f>IFERROR(__xludf.DUMMYFUNCTION("""COMPUTED_VALUE"""),"Heritage Bank of the South")</f>
        <v>Heritage Bank of the South</v>
      </c>
      <c r="F388" s="2">
        <f>IFERROR(__xludf.DUMMYFUNCTION("""COMPUTED_VALUE"""),40151.0)</f>
        <v>40151</v>
      </c>
      <c r="G388" s="1">
        <f>IFERROR(__xludf.DUMMYFUNCTION("""COMPUTED_VALUE"""),10153.0)</f>
        <v>10153</v>
      </c>
    </row>
    <row r="389">
      <c r="A389" s="1" t="str">
        <f>IFERROR(__xludf.DUMMYFUNCTION("""COMPUTED_VALUE"""),"First Security National Bank")</f>
        <v>First Security National Bank</v>
      </c>
      <c r="B389" s="1" t="str">
        <f>IFERROR(__xludf.DUMMYFUNCTION("""COMPUTED_VALUE"""),"Norcross")</f>
        <v>Norcross</v>
      </c>
      <c r="C389" s="1" t="str">
        <f>IFERROR(__xludf.DUMMYFUNCTION("""COMPUTED_VALUE"""),"GA")</f>
        <v>GA</v>
      </c>
      <c r="D389" s="1">
        <f>IFERROR(__xludf.DUMMYFUNCTION("""COMPUTED_VALUE"""),26290.0)</f>
        <v>26290</v>
      </c>
      <c r="E389" s="1" t="str">
        <f>IFERROR(__xludf.DUMMYFUNCTION("""COMPUTED_VALUE"""),"State Bank and Trust Company")</f>
        <v>State Bank and Trust Company</v>
      </c>
      <c r="F389" s="2">
        <f>IFERROR(__xludf.DUMMYFUNCTION("""COMPUTED_VALUE"""),40151.0)</f>
        <v>40151</v>
      </c>
      <c r="G389" s="1">
        <f>IFERROR(__xludf.DUMMYFUNCTION("""COMPUTED_VALUE"""),10157.0)</f>
        <v>10157</v>
      </c>
    </row>
    <row r="390">
      <c r="A390" s="1" t="str">
        <f>IFERROR(__xludf.DUMMYFUNCTION("""COMPUTED_VALUE"""),"The Buckhead Community Bank")</f>
        <v>The Buckhead Community Bank</v>
      </c>
      <c r="B390" s="1" t="str">
        <f>IFERROR(__xludf.DUMMYFUNCTION("""COMPUTED_VALUE"""),"Atlanta")</f>
        <v>Atlanta</v>
      </c>
      <c r="C390" s="1" t="str">
        <f>IFERROR(__xludf.DUMMYFUNCTION("""COMPUTED_VALUE"""),"GA")</f>
        <v>GA</v>
      </c>
      <c r="D390" s="1">
        <f>IFERROR(__xludf.DUMMYFUNCTION("""COMPUTED_VALUE"""),34663.0)</f>
        <v>34663</v>
      </c>
      <c r="E390" s="1" t="str">
        <f>IFERROR(__xludf.DUMMYFUNCTION("""COMPUTED_VALUE"""),"State Bank and Trust Company")</f>
        <v>State Bank and Trust Company</v>
      </c>
      <c r="F390" s="2">
        <f>IFERROR(__xludf.DUMMYFUNCTION("""COMPUTED_VALUE"""),40151.0)</f>
        <v>40151</v>
      </c>
      <c r="G390" s="1">
        <f>IFERROR(__xludf.DUMMYFUNCTION("""COMPUTED_VALUE"""),10152.0)</f>
        <v>10152</v>
      </c>
    </row>
    <row r="391">
      <c r="A391" s="1" t="str">
        <f>IFERROR(__xludf.DUMMYFUNCTION("""COMPUTED_VALUE"""),"Commerce Bank of Southwest Florida")</f>
        <v>Commerce Bank of Southwest Florida</v>
      </c>
      <c r="B391" s="1" t="str">
        <f>IFERROR(__xludf.DUMMYFUNCTION("""COMPUTED_VALUE"""),"Fort Myers")</f>
        <v>Fort Myers</v>
      </c>
      <c r="C391" s="1" t="str">
        <f>IFERROR(__xludf.DUMMYFUNCTION("""COMPUTED_VALUE"""),"FL")</f>
        <v>FL</v>
      </c>
      <c r="D391" s="1">
        <f>IFERROR(__xludf.DUMMYFUNCTION("""COMPUTED_VALUE"""),58016.0)</f>
        <v>58016</v>
      </c>
      <c r="E391" s="1" t="str">
        <f>IFERROR(__xludf.DUMMYFUNCTION("""COMPUTED_VALUE"""),"Central Bank")</f>
        <v>Central Bank</v>
      </c>
      <c r="F391" s="2">
        <f>IFERROR(__xludf.DUMMYFUNCTION("""COMPUTED_VALUE"""),40137.0)</f>
        <v>40137</v>
      </c>
      <c r="G391" s="1">
        <f>IFERROR(__xludf.DUMMYFUNCTION("""COMPUTED_VALUE"""),10151.0)</f>
        <v>10151</v>
      </c>
    </row>
    <row r="392">
      <c r="A392" s="1" t="str">
        <f>IFERROR(__xludf.DUMMYFUNCTION("""COMPUTED_VALUE"""),"Pacific Coast National Bank")</f>
        <v>Pacific Coast National Bank</v>
      </c>
      <c r="B392" s="1" t="str">
        <f>IFERROR(__xludf.DUMMYFUNCTION("""COMPUTED_VALUE"""),"San Clemente")</f>
        <v>San Clemente</v>
      </c>
      <c r="C392" s="1" t="str">
        <f>IFERROR(__xludf.DUMMYFUNCTION("""COMPUTED_VALUE"""),"CA")</f>
        <v>CA</v>
      </c>
      <c r="D392" s="1">
        <f>IFERROR(__xludf.DUMMYFUNCTION("""COMPUTED_VALUE"""),57914.0)</f>
        <v>57914</v>
      </c>
      <c r="E392" s="1" t="str">
        <f>IFERROR(__xludf.DUMMYFUNCTION("""COMPUTED_VALUE"""),"Sunwest Bank")</f>
        <v>Sunwest Bank</v>
      </c>
      <c r="F392" s="2">
        <f>IFERROR(__xludf.DUMMYFUNCTION("""COMPUTED_VALUE"""),40130.0)</f>
        <v>40130</v>
      </c>
      <c r="G392" s="1">
        <f>IFERROR(__xludf.DUMMYFUNCTION("""COMPUTED_VALUE"""),10150.0)</f>
        <v>10150</v>
      </c>
    </row>
    <row r="393">
      <c r="A393" s="1" t="str">
        <f>IFERROR(__xludf.DUMMYFUNCTION("""COMPUTED_VALUE"""),"Orion Bank")</f>
        <v>Orion Bank</v>
      </c>
      <c r="B393" s="1" t="str">
        <f>IFERROR(__xludf.DUMMYFUNCTION("""COMPUTED_VALUE"""),"Naples")</f>
        <v>Naples</v>
      </c>
      <c r="C393" s="1" t="str">
        <f>IFERROR(__xludf.DUMMYFUNCTION("""COMPUTED_VALUE"""),"FL")</f>
        <v>FL</v>
      </c>
      <c r="D393" s="1">
        <f>IFERROR(__xludf.DUMMYFUNCTION("""COMPUTED_VALUE"""),22427.0)</f>
        <v>22427</v>
      </c>
      <c r="E393" s="1" t="str">
        <f>IFERROR(__xludf.DUMMYFUNCTION("""COMPUTED_VALUE"""),"IBERIABANK")</f>
        <v>IBERIABANK</v>
      </c>
      <c r="F393" s="2">
        <f>IFERROR(__xludf.DUMMYFUNCTION("""COMPUTED_VALUE"""),40130.0)</f>
        <v>40130</v>
      </c>
      <c r="G393" s="1">
        <f>IFERROR(__xludf.DUMMYFUNCTION("""COMPUTED_VALUE"""),10149.0)</f>
        <v>10149</v>
      </c>
    </row>
    <row r="394">
      <c r="A394" s="1" t="str">
        <f>IFERROR(__xludf.DUMMYFUNCTION("""COMPUTED_VALUE"""),"Century Bank, F.S.B.")</f>
        <v>Century Bank, F.S.B.</v>
      </c>
      <c r="B394" s="1" t="str">
        <f>IFERROR(__xludf.DUMMYFUNCTION("""COMPUTED_VALUE"""),"Sarasota")</f>
        <v>Sarasota</v>
      </c>
      <c r="C394" s="1" t="str">
        <f>IFERROR(__xludf.DUMMYFUNCTION("""COMPUTED_VALUE"""),"FL")</f>
        <v>FL</v>
      </c>
      <c r="D394" s="1">
        <f>IFERROR(__xludf.DUMMYFUNCTION("""COMPUTED_VALUE"""),32267.0)</f>
        <v>32267</v>
      </c>
      <c r="E394" s="1" t="str">
        <f>IFERROR(__xludf.DUMMYFUNCTION("""COMPUTED_VALUE"""),"IBERIABANK")</f>
        <v>IBERIABANK</v>
      </c>
      <c r="F394" s="2">
        <f>IFERROR(__xludf.DUMMYFUNCTION("""COMPUTED_VALUE"""),40130.0)</f>
        <v>40130</v>
      </c>
      <c r="G394" s="1">
        <f>IFERROR(__xludf.DUMMYFUNCTION("""COMPUTED_VALUE"""),10148.0)</f>
        <v>10148</v>
      </c>
    </row>
    <row r="395">
      <c r="A395" s="1" t="str">
        <f>IFERROR(__xludf.DUMMYFUNCTION("""COMPUTED_VALUE"""),"United Commercial Bank")</f>
        <v>United Commercial Bank</v>
      </c>
      <c r="B395" s="1" t="str">
        <f>IFERROR(__xludf.DUMMYFUNCTION("""COMPUTED_VALUE"""),"San Francisco")</f>
        <v>San Francisco</v>
      </c>
      <c r="C395" s="1" t="str">
        <f>IFERROR(__xludf.DUMMYFUNCTION("""COMPUTED_VALUE"""),"CA")</f>
        <v>CA</v>
      </c>
      <c r="D395" s="1">
        <f>IFERROR(__xludf.DUMMYFUNCTION("""COMPUTED_VALUE"""),32469.0)</f>
        <v>32469</v>
      </c>
      <c r="E395" s="1" t="str">
        <f>IFERROR(__xludf.DUMMYFUNCTION("""COMPUTED_VALUE"""),"East West Bank")</f>
        <v>East West Bank</v>
      </c>
      <c r="F395" s="2">
        <f>IFERROR(__xludf.DUMMYFUNCTION("""COMPUTED_VALUE"""),40123.0)</f>
        <v>40123</v>
      </c>
      <c r="G395" s="1">
        <f>IFERROR(__xludf.DUMMYFUNCTION("""COMPUTED_VALUE"""),10147.0)</f>
        <v>10147</v>
      </c>
    </row>
    <row r="396">
      <c r="A396" s="1" t="str">
        <f>IFERROR(__xludf.DUMMYFUNCTION("""COMPUTED_VALUE"""),"Gateway Bank of St. Louis")</f>
        <v>Gateway Bank of St. Louis</v>
      </c>
      <c r="B396" s="1" t="str">
        <f>IFERROR(__xludf.DUMMYFUNCTION("""COMPUTED_VALUE"""),"St. Louis")</f>
        <v>St. Louis</v>
      </c>
      <c r="C396" s="1" t="str">
        <f>IFERROR(__xludf.DUMMYFUNCTION("""COMPUTED_VALUE"""),"MO")</f>
        <v>MO</v>
      </c>
      <c r="D396" s="1">
        <f>IFERROR(__xludf.DUMMYFUNCTION("""COMPUTED_VALUE"""),19450.0)</f>
        <v>19450</v>
      </c>
      <c r="E396" s="1" t="str">
        <f>IFERROR(__xludf.DUMMYFUNCTION("""COMPUTED_VALUE"""),"Central Bank of Kansas City")</f>
        <v>Central Bank of Kansas City</v>
      </c>
      <c r="F396" s="2">
        <f>IFERROR(__xludf.DUMMYFUNCTION("""COMPUTED_VALUE"""),40123.0)</f>
        <v>40123</v>
      </c>
      <c r="G396" s="1">
        <f>IFERROR(__xludf.DUMMYFUNCTION("""COMPUTED_VALUE"""),10146.0)</f>
        <v>10146</v>
      </c>
    </row>
    <row r="397">
      <c r="A397" s="1" t="str">
        <f>IFERROR(__xludf.DUMMYFUNCTION("""COMPUTED_VALUE"""),"Prosperan Bank")</f>
        <v>Prosperan Bank</v>
      </c>
      <c r="B397" s="1" t="str">
        <f>IFERROR(__xludf.DUMMYFUNCTION("""COMPUTED_VALUE"""),"Oakdale")</f>
        <v>Oakdale</v>
      </c>
      <c r="C397" s="1" t="str">
        <f>IFERROR(__xludf.DUMMYFUNCTION("""COMPUTED_VALUE"""),"MN")</f>
        <v>MN</v>
      </c>
      <c r="D397" s="1">
        <f>IFERROR(__xludf.DUMMYFUNCTION("""COMPUTED_VALUE"""),35074.0)</f>
        <v>35074</v>
      </c>
      <c r="E397" s="1" t="str">
        <f>IFERROR(__xludf.DUMMYFUNCTION("""COMPUTED_VALUE"""),"Alerus Financial, N.A.")</f>
        <v>Alerus Financial, N.A.</v>
      </c>
      <c r="F397" s="2">
        <f>IFERROR(__xludf.DUMMYFUNCTION("""COMPUTED_VALUE"""),40123.0)</f>
        <v>40123</v>
      </c>
      <c r="G397" s="1">
        <f>IFERROR(__xludf.DUMMYFUNCTION("""COMPUTED_VALUE"""),10143.0)</f>
        <v>10143</v>
      </c>
    </row>
    <row r="398">
      <c r="A398" s="1" t="str">
        <f>IFERROR(__xludf.DUMMYFUNCTION("""COMPUTED_VALUE"""),"Home Federal Savings Bank")</f>
        <v>Home Federal Savings Bank</v>
      </c>
      <c r="B398" s="1" t="str">
        <f>IFERROR(__xludf.DUMMYFUNCTION("""COMPUTED_VALUE"""),"Detroit")</f>
        <v>Detroit</v>
      </c>
      <c r="C398" s="1" t="str">
        <f>IFERROR(__xludf.DUMMYFUNCTION("""COMPUTED_VALUE"""),"MI")</f>
        <v>MI</v>
      </c>
      <c r="D398" s="1">
        <f>IFERROR(__xludf.DUMMYFUNCTION("""COMPUTED_VALUE"""),30329.0)</f>
        <v>30329</v>
      </c>
      <c r="E398" s="1" t="str">
        <f>IFERROR(__xludf.DUMMYFUNCTION("""COMPUTED_VALUE"""),"Liberty Bank and Trust Company")</f>
        <v>Liberty Bank and Trust Company</v>
      </c>
      <c r="F398" s="2">
        <f>IFERROR(__xludf.DUMMYFUNCTION("""COMPUTED_VALUE"""),40123.0)</f>
        <v>40123</v>
      </c>
      <c r="G398" s="1">
        <f>IFERROR(__xludf.DUMMYFUNCTION("""COMPUTED_VALUE"""),10144.0)</f>
        <v>10144</v>
      </c>
    </row>
    <row r="399">
      <c r="A399" s="1" t="str">
        <f>IFERROR(__xludf.DUMMYFUNCTION("""COMPUTED_VALUE"""),"United Security Bank")</f>
        <v>United Security Bank</v>
      </c>
      <c r="B399" s="1" t="str">
        <f>IFERROR(__xludf.DUMMYFUNCTION("""COMPUTED_VALUE"""),"Sparta")</f>
        <v>Sparta</v>
      </c>
      <c r="C399" s="1" t="str">
        <f>IFERROR(__xludf.DUMMYFUNCTION("""COMPUTED_VALUE"""),"GA")</f>
        <v>GA</v>
      </c>
      <c r="D399" s="1">
        <f>IFERROR(__xludf.DUMMYFUNCTION("""COMPUTED_VALUE"""),22286.0)</f>
        <v>22286</v>
      </c>
      <c r="E399" s="1" t="str">
        <f>IFERROR(__xludf.DUMMYFUNCTION("""COMPUTED_VALUE"""),"Ameris Bank")</f>
        <v>Ameris Bank</v>
      </c>
      <c r="F399" s="2">
        <f>IFERROR(__xludf.DUMMYFUNCTION("""COMPUTED_VALUE"""),40123.0)</f>
        <v>40123</v>
      </c>
      <c r="G399" s="1">
        <f>IFERROR(__xludf.DUMMYFUNCTION("""COMPUTED_VALUE"""),10145.0)</f>
        <v>10145</v>
      </c>
    </row>
    <row r="400">
      <c r="A400" s="1" t="str">
        <f>IFERROR(__xludf.DUMMYFUNCTION("""COMPUTED_VALUE"""),"North Houston Bank")</f>
        <v>North Houston Bank</v>
      </c>
      <c r="B400" s="1" t="str">
        <f>IFERROR(__xludf.DUMMYFUNCTION("""COMPUTED_VALUE"""),"Houston")</f>
        <v>Houston</v>
      </c>
      <c r="C400" s="1" t="str">
        <f>IFERROR(__xludf.DUMMYFUNCTION("""COMPUTED_VALUE"""),"TX")</f>
        <v>TX</v>
      </c>
      <c r="D400" s="1">
        <f>IFERROR(__xludf.DUMMYFUNCTION("""COMPUTED_VALUE"""),18776.0)</f>
        <v>18776</v>
      </c>
      <c r="E400" s="1" t="str">
        <f>IFERROR(__xludf.DUMMYFUNCTION("""COMPUTED_VALUE"""),"U.S. Bank N.A.")</f>
        <v>U.S. Bank N.A.</v>
      </c>
      <c r="F400" s="2">
        <f>IFERROR(__xludf.DUMMYFUNCTION("""COMPUTED_VALUE"""),40116.0)</f>
        <v>40116</v>
      </c>
      <c r="G400" s="1">
        <f>IFERROR(__xludf.DUMMYFUNCTION("""COMPUTED_VALUE"""),10138.0)</f>
        <v>10138</v>
      </c>
    </row>
    <row r="401">
      <c r="A401" s="1" t="str">
        <f>IFERROR(__xludf.DUMMYFUNCTION("""COMPUTED_VALUE"""),"Madisonville State Bank")</f>
        <v>Madisonville State Bank</v>
      </c>
      <c r="B401" s="1" t="str">
        <f>IFERROR(__xludf.DUMMYFUNCTION("""COMPUTED_VALUE"""),"Madisonville")</f>
        <v>Madisonville</v>
      </c>
      <c r="C401" s="1" t="str">
        <f>IFERROR(__xludf.DUMMYFUNCTION("""COMPUTED_VALUE"""),"TX")</f>
        <v>TX</v>
      </c>
      <c r="D401" s="1">
        <f>IFERROR(__xludf.DUMMYFUNCTION("""COMPUTED_VALUE"""),33782.0)</f>
        <v>33782</v>
      </c>
      <c r="E401" s="1" t="str">
        <f>IFERROR(__xludf.DUMMYFUNCTION("""COMPUTED_VALUE"""),"U.S. Bank N.A.")</f>
        <v>U.S. Bank N.A.</v>
      </c>
      <c r="F401" s="2">
        <f>IFERROR(__xludf.DUMMYFUNCTION("""COMPUTED_VALUE"""),40116.0)</f>
        <v>40116</v>
      </c>
      <c r="G401" s="1">
        <f>IFERROR(__xludf.DUMMYFUNCTION("""COMPUTED_VALUE"""),10142.0)</f>
        <v>10142</v>
      </c>
    </row>
    <row r="402">
      <c r="A402" s="1" t="str">
        <f>IFERROR(__xludf.DUMMYFUNCTION("""COMPUTED_VALUE"""),"Citizens National Bank")</f>
        <v>Citizens National Bank</v>
      </c>
      <c r="B402" s="1" t="str">
        <f>IFERROR(__xludf.DUMMYFUNCTION("""COMPUTED_VALUE"""),"Teague")</f>
        <v>Teague</v>
      </c>
      <c r="C402" s="1" t="str">
        <f>IFERROR(__xludf.DUMMYFUNCTION("""COMPUTED_VALUE"""),"TX")</f>
        <v>TX</v>
      </c>
      <c r="D402" s="1">
        <f>IFERROR(__xludf.DUMMYFUNCTION("""COMPUTED_VALUE"""),25222.0)</f>
        <v>25222</v>
      </c>
      <c r="E402" s="1" t="str">
        <f>IFERROR(__xludf.DUMMYFUNCTION("""COMPUTED_VALUE"""),"U.S. Bank N.A.")</f>
        <v>U.S. Bank N.A.</v>
      </c>
      <c r="F402" s="2">
        <f>IFERROR(__xludf.DUMMYFUNCTION("""COMPUTED_VALUE"""),40116.0)</f>
        <v>40116</v>
      </c>
      <c r="G402" s="1">
        <f>IFERROR(__xludf.DUMMYFUNCTION("""COMPUTED_VALUE"""),10141.0)</f>
        <v>10141</v>
      </c>
    </row>
    <row r="403">
      <c r="A403" s="1" t="str">
        <f>IFERROR(__xludf.DUMMYFUNCTION("""COMPUTED_VALUE"""),"Park National Bank")</f>
        <v>Park National Bank</v>
      </c>
      <c r="B403" s="1" t="str">
        <f>IFERROR(__xludf.DUMMYFUNCTION("""COMPUTED_VALUE"""),"Chicago")</f>
        <v>Chicago</v>
      </c>
      <c r="C403" s="1" t="str">
        <f>IFERROR(__xludf.DUMMYFUNCTION("""COMPUTED_VALUE"""),"IL")</f>
        <v>IL</v>
      </c>
      <c r="D403" s="1">
        <f>IFERROR(__xludf.DUMMYFUNCTION("""COMPUTED_VALUE"""),11677.0)</f>
        <v>11677</v>
      </c>
      <c r="E403" s="1" t="str">
        <f>IFERROR(__xludf.DUMMYFUNCTION("""COMPUTED_VALUE"""),"U.S. Bank N.A.")</f>
        <v>U.S. Bank N.A.</v>
      </c>
      <c r="F403" s="2">
        <f>IFERROR(__xludf.DUMMYFUNCTION("""COMPUTED_VALUE"""),40116.0)</f>
        <v>40116</v>
      </c>
      <c r="G403" s="1">
        <f>IFERROR(__xludf.DUMMYFUNCTION("""COMPUTED_VALUE"""),10140.0)</f>
        <v>10140</v>
      </c>
    </row>
    <row r="404">
      <c r="A404" s="1" t="str">
        <f>IFERROR(__xludf.DUMMYFUNCTION("""COMPUTED_VALUE"""),"Pacific National Bank")</f>
        <v>Pacific National Bank</v>
      </c>
      <c r="B404" s="1" t="str">
        <f>IFERROR(__xludf.DUMMYFUNCTION("""COMPUTED_VALUE"""),"San Francisco")</f>
        <v>San Francisco</v>
      </c>
      <c r="C404" s="1" t="str">
        <f>IFERROR(__xludf.DUMMYFUNCTION("""COMPUTED_VALUE"""),"CA")</f>
        <v>CA</v>
      </c>
      <c r="D404" s="1">
        <f>IFERROR(__xludf.DUMMYFUNCTION("""COMPUTED_VALUE"""),30006.0)</f>
        <v>30006</v>
      </c>
      <c r="E404" s="1" t="str">
        <f>IFERROR(__xludf.DUMMYFUNCTION("""COMPUTED_VALUE"""),"U.S. Bank N.A.")</f>
        <v>U.S. Bank N.A.</v>
      </c>
      <c r="F404" s="2">
        <f>IFERROR(__xludf.DUMMYFUNCTION("""COMPUTED_VALUE"""),40116.0)</f>
        <v>40116</v>
      </c>
      <c r="G404" s="1">
        <f>IFERROR(__xludf.DUMMYFUNCTION("""COMPUTED_VALUE"""),10139.0)</f>
        <v>10139</v>
      </c>
    </row>
    <row r="405">
      <c r="A405" s="1" t="str">
        <f>IFERROR(__xludf.DUMMYFUNCTION("""COMPUTED_VALUE"""),"California National Bank")</f>
        <v>California National Bank</v>
      </c>
      <c r="B405" s="1" t="str">
        <f>IFERROR(__xludf.DUMMYFUNCTION("""COMPUTED_VALUE"""),"Los Angeles")</f>
        <v>Los Angeles</v>
      </c>
      <c r="C405" s="1" t="str">
        <f>IFERROR(__xludf.DUMMYFUNCTION("""COMPUTED_VALUE"""),"CA")</f>
        <v>CA</v>
      </c>
      <c r="D405" s="1">
        <f>IFERROR(__xludf.DUMMYFUNCTION("""COMPUTED_VALUE"""),34659.0)</f>
        <v>34659</v>
      </c>
      <c r="E405" s="1" t="str">
        <f>IFERROR(__xludf.DUMMYFUNCTION("""COMPUTED_VALUE"""),"U.S. Bank N.A.")</f>
        <v>U.S. Bank N.A.</v>
      </c>
      <c r="F405" s="2">
        <f>IFERROR(__xludf.DUMMYFUNCTION("""COMPUTED_VALUE"""),40116.0)</f>
        <v>40116</v>
      </c>
      <c r="G405" s="1">
        <f>IFERROR(__xludf.DUMMYFUNCTION("""COMPUTED_VALUE"""),10134.0)</f>
        <v>10134</v>
      </c>
    </row>
    <row r="406">
      <c r="A406" s="1" t="str">
        <f>IFERROR(__xludf.DUMMYFUNCTION("""COMPUTED_VALUE"""),"San Diego National Bank")</f>
        <v>San Diego National Bank</v>
      </c>
      <c r="B406" s="1" t="str">
        <f>IFERROR(__xludf.DUMMYFUNCTION("""COMPUTED_VALUE"""),"San Diego")</f>
        <v>San Diego</v>
      </c>
      <c r="C406" s="1" t="str">
        <f>IFERROR(__xludf.DUMMYFUNCTION("""COMPUTED_VALUE"""),"CA")</f>
        <v>CA</v>
      </c>
      <c r="D406" s="1">
        <f>IFERROR(__xludf.DUMMYFUNCTION("""COMPUTED_VALUE"""),23594.0)</f>
        <v>23594</v>
      </c>
      <c r="E406" s="1" t="str">
        <f>IFERROR(__xludf.DUMMYFUNCTION("""COMPUTED_VALUE"""),"U.S. Bank N.A.")</f>
        <v>U.S. Bank N.A.</v>
      </c>
      <c r="F406" s="2">
        <f>IFERROR(__xludf.DUMMYFUNCTION("""COMPUTED_VALUE"""),40116.0)</f>
        <v>40116</v>
      </c>
      <c r="G406" s="1">
        <f>IFERROR(__xludf.DUMMYFUNCTION("""COMPUTED_VALUE"""),10135.0)</f>
        <v>10135</v>
      </c>
    </row>
    <row r="407">
      <c r="A407" s="1" t="str">
        <f>IFERROR(__xludf.DUMMYFUNCTION("""COMPUTED_VALUE"""),"Community Bank of Lemont")</f>
        <v>Community Bank of Lemont</v>
      </c>
      <c r="B407" s="1" t="str">
        <f>IFERROR(__xludf.DUMMYFUNCTION("""COMPUTED_VALUE"""),"Lemont")</f>
        <v>Lemont</v>
      </c>
      <c r="C407" s="1" t="str">
        <f>IFERROR(__xludf.DUMMYFUNCTION("""COMPUTED_VALUE"""),"IL")</f>
        <v>IL</v>
      </c>
      <c r="D407" s="1">
        <f>IFERROR(__xludf.DUMMYFUNCTION("""COMPUTED_VALUE"""),35291.0)</f>
        <v>35291</v>
      </c>
      <c r="E407" s="1" t="str">
        <f>IFERROR(__xludf.DUMMYFUNCTION("""COMPUTED_VALUE"""),"U.S. Bank N.A.")</f>
        <v>U.S. Bank N.A.</v>
      </c>
      <c r="F407" s="2">
        <f>IFERROR(__xludf.DUMMYFUNCTION("""COMPUTED_VALUE"""),40116.0)</f>
        <v>40116</v>
      </c>
      <c r="G407" s="1">
        <f>IFERROR(__xludf.DUMMYFUNCTION("""COMPUTED_VALUE"""),10137.0)</f>
        <v>10137</v>
      </c>
    </row>
    <row r="408">
      <c r="A408" s="1" t="str">
        <f>IFERROR(__xludf.DUMMYFUNCTION("""COMPUTED_VALUE"""),"Bank USA, N.A.")</f>
        <v>Bank USA, N.A.</v>
      </c>
      <c r="B408" s="1" t="str">
        <f>IFERROR(__xludf.DUMMYFUNCTION("""COMPUTED_VALUE"""),"Phoenix")</f>
        <v>Phoenix</v>
      </c>
      <c r="C408" s="1" t="str">
        <f>IFERROR(__xludf.DUMMYFUNCTION("""COMPUTED_VALUE"""),"AZ")</f>
        <v>AZ</v>
      </c>
      <c r="D408" s="1">
        <f>IFERROR(__xludf.DUMMYFUNCTION("""COMPUTED_VALUE"""),32218.0)</f>
        <v>32218</v>
      </c>
      <c r="E408" s="1" t="str">
        <f>IFERROR(__xludf.DUMMYFUNCTION("""COMPUTED_VALUE"""),"U.S. Bank N.A.")</f>
        <v>U.S. Bank N.A.</v>
      </c>
      <c r="F408" s="2">
        <f>IFERROR(__xludf.DUMMYFUNCTION("""COMPUTED_VALUE"""),40116.0)</f>
        <v>40116</v>
      </c>
      <c r="G408" s="1">
        <f>IFERROR(__xludf.DUMMYFUNCTION("""COMPUTED_VALUE"""),10136.0)</f>
        <v>10136</v>
      </c>
    </row>
    <row r="409">
      <c r="A409" s="1" t="str">
        <f>IFERROR(__xludf.DUMMYFUNCTION("""COMPUTED_VALUE"""),"First DuPage Bank")</f>
        <v>First DuPage Bank</v>
      </c>
      <c r="B409" s="1" t="str">
        <f>IFERROR(__xludf.DUMMYFUNCTION("""COMPUTED_VALUE"""),"Westmont")</f>
        <v>Westmont</v>
      </c>
      <c r="C409" s="1" t="str">
        <f>IFERROR(__xludf.DUMMYFUNCTION("""COMPUTED_VALUE"""),"IL")</f>
        <v>IL</v>
      </c>
      <c r="D409" s="1">
        <f>IFERROR(__xludf.DUMMYFUNCTION("""COMPUTED_VALUE"""),35038.0)</f>
        <v>35038</v>
      </c>
      <c r="E409" s="1" t="str">
        <f>IFERROR(__xludf.DUMMYFUNCTION("""COMPUTED_VALUE"""),"First Midwest Bank")</f>
        <v>First Midwest Bank</v>
      </c>
      <c r="F409" s="2">
        <f>IFERROR(__xludf.DUMMYFUNCTION("""COMPUTED_VALUE"""),40109.0)</f>
        <v>40109</v>
      </c>
      <c r="G409" s="1">
        <f>IFERROR(__xludf.DUMMYFUNCTION("""COMPUTED_VALUE"""),10128.0)</f>
        <v>10128</v>
      </c>
    </row>
    <row r="410">
      <c r="A410" s="1" t="str">
        <f>IFERROR(__xludf.DUMMYFUNCTION("""COMPUTED_VALUE"""),"Riverview Community Bank")</f>
        <v>Riverview Community Bank</v>
      </c>
      <c r="B410" s="1" t="str">
        <f>IFERROR(__xludf.DUMMYFUNCTION("""COMPUTED_VALUE"""),"Otsego")</f>
        <v>Otsego</v>
      </c>
      <c r="C410" s="1" t="str">
        <f>IFERROR(__xludf.DUMMYFUNCTION("""COMPUTED_VALUE"""),"MN")</f>
        <v>MN</v>
      </c>
      <c r="D410" s="1">
        <f>IFERROR(__xludf.DUMMYFUNCTION("""COMPUTED_VALUE"""),57525.0)</f>
        <v>57525</v>
      </c>
      <c r="E410" s="1" t="str">
        <f>IFERROR(__xludf.DUMMYFUNCTION("""COMPUTED_VALUE"""),"Central Bank")</f>
        <v>Central Bank</v>
      </c>
      <c r="F410" s="2">
        <f>IFERROR(__xludf.DUMMYFUNCTION("""COMPUTED_VALUE"""),40109.0)</f>
        <v>40109</v>
      </c>
      <c r="G410" s="1">
        <f>IFERROR(__xludf.DUMMYFUNCTION("""COMPUTED_VALUE"""),10133.0)</f>
        <v>10133</v>
      </c>
    </row>
    <row r="411">
      <c r="A411" s="1" t="str">
        <f>IFERROR(__xludf.DUMMYFUNCTION("""COMPUTED_VALUE"""),"Bank of Elmwood")</f>
        <v>Bank of Elmwood</v>
      </c>
      <c r="B411" s="1" t="str">
        <f>IFERROR(__xludf.DUMMYFUNCTION("""COMPUTED_VALUE"""),"Racine")</f>
        <v>Racine</v>
      </c>
      <c r="C411" s="1" t="str">
        <f>IFERROR(__xludf.DUMMYFUNCTION("""COMPUTED_VALUE"""),"WI")</f>
        <v>WI</v>
      </c>
      <c r="D411" s="1">
        <f>IFERROR(__xludf.DUMMYFUNCTION("""COMPUTED_VALUE"""),18321.0)</f>
        <v>18321</v>
      </c>
      <c r="E411" s="1" t="str">
        <f>IFERROR(__xludf.DUMMYFUNCTION("""COMPUTED_VALUE"""),"Tri City National Bank")</f>
        <v>Tri City National Bank</v>
      </c>
      <c r="F411" s="2">
        <f>IFERROR(__xludf.DUMMYFUNCTION("""COMPUTED_VALUE"""),40109.0)</f>
        <v>40109</v>
      </c>
      <c r="G411" s="1">
        <f>IFERROR(__xludf.DUMMYFUNCTION("""COMPUTED_VALUE"""),10132.0)</f>
        <v>10132</v>
      </c>
    </row>
    <row r="412">
      <c r="A412" s="1" t="str">
        <f>IFERROR(__xludf.DUMMYFUNCTION("""COMPUTED_VALUE"""),"Flagship National Bank")</f>
        <v>Flagship National Bank</v>
      </c>
      <c r="B412" s="1" t="str">
        <f>IFERROR(__xludf.DUMMYFUNCTION("""COMPUTED_VALUE"""),"Bradenton")</f>
        <v>Bradenton</v>
      </c>
      <c r="C412" s="1" t="str">
        <f>IFERROR(__xludf.DUMMYFUNCTION("""COMPUTED_VALUE"""),"FL")</f>
        <v>FL</v>
      </c>
      <c r="D412" s="1">
        <f>IFERROR(__xludf.DUMMYFUNCTION("""COMPUTED_VALUE"""),35044.0)</f>
        <v>35044</v>
      </c>
      <c r="E412" s="1" t="str">
        <f>IFERROR(__xludf.DUMMYFUNCTION("""COMPUTED_VALUE"""),"First Federal Bank of Florida")</f>
        <v>First Federal Bank of Florida</v>
      </c>
      <c r="F412" s="2">
        <f>IFERROR(__xludf.DUMMYFUNCTION("""COMPUTED_VALUE"""),40109.0)</f>
        <v>40109</v>
      </c>
      <c r="G412" s="1">
        <f>IFERROR(__xludf.DUMMYFUNCTION("""COMPUTED_VALUE"""),10129.0)</f>
        <v>10129</v>
      </c>
    </row>
    <row r="413">
      <c r="A413" s="1" t="str">
        <f>IFERROR(__xludf.DUMMYFUNCTION("""COMPUTED_VALUE"""),"Hillcrest Bank Florida")</f>
        <v>Hillcrest Bank Florida</v>
      </c>
      <c r="B413" s="1" t="str">
        <f>IFERROR(__xludf.DUMMYFUNCTION("""COMPUTED_VALUE"""),"Naples")</f>
        <v>Naples</v>
      </c>
      <c r="C413" s="1" t="str">
        <f>IFERROR(__xludf.DUMMYFUNCTION("""COMPUTED_VALUE"""),"FL")</f>
        <v>FL</v>
      </c>
      <c r="D413" s="1">
        <f>IFERROR(__xludf.DUMMYFUNCTION("""COMPUTED_VALUE"""),58336.0)</f>
        <v>58336</v>
      </c>
      <c r="E413" s="1" t="str">
        <f>IFERROR(__xludf.DUMMYFUNCTION("""COMPUTED_VALUE"""),"Stonegate Bank")</f>
        <v>Stonegate Bank</v>
      </c>
      <c r="F413" s="2">
        <f>IFERROR(__xludf.DUMMYFUNCTION("""COMPUTED_VALUE"""),40109.0)</f>
        <v>40109</v>
      </c>
      <c r="G413" s="1">
        <f>IFERROR(__xludf.DUMMYFUNCTION("""COMPUTED_VALUE"""),10131.0)</f>
        <v>10131</v>
      </c>
    </row>
    <row r="414">
      <c r="A414" s="1" t="str">
        <f>IFERROR(__xludf.DUMMYFUNCTION("""COMPUTED_VALUE"""),"American United Bank")</f>
        <v>American United Bank</v>
      </c>
      <c r="B414" s="1" t="str">
        <f>IFERROR(__xludf.DUMMYFUNCTION("""COMPUTED_VALUE"""),"Lawrenceville")</f>
        <v>Lawrenceville</v>
      </c>
      <c r="C414" s="1" t="str">
        <f>IFERROR(__xludf.DUMMYFUNCTION("""COMPUTED_VALUE"""),"GA")</f>
        <v>GA</v>
      </c>
      <c r="D414" s="1">
        <f>IFERROR(__xludf.DUMMYFUNCTION("""COMPUTED_VALUE"""),57794.0)</f>
        <v>57794</v>
      </c>
      <c r="E414" s="1" t="str">
        <f>IFERROR(__xludf.DUMMYFUNCTION("""COMPUTED_VALUE"""),"Ameris Bank")</f>
        <v>Ameris Bank</v>
      </c>
      <c r="F414" s="2">
        <f>IFERROR(__xludf.DUMMYFUNCTION("""COMPUTED_VALUE"""),40109.0)</f>
        <v>40109</v>
      </c>
      <c r="G414" s="1">
        <f>IFERROR(__xludf.DUMMYFUNCTION("""COMPUTED_VALUE"""),10127.0)</f>
        <v>10127</v>
      </c>
    </row>
    <row r="415">
      <c r="A415" s="1" t="str">
        <f>IFERROR(__xludf.DUMMYFUNCTION("""COMPUTED_VALUE"""),"Partners Bank")</f>
        <v>Partners Bank</v>
      </c>
      <c r="B415" s="1" t="str">
        <f>IFERROR(__xludf.DUMMYFUNCTION("""COMPUTED_VALUE"""),"Naples")</f>
        <v>Naples</v>
      </c>
      <c r="C415" s="1" t="str">
        <f>IFERROR(__xludf.DUMMYFUNCTION("""COMPUTED_VALUE"""),"FL")</f>
        <v>FL</v>
      </c>
      <c r="D415" s="1">
        <f>IFERROR(__xludf.DUMMYFUNCTION("""COMPUTED_VALUE"""),57959.0)</f>
        <v>57959</v>
      </c>
      <c r="E415" s="1" t="str">
        <f>IFERROR(__xludf.DUMMYFUNCTION("""COMPUTED_VALUE"""),"Stonegate Bank")</f>
        <v>Stonegate Bank</v>
      </c>
      <c r="F415" s="2">
        <f>IFERROR(__xludf.DUMMYFUNCTION("""COMPUTED_VALUE"""),40109.0)</f>
        <v>40109</v>
      </c>
      <c r="G415" s="1">
        <f>IFERROR(__xludf.DUMMYFUNCTION("""COMPUTED_VALUE"""),10130.0)</f>
        <v>10130</v>
      </c>
    </row>
    <row r="416">
      <c r="A416" s="1" t="str">
        <f>IFERROR(__xludf.DUMMYFUNCTION("""COMPUTED_VALUE"""),"San Joaquin Bank")</f>
        <v>San Joaquin Bank</v>
      </c>
      <c r="B416" s="1" t="str">
        <f>IFERROR(__xludf.DUMMYFUNCTION("""COMPUTED_VALUE"""),"Bakersfield")</f>
        <v>Bakersfield</v>
      </c>
      <c r="C416" s="1" t="str">
        <f>IFERROR(__xludf.DUMMYFUNCTION("""COMPUTED_VALUE"""),"CA")</f>
        <v>CA</v>
      </c>
      <c r="D416" s="1">
        <f>IFERROR(__xludf.DUMMYFUNCTION("""COMPUTED_VALUE"""),23266.0)</f>
        <v>23266</v>
      </c>
      <c r="E416" s="1" t="str">
        <f>IFERROR(__xludf.DUMMYFUNCTION("""COMPUTED_VALUE"""),"Citizens Business Bank")</f>
        <v>Citizens Business Bank</v>
      </c>
      <c r="F416" s="2">
        <f>IFERROR(__xludf.DUMMYFUNCTION("""COMPUTED_VALUE"""),40102.0)</f>
        <v>40102</v>
      </c>
      <c r="G416" s="1">
        <f>IFERROR(__xludf.DUMMYFUNCTION("""COMPUTED_VALUE"""),10126.0)</f>
        <v>10126</v>
      </c>
    </row>
    <row r="417">
      <c r="A417" s="1" t="str">
        <f>IFERROR(__xludf.DUMMYFUNCTION("""COMPUTED_VALUE"""),"Southern Colorado National Bank")</f>
        <v>Southern Colorado National Bank</v>
      </c>
      <c r="B417" s="1" t="str">
        <f>IFERROR(__xludf.DUMMYFUNCTION("""COMPUTED_VALUE"""),"Pueblo")</f>
        <v>Pueblo</v>
      </c>
      <c r="C417" s="1" t="str">
        <f>IFERROR(__xludf.DUMMYFUNCTION("""COMPUTED_VALUE"""),"CO")</f>
        <v>CO</v>
      </c>
      <c r="D417" s="1">
        <f>IFERROR(__xludf.DUMMYFUNCTION("""COMPUTED_VALUE"""),57263.0)</f>
        <v>57263</v>
      </c>
      <c r="E417" s="1" t="str">
        <f>IFERROR(__xludf.DUMMYFUNCTION("""COMPUTED_VALUE"""),"Legacy Bank")</f>
        <v>Legacy Bank</v>
      </c>
      <c r="F417" s="2">
        <f>IFERROR(__xludf.DUMMYFUNCTION("""COMPUTED_VALUE"""),40088.0)</f>
        <v>40088</v>
      </c>
      <c r="G417" s="1">
        <f>IFERROR(__xludf.DUMMYFUNCTION("""COMPUTED_VALUE"""),10123.0)</f>
        <v>10123</v>
      </c>
    </row>
    <row r="418">
      <c r="A418" s="1" t="str">
        <f>IFERROR(__xludf.DUMMYFUNCTION("""COMPUTED_VALUE"""),"Jennings State Bank")</f>
        <v>Jennings State Bank</v>
      </c>
      <c r="B418" s="1" t="str">
        <f>IFERROR(__xludf.DUMMYFUNCTION("""COMPUTED_VALUE"""),"Spring Grove")</f>
        <v>Spring Grove</v>
      </c>
      <c r="C418" s="1" t="str">
        <f>IFERROR(__xludf.DUMMYFUNCTION("""COMPUTED_VALUE"""),"MN")</f>
        <v>MN</v>
      </c>
      <c r="D418" s="1">
        <f>IFERROR(__xludf.DUMMYFUNCTION("""COMPUTED_VALUE"""),11416.0)</f>
        <v>11416</v>
      </c>
      <c r="E418" s="1" t="str">
        <f>IFERROR(__xludf.DUMMYFUNCTION("""COMPUTED_VALUE"""),"Central Bank")</f>
        <v>Central Bank</v>
      </c>
      <c r="F418" s="2">
        <f>IFERROR(__xludf.DUMMYFUNCTION("""COMPUTED_VALUE"""),40088.0)</f>
        <v>40088</v>
      </c>
      <c r="G418" s="1">
        <f>IFERROR(__xludf.DUMMYFUNCTION("""COMPUTED_VALUE"""),10124.0)</f>
        <v>10124</v>
      </c>
    </row>
    <row r="419">
      <c r="A419" s="1" t="str">
        <f>IFERROR(__xludf.DUMMYFUNCTION("""COMPUTED_VALUE"""),"Warren Bank")</f>
        <v>Warren Bank</v>
      </c>
      <c r="B419" s="1" t="str">
        <f>IFERROR(__xludf.DUMMYFUNCTION("""COMPUTED_VALUE"""),"Warren")</f>
        <v>Warren</v>
      </c>
      <c r="C419" s="1" t="str">
        <f>IFERROR(__xludf.DUMMYFUNCTION("""COMPUTED_VALUE"""),"MI")</f>
        <v>MI</v>
      </c>
      <c r="D419" s="1">
        <f>IFERROR(__xludf.DUMMYFUNCTION("""COMPUTED_VALUE"""),34824.0)</f>
        <v>34824</v>
      </c>
      <c r="E419" s="1" t="str">
        <f>IFERROR(__xludf.DUMMYFUNCTION("""COMPUTED_VALUE"""),"The Huntington National Bank")</f>
        <v>The Huntington National Bank</v>
      </c>
      <c r="F419" s="2">
        <f>IFERROR(__xludf.DUMMYFUNCTION("""COMPUTED_VALUE"""),40088.0)</f>
        <v>40088</v>
      </c>
      <c r="G419" s="1">
        <f>IFERROR(__xludf.DUMMYFUNCTION("""COMPUTED_VALUE"""),10125.0)</f>
        <v>10125</v>
      </c>
    </row>
    <row r="420">
      <c r="A420" s="1" t="str">
        <f>IFERROR(__xludf.DUMMYFUNCTION("""COMPUTED_VALUE"""),"Georgian Bank")</f>
        <v>Georgian Bank</v>
      </c>
      <c r="B420" s="1" t="str">
        <f>IFERROR(__xludf.DUMMYFUNCTION("""COMPUTED_VALUE"""),"Atlanta")</f>
        <v>Atlanta</v>
      </c>
      <c r="C420" s="1" t="str">
        <f>IFERROR(__xludf.DUMMYFUNCTION("""COMPUTED_VALUE"""),"GA")</f>
        <v>GA</v>
      </c>
      <c r="D420" s="1">
        <f>IFERROR(__xludf.DUMMYFUNCTION("""COMPUTED_VALUE"""),57151.0)</f>
        <v>57151</v>
      </c>
      <c r="E420" s="1" t="str">
        <f>IFERROR(__xludf.DUMMYFUNCTION("""COMPUTED_VALUE"""),"First Citizens Bank and Trust Company, Inc.")</f>
        <v>First Citizens Bank and Trust Company, Inc.</v>
      </c>
      <c r="F420" s="2">
        <f>IFERROR(__xludf.DUMMYFUNCTION("""COMPUTED_VALUE"""),40081.0)</f>
        <v>40081</v>
      </c>
      <c r="G420" s="1">
        <f>IFERROR(__xludf.DUMMYFUNCTION("""COMPUTED_VALUE"""),10122.0)</f>
        <v>10122</v>
      </c>
    </row>
    <row r="421">
      <c r="A421" s="1" t="str">
        <f>IFERROR(__xludf.DUMMYFUNCTION("""COMPUTED_VALUE"""),"Irwin Union Bank, F.S.B.")</f>
        <v>Irwin Union Bank, F.S.B.</v>
      </c>
      <c r="B421" s="1" t="str">
        <f>IFERROR(__xludf.DUMMYFUNCTION("""COMPUTED_VALUE"""),"Louisville")</f>
        <v>Louisville</v>
      </c>
      <c r="C421" s="1" t="str">
        <f>IFERROR(__xludf.DUMMYFUNCTION("""COMPUTED_VALUE"""),"KY")</f>
        <v>KY</v>
      </c>
      <c r="D421" s="1">
        <f>IFERROR(__xludf.DUMMYFUNCTION("""COMPUTED_VALUE"""),57068.0)</f>
        <v>57068</v>
      </c>
      <c r="E421" s="1" t="str">
        <f>IFERROR(__xludf.DUMMYFUNCTION("""COMPUTED_VALUE"""),"First Financial Bank, N.A.")</f>
        <v>First Financial Bank, N.A.</v>
      </c>
      <c r="F421" s="2">
        <f>IFERROR(__xludf.DUMMYFUNCTION("""COMPUTED_VALUE"""),40074.0)</f>
        <v>40074</v>
      </c>
      <c r="G421" s="1">
        <f>IFERROR(__xludf.DUMMYFUNCTION("""COMPUTED_VALUE"""),10121.0)</f>
        <v>10121</v>
      </c>
    </row>
    <row r="422">
      <c r="A422" s="1" t="str">
        <f>IFERROR(__xludf.DUMMYFUNCTION("""COMPUTED_VALUE"""),"Irwin Union Bank and Trust Company")</f>
        <v>Irwin Union Bank and Trust Company</v>
      </c>
      <c r="B422" s="1" t="str">
        <f>IFERROR(__xludf.DUMMYFUNCTION("""COMPUTED_VALUE"""),"Columbus")</f>
        <v>Columbus</v>
      </c>
      <c r="C422" s="1" t="str">
        <f>IFERROR(__xludf.DUMMYFUNCTION("""COMPUTED_VALUE"""),"IN")</f>
        <v>IN</v>
      </c>
      <c r="D422" s="1">
        <f>IFERROR(__xludf.DUMMYFUNCTION("""COMPUTED_VALUE"""),10100.0)</f>
        <v>10100</v>
      </c>
      <c r="E422" s="1" t="str">
        <f>IFERROR(__xludf.DUMMYFUNCTION("""COMPUTED_VALUE"""),"First Financial Bank, N.A.")</f>
        <v>First Financial Bank, N.A.</v>
      </c>
      <c r="F422" s="2">
        <f>IFERROR(__xludf.DUMMYFUNCTION("""COMPUTED_VALUE"""),40074.0)</f>
        <v>40074</v>
      </c>
      <c r="G422" s="1">
        <f>IFERROR(__xludf.DUMMYFUNCTION("""COMPUTED_VALUE"""),10120.0)</f>
        <v>10120</v>
      </c>
    </row>
    <row r="423">
      <c r="A423" s="1" t="str">
        <f>IFERROR(__xludf.DUMMYFUNCTION("""COMPUTED_VALUE"""),"Venture Bank")</f>
        <v>Venture Bank</v>
      </c>
      <c r="B423" s="1" t="str">
        <f>IFERROR(__xludf.DUMMYFUNCTION("""COMPUTED_VALUE"""),"Lacey")</f>
        <v>Lacey</v>
      </c>
      <c r="C423" s="1" t="str">
        <f>IFERROR(__xludf.DUMMYFUNCTION("""COMPUTED_VALUE"""),"WA")</f>
        <v>WA</v>
      </c>
      <c r="D423" s="1">
        <f>IFERROR(__xludf.DUMMYFUNCTION("""COMPUTED_VALUE"""),22868.0)</f>
        <v>22868</v>
      </c>
      <c r="E423" s="1" t="str">
        <f>IFERROR(__xludf.DUMMYFUNCTION("""COMPUTED_VALUE"""),"First-Citizens Bank &amp; Trust Company")</f>
        <v>First-Citizens Bank &amp; Trust Company</v>
      </c>
      <c r="F423" s="2">
        <f>IFERROR(__xludf.DUMMYFUNCTION("""COMPUTED_VALUE"""),40067.0)</f>
        <v>40067</v>
      </c>
      <c r="G423" s="1">
        <f>IFERROR(__xludf.DUMMYFUNCTION("""COMPUTED_VALUE"""),10119.0)</f>
        <v>10119</v>
      </c>
    </row>
    <row r="424">
      <c r="A424" s="1" t="str">
        <f>IFERROR(__xludf.DUMMYFUNCTION("""COMPUTED_VALUE"""),"Brickwell Community Bank")</f>
        <v>Brickwell Community Bank</v>
      </c>
      <c r="B424" s="1" t="str">
        <f>IFERROR(__xludf.DUMMYFUNCTION("""COMPUTED_VALUE"""),"Woodbury")</f>
        <v>Woodbury</v>
      </c>
      <c r="C424" s="1" t="str">
        <f>IFERROR(__xludf.DUMMYFUNCTION("""COMPUTED_VALUE"""),"MN")</f>
        <v>MN</v>
      </c>
      <c r="D424" s="1">
        <f>IFERROR(__xludf.DUMMYFUNCTION("""COMPUTED_VALUE"""),57736.0)</f>
        <v>57736</v>
      </c>
      <c r="E424" s="1" t="str">
        <f>IFERROR(__xludf.DUMMYFUNCTION("""COMPUTED_VALUE"""),"CorTrust Bank N.A.")</f>
        <v>CorTrust Bank N.A.</v>
      </c>
      <c r="F424" s="2">
        <f>IFERROR(__xludf.DUMMYFUNCTION("""COMPUTED_VALUE"""),40067.0)</f>
        <v>40067</v>
      </c>
      <c r="G424" s="1">
        <f>IFERROR(__xludf.DUMMYFUNCTION("""COMPUTED_VALUE"""),10118.0)</f>
        <v>10118</v>
      </c>
    </row>
    <row r="425">
      <c r="A425" s="1" t="str">
        <f>IFERROR(__xludf.DUMMYFUNCTION("""COMPUTED_VALUE"""),"Corus Bank, N.A.")</f>
        <v>Corus Bank, N.A.</v>
      </c>
      <c r="B425" s="1" t="str">
        <f>IFERROR(__xludf.DUMMYFUNCTION("""COMPUTED_VALUE"""),"Chicago")</f>
        <v>Chicago</v>
      </c>
      <c r="C425" s="1" t="str">
        <f>IFERROR(__xludf.DUMMYFUNCTION("""COMPUTED_VALUE"""),"IL")</f>
        <v>IL</v>
      </c>
      <c r="D425" s="1">
        <f>IFERROR(__xludf.DUMMYFUNCTION("""COMPUTED_VALUE"""),13693.0)</f>
        <v>13693</v>
      </c>
      <c r="E425" s="1" t="str">
        <f>IFERROR(__xludf.DUMMYFUNCTION("""COMPUTED_VALUE"""),"MB Financial Bank, N.A.")</f>
        <v>MB Financial Bank, N.A.</v>
      </c>
      <c r="F425" s="2">
        <f>IFERROR(__xludf.DUMMYFUNCTION("""COMPUTED_VALUE"""),40067.0)</f>
        <v>40067</v>
      </c>
      <c r="G425" s="1">
        <f>IFERROR(__xludf.DUMMYFUNCTION("""COMPUTED_VALUE"""),10117.0)</f>
        <v>10117</v>
      </c>
    </row>
    <row r="426">
      <c r="A426" s="1" t="str">
        <f>IFERROR(__xludf.DUMMYFUNCTION("""COMPUTED_VALUE"""),"First State Bank")</f>
        <v>First State Bank</v>
      </c>
      <c r="B426" s="1" t="str">
        <f>IFERROR(__xludf.DUMMYFUNCTION("""COMPUTED_VALUE"""),"Flagstaff")</f>
        <v>Flagstaff</v>
      </c>
      <c r="C426" s="1" t="str">
        <f>IFERROR(__xludf.DUMMYFUNCTION("""COMPUTED_VALUE"""),"AZ")</f>
        <v>AZ</v>
      </c>
      <c r="D426" s="1">
        <f>IFERROR(__xludf.DUMMYFUNCTION("""COMPUTED_VALUE"""),34875.0)</f>
        <v>34875</v>
      </c>
      <c r="E426" s="1" t="str">
        <f>IFERROR(__xludf.DUMMYFUNCTION("""COMPUTED_VALUE"""),"Sunwest Bank")</f>
        <v>Sunwest Bank</v>
      </c>
      <c r="F426" s="2">
        <f>IFERROR(__xludf.DUMMYFUNCTION("""COMPUTED_VALUE"""),40060.0)</f>
        <v>40060</v>
      </c>
      <c r="G426" s="1">
        <f>IFERROR(__xludf.DUMMYFUNCTION("""COMPUTED_VALUE"""),10114.0)</f>
        <v>10114</v>
      </c>
    </row>
    <row r="427">
      <c r="A427" s="1" t="str">
        <f>IFERROR(__xludf.DUMMYFUNCTION("""COMPUTED_VALUE"""),"Platinum Community Bank")</f>
        <v>Platinum Community Bank</v>
      </c>
      <c r="B427" s="1" t="str">
        <f>IFERROR(__xludf.DUMMYFUNCTION("""COMPUTED_VALUE"""),"Rolling Meadows")</f>
        <v>Rolling Meadows</v>
      </c>
      <c r="C427" s="1" t="str">
        <f>IFERROR(__xludf.DUMMYFUNCTION("""COMPUTED_VALUE"""),"IL")</f>
        <v>IL</v>
      </c>
      <c r="D427" s="1">
        <f>IFERROR(__xludf.DUMMYFUNCTION("""COMPUTED_VALUE"""),35030.0)</f>
        <v>35030</v>
      </c>
      <c r="E427" s="1" t="str">
        <f>IFERROR(__xludf.DUMMYFUNCTION("""COMPUTED_VALUE"""),"No Acquirer")</f>
        <v>No Acquirer</v>
      </c>
      <c r="F427" s="2">
        <f>IFERROR(__xludf.DUMMYFUNCTION("""COMPUTED_VALUE"""),40060.0)</f>
        <v>40060</v>
      </c>
      <c r="G427" s="1">
        <f>IFERROR(__xludf.DUMMYFUNCTION("""COMPUTED_VALUE"""),10115.0)</f>
        <v>10115</v>
      </c>
    </row>
    <row r="428">
      <c r="A428" s="1" t="str">
        <f>IFERROR(__xludf.DUMMYFUNCTION("""COMPUTED_VALUE"""),"Vantus Bank")</f>
        <v>Vantus Bank</v>
      </c>
      <c r="B428" s="1" t="str">
        <f>IFERROR(__xludf.DUMMYFUNCTION("""COMPUTED_VALUE"""),"Sioux City")</f>
        <v>Sioux City</v>
      </c>
      <c r="C428" s="1" t="str">
        <f>IFERROR(__xludf.DUMMYFUNCTION("""COMPUTED_VALUE"""),"IA")</f>
        <v>IA</v>
      </c>
      <c r="D428" s="1">
        <f>IFERROR(__xludf.DUMMYFUNCTION("""COMPUTED_VALUE"""),27732.0)</f>
        <v>27732</v>
      </c>
      <c r="E428" s="1" t="str">
        <f>IFERROR(__xludf.DUMMYFUNCTION("""COMPUTED_VALUE"""),"Great Southern Bank")</f>
        <v>Great Southern Bank</v>
      </c>
      <c r="F428" s="2">
        <f>IFERROR(__xludf.DUMMYFUNCTION("""COMPUTED_VALUE"""),40060.0)</f>
        <v>40060</v>
      </c>
      <c r="G428" s="1">
        <f>IFERROR(__xludf.DUMMYFUNCTION("""COMPUTED_VALUE"""),10116.0)</f>
        <v>10116</v>
      </c>
    </row>
    <row r="429">
      <c r="A429" s="1" t="str">
        <f>IFERROR(__xludf.DUMMYFUNCTION("""COMPUTED_VALUE"""),"InBank")</f>
        <v>InBank</v>
      </c>
      <c r="B429" s="1" t="str">
        <f>IFERROR(__xludf.DUMMYFUNCTION("""COMPUTED_VALUE"""),"Oak Forest")</f>
        <v>Oak Forest</v>
      </c>
      <c r="C429" s="1" t="str">
        <f>IFERROR(__xludf.DUMMYFUNCTION("""COMPUTED_VALUE"""),"IL")</f>
        <v>IL</v>
      </c>
      <c r="D429" s="1">
        <f>IFERROR(__xludf.DUMMYFUNCTION("""COMPUTED_VALUE"""),20203.0)</f>
        <v>20203</v>
      </c>
      <c r="E429" s="1" t="str">
        <f>IFERROR(__xludf.DUMMYFUNCTION("""COMPUTED_VALUE"""),"MB Financial Bank, N.A.")</f>
        <v>MB Financial Bank, N.A.</v>
      </c>
      <c r="F429" s="2">
        <f>IFERROR(__xludf.DUMMYFUNCTION("""COMPUTED_VALUE"""),40060.0)</f>
        <v>40060</v>
      </c>
      <c r="G429" s="1">
        <f>IFERROR(__xludf.DUMMYFUNCTION("""COMPUTED_VALUE"""),10113.0)</f>
        <v>10113</v>
      </c>
    </row>
    <row r="430">
      <c r="A430" s="1" t="str">
        <f>IFERROR(__xludf.DUMMYFUNCTION("""COMPUTED_VALUE"""),"First Bank of Kansas City")</f>
        <v>First Bank of Kansas City</v>
      </c>
      <c r="B430" s="1" t="str">
        <f>IFERROR(__xludf.DUMMYFUNCTION("""COMPUTED_VALUE"""),"Kansas City")</f>
        <v>Kansas City</v>
      </c>
      <c r="C430" s="1" t="str">
        <f>IFERROR(__xludf.DUMMYFUNCTION("""COMPUTED_VALUE"""),"MO")</f>
        <v>MO</v>
      </c>
      <c r="D430" s="1">
        <f>IFERROR(__xludf.DUMMYFUNCTION("""COMPUTED_VALUE"""),25231.0)</f>
        <v>25231</v>
      </c>
      <c r="E430" s="1" t="str">
        <f>IFERROR(__xludf.DUMMYFUNCTION("""COMPUTED_VALUE"""),"Great American Bank")</f>
        <v>Great American Bank</v>
      </c>
      <c r="F430" s="2">
        <f>IFERROR(__xludf.DUMMYFUNCTION("""COMPUTED_VALUE"""),40060.0)</f>
        <v>40060</v>
      </c>
      <c r="G430" s="1">
        <f>IFERROR(__xludf.DUMMYFUNCTION("""COMPUTED_VALUE"""),10112.0)</f>
        <v>10112</v>
      </c>
    </row>
    <row r="431">
      <c r="A431" s="1" t="str">
        <f>IFERROR(__xludf.DUMMYFUNCTION("""COMPUTED_VALUE"""),"Affinity Bank")</f>
        <v>Affinity Bank</v>
      </c>
      <c r="B431" s="1" t="str">
        <f>IFERROR(__xludf.DUMMYFUNCTION("""COMPUTED_VALUE"""),"Ventura")</f>
        <v>Ventura</v>
      </c>
      <c r="C431" s="1" t="str">
        <f>IFERROR(__xludf.DUMMYFUNCTION("""COMPUTED_VALUE"""),"CA")</f>
        <v>CA</v>
      </c>
      <c r="D431" s="1">
        <f>IFERROR(__xludf.DUMMYFUNCTION("""COMPUTED_VALUE"""),27197.0)</f>
        <v>27197</v>
      </c>
      <c r="E431" s="1" t="str">
        <f>IFERROR(__xludf.DUMMYFUNCTION("""COMPUTED_VALUE"""),"Pacific Western Bank")</f>
        <v>Pacific Western Bank</v>
      </c>
      <c r="F431" s="2">
        <f>IFERROR(__xludf.DUMMYFUNCTION("""COMPUTED_VALUE"""),40053.0)</f>
        <v>40053</v>
      </c>
      <c r="G431" s="1">
        <f>IFERROR(__xludf.DUMMYFUNCTION("""COMPUTED_VALUE"""),10110.0)</f>
        <v>10110</v>
      </c>
    </row>
    <row r="432">
      <c r="A432" s="1" t="str">
        <f>IFERROR(__xludf.DUMMYFUNCTION("""COMPUTED_VALUE"""),"Mainstreet Bank")</f>
        <v>Mainstreet Bank</v>
      </c>
      <c r="B432" s="1" t="str">
        <f>IFERROR(__xludf.DUMMYFUNCTION("""COMPUTED_VALUE"""),"Forest Lake")</f>
        <v>Forest Lake</v>
      </c>
      <c r="C432" s="1" t="str">
        <f>IFERROR(__xludf.DUMMYFUNCTION("""COMPUTED_VALUE"""),"MN")</f>
        <v>MN</v>
      </c>
      <c r="D432" s="1">
        <f>IFERROR(__xludf.DUMMYFUNCTION("""COMPUTED_VALUE"""),1909.0)</f>
        <v>1909</v>
      </c>
      <c r="E432" s="1" t="str">
        <f>IFERROR(__xludf.DUMMYFUNCTION("""COMPUTED_VALUE"""),"Central Bank")</f>
        <v>Central Bank</v>
      </c>
      <c r="F432" s="2">
        <f>IFERROR(__xludf.DUMMYFUNCTION("""COMPUTED_VALUE"""),40053.0)</f>
        <v>40053</v>
      </c>
      <c r="G432" s="1">
        <f>IFERROR(__xludf.DUMMYFUNCTION("""COMPUTED_VALUE"""),10111.0)</f>
        <v>10111</v>
      </c>
    </row>
    <row r="433">
      <c r="A433" s="1" t="str">
        <f>IFERROR(__xludf.DUMMYFUNCTION("""COMPUTED_VALUE"""),"Bradford Bank")</f>
        <v>Bradford Bank</v>
      </c>
      <c r="B433" s="1" t="str">
        <f>IFERROR(__xludf.DUMMYFUNCTION("""COMPUTED_VALUE"""),"Baltimore")</f>
        <v>Baltimore</v>
      </c>
      <c r="C433" s="1" t="str">
        <f>IFERROR(__xludf.DUMMYFUNCTION("""COMPUTED_VALUE"""),"MD")</f>
        <v>MD</v>
      </c>
      <c r="D433" s="1">
        <f>IFERROR(__xludf.DUMMYFUNCTION("""COMPUTED_VALUE"""),28312.0)</f>
        <v>28312</v>
      </c>
      <c r="E433" s="1" t="str">
        <f>IFERROR(__xludf.DUMMYFUNCTION("""COMPUTED_VALUE"""),"Manufacturers and Traders Trust Company (M&amp;T Bank)")</f>
        <v>Manufacturers and Traders Trust Company (M&amp;T Bank)</v>
      </c>
      <c r="F433" s="2">
        <f>IFERROR(__xludf.DUMMYFUNCTION("""COMPUTED_VALUE"""),40053.0)</f>
        <v>40053</v>
      </c>
      <c r="G433" s="1">
        <f>IFERROR(__xludf.DUMMYFUNCTION("""COMPUTED_VALUE"""),10109.0)</f>
        <v>10109</v>
      </c>
    </row>
    <row r="434">
      <c r="A434" s="1" t="str">
        <f>IFERROR(__xludf.DUMMYFUNCTION("""COMPUTED_VALUE"""),"Guaranty Bank")</f>
        <v>Guaranty Bank</v>
      </c>
      <c r="B434" s="1" t="str">
        <f>IFERROR(__xludf.DUMMYFUNCTION("""COMPUTED_VALUE"""),"Austin")</f>
        <v>Austin</v>
      </c>
      <c r="C434" s="1" t="str">
        <f>IFERROR(__xludf.DUMMYFUNCTION("""COMPUTED_VALUE"""),"TX")</f>
        <v>TX</v>
      </c>
      <c r="D434" s="1">
        <f>IFERROR(__xludf.DUMMYFUNCTION("""COMPUTED_VALUE"""),32618.0)</f>
        <v>32618</v>
      </c>
      <c r="E434" s="1" t="str">
        <f>IFERROR(__xludf.DUMMYFUNCTION("""COMPUTED_VALUE"""),"BBVA Compass")</f>
        <v>BBVA Compass</v>
      </c>
      <c r="F434" s="2">
        <f>IFERROR(__xludf.DUMMYFUNCTION("""COMPUTED_VALUE"""),40046.0)</f>
        <v>40046</v>
      </c>
      <c r="G434" s="1">
        <f>IFERROR(__xludf.DUMMYFUNCTION("""COMPUTED_VALUE"""),10105.0)</f>
        <v>10105</v>
      </c>
    </row>
    <row r="435">
      <c r="A435" s="1" t="str">
        <f>IFERROR(__xludf.DUMMYFUNCTION("""COMPUTED_VALUE"""),"CapitalSouth Bank")</f>
        <v>CapitalSouth Bank</v>
      </c>
      <c r="B435" s="1" t="str">
        <f>IFERROR(__xludf.DUMMYFUNCTION("""COMPUTED_VALUE"""),"Birmingham")</f>
        <v>Birmingham</v>
      </c>
      <c r="C435" s="1" t="str">
        <f>IFERROR(__xludf.DUMMYFUNCTION("""COMPUTED_VALUE"""),"AL")</f>
        <v>AL</v>
      </c>
      <c r="D435" s="1">
        <f>IFERROR(__xludf.DUMMYFUNCTION("""COMPUTED_VALUE"""),22130.0)</f>
        <v>22130</v>
      </c>
      <c r="E435" s="1" t="str">
        <f>IFERROR(__xludf.DUMMYFUNCTION("""COMPUTED_VALUE"""),"IBERIABANK")</f>
        <v>IBERIABANK</v>
      </c>
      <c r="F435" s="2">
        <f>IFERROR(__xludf.DUMMYFUNCTION("""COMPUTED_VALUE"""),40046.0)</f>
        <v>40046</v>
      </c>
      <c r="G435" s="1">
        <f>IFERROR(__xludf.DUMMYFUNCTION("""COMPUTED_VALUE"""),10106.0)</f>
        <v>10106</v>
      </c>
    </row>
    <row r="436">
      <c r="A436" s="1" t="str">
        <f>IFERROR(__xludf.DUMMYFUNCTION("""COMPUTED_VALUE"""),"First Coweta Bank")</f>
        <v>First Coweta Bank</v>
      </c>
      <c r="B436" s="1" t="str">
        <f>IFERROR(__xludf.DUMMYFUNCTION("""COMPUTED_VALUE"""),"Newnan")</f>
        <v>Newnan</v>
      </c>
      <c r="C436" s="1" t="str">
        <f>IFERROR(__xludf.DUMMYFUNCTION("""COMPUTED_VALUE"""),"GA")</f>
        <v>GA</v>
      </c>
      <c r="D436" s="1">
        <f>IFERROR(__xludf.DUMMYFUNCTION("""COMPUTED_VALUE"""),57702.0)</f>
        <v>57702</v>
      </c>
      <c r="E436" s="1" t="str">
        <f>IFERROR(__xludf.DUMMYFUNCTION("""COMPUTED_VALUE"""),"United Bank")</f>
        <v>United Bank</v>
      </c>
      <c r="F436" s="2">
        <f>IFERROR(__xludf.DUMMYFUNCTION("""COMPUTED_VALUE"""),40046.0)</f>
        <v>40046</v>
      </c>
      <c r="G436" s="1">
        <f>IFERROR(__xludf.DUMMYFUNCTION("""COMPUTED_VALUE"""),10108.0)</f>
        <v>10108</v>
      </c>
    </row>
    <row r="437">
      <c r="A437" s="1" t="str">
        <f>IFERROR(__xludf.DUMMYFUNCTION("""COMPUTED_VALUE"""),"ebank")</f>
        <v>ebank</v>
      </c>
      <c r="B437" s="1" t="str">
        <f>IFERROR(__xludf.DUMMYFUNCTION("""COMPUTED_VALUE"""),"Atlanta")</f>
        <v>Atlanta</v>
      </c>
      <c r="C437" s="1" t="str">
        <f>IFERROR(__xludf.DUMMYFUNCTION("""COMPUTED_VALUE"""),"GA")</f>
        <v>GA</v>
      </c>
      <c r="D437" s="1">
        <f>IFERROR(__xludf.DUMMYFUNCTION("""COMPUTED_VALUE"""),34682.0)</f>
        <v>34682</v>
      </c>
      <c r="E437" s="1" t="str">
        <f>IFERROR(__xludf.DUMMYFUNCTION("""COMPUTED_VALUE"""),"Stearns Bank, N.A.")</f>
        <v>Stearns Bank, N.A.</v>
      </c>
      <c r="F437" s="2">
        <f>IFERROR(__xludf.DUMMYFUNCTION("""COMPUTED_VALUE"""),40046.0)</f>
        <v>40046</v>
      </c>
      <c r="G437" s="1">
        <f>IFERROR(__xludf.DUMMYFUNCTION("""COMPUTED_VALUE"""),10107.0)</f>
        <v>10107</v>
      </c>
    </row>
    <row r="438">
      <c r="A438" s="1" t="str">
        <f>IFERROR(__xludf.DUMMYFUNCTION("""COMPUTED_VALUE"""),"Community Bank of Nevada")</f>
        <v>Community Bank of Nevada</v>
      </c>
      <c r="B438" s="1" t="str">
        <f>IFERROR(__xludf.DUMMYFUNCTION("""COMPUTED_VALUE"""),"Las Vegas")</f>
        <v>Las Vegas</v>
      </c>
      <c r="C438" s="1" t="str">
        <f>IFERROR(__xludf.DUMMYFUNCTION("""COMPUTED_VALUE"""),"NV")</f>
        <v>NV</v>
      </c>
      <c r="D438" s="1">
        <f>IFERROR(__xludf.DUMMYFUNCTION("""COMPUTED_VALUE"""),34043.0)</f>
        <v>34043</v>
      </c>
      <c r="E438" s="1" t="str">
        <f>IFERROR(__xludf.DUMMYFUNCTION("""COMPUTED_VALUE"""),"No Acquirer")</f>
        <v>No Acquirer</v>
      </c>
      <c r="F438" s="2">
        <f>IFERROR(__xludf.DUMMYFUNCTION("""COMPUTED_VALUE"""),40039.0)</f>
        <v>40039</v>
      </c>
      <c r="G438" s="1">
        <f>IFERROR(__xludf.DUMMYFUNCTION("""COMPUTED_VALUE"""),10100.0)</f>
        <v>10100</v>
      </c>
    </row>
    <row r="439">
      <c r="A439" s="1" t="str">
        <f>IFERROR(__xludf.DUMMYFUNCTION("""COMPUTED_VALUE"""),"Community Bank of Arizona")</f>
        <v>Community Bank of Arizona</v>
      </c>
      <c r="B439" s="1" t="str">
        <f>IFERROR(__xludf.DUMMYFUNCTION("""COMPUTED_VALUE"""),"Phoenix")</f>
        <v>Phoenix</v>
      </c>
      <c r="C439" s="1" t="str">
        <f>IFERROR(__xludf.DUMMYFUNCTION("""COMPUTED_VALUE"""),"AZ")</f>
        <v>AZ</v>
      </c>
      <c r="D439" s="1">
        <f>IFERROR(__xludf.DUMMYFUNCTION("""COMPUTED_VALUE"""),57645.0)</f>
        <v>57645</v>
      </c>
      <c r="E439" s="1" t="str">
        <f>IFERROR(__xludf.DUMMYFUNCTION("""COMPUTED_VALUE"""),"MidFirst Bank")</f>
        <v>MidFirst Bank</v>
      </c>
      <c r="F439" s="2">
        <f>IFERROR(__xludf.DUMMYFUNCTION("""COMPUTED_VALUE"""),40039.0)</f>
        <v>40039</v>
      </c>
      <c r="G439" s="1">
        <f>IFERROR(__xludf.DUMMYFUNCTION("""COMPUTED_VALUE"""),10101.0)</f>
        <v>10101</v>
      </c>
    </row>
    <row r="440">
      <c r="A440" s="1" t="str">
        <f>IFERROR(__xludf.DUMMYFUNCTION("""COMPUTED_VALUE"""),"Union Bank, National Association")</f>
        <v>Union Bank, National Association</v>
      </c>
      <c r="B440" s="1" t="str">
        <f>IFERROR(__xludf.DUMMYFUNCTION("""COMPUTED_VALUE"""),"Gilbert")</f>
        <v>Gilbert</v>
      </c>
      <c r="C440" s="1" t="str">
        <f>IFERROR(__xludf.DUMMYFUNCTION("""COMPUTED_VALUE"""),"AZ")</f>
        <v>AZ</v>
      </c>
      <c r="D440" s="1">
        <f>IFERROR(__xludf.DUMMYFUNCTION("""COMPUTED_VALUE"""),34485.0)</f>
        <v>34485</v>
      </c>
      <c r="E440" s="1" t="str">
        <f>IFERROR(__xludf.DUMMYFUNCTION("""COMPUTED_VALUE"""),"MidFirst Bank")</f>
        <v>MidFirst Bank</v>
      </c>
      <c r="F440" s="2">
        <f>IFERROR(__xludf.DUMMYFUNCTION("""COMPUTED_VALUE"""),40039.0)</f>
        <v>40039</v>
      </c>
      <c r="G440" s="1">
        <f>IFERROR(__xludf.DUMMYFUNCTION("""COMPUTED_VALUE"""),10102.0)</f>
        <v>10102</v>
      </c>
    </row>
    <row r="441">
      <c r="A441" s="1" t="str">
        <f>IFERROR(__xludf.DUMMYFUNCTION("""COMPUTED_VALUE"""),"Colonial Bank")</f>
        <v>Colonial Bank</v>
      </c>
      <c r="B441" s="1" t="str">
        <f>IFERROR(__xludf.DUMMYFUNCTION("""COMPUTED_VALUE"""),"Montgomery")</f>
        <v>Montgomery</v>
      </c>
      <c r="C441" s="1" t="str">
        <f>IFERROR(__xludf.DUMMYFUNCTION("""COMPUTED_VALUE"""),"AL")</f>
        <v>AL</v>
      </c>
      <c r="D441" s="1">
        <f>IFERROR(__xludf.DUMMYFUNCTION("""COMPUTED_VALUE"""),9609.0)</f>
        <v>9609</v>
      </c>
      <c r="E441" s="1" t="str">
        <f>IFERROR(__xludf.DUMMYFUNCTION("""COMPUTED_VALUE"""),"Branch Banking &amp; Trust Company, (BB&amp;T)")</f>
        <v>Branch Banking &amp; Trust Company, (BB&amp;T)</v>
      </c>
      <c r="F441" s="2">
        <f>IFERROR(__xludf.DUMMYFUNCTION("""COMPUTED_VALUE"""),40039.0)</f>
        <v>40039</v>
      </c>
      <c r="G441" s="1">
        <f>IFERROR(__xludf.DUMMYFUNCTION("""COMPUTED_VALUE"""),10103.0)</f>
        <v>10103</v>
      </c>
    </row>
    <row r="442">
      <c r="A442" s="1" t="str">
        <f>IFERROR(__xludf.DUMMYFUNCTION("""COMPUTED_VALUE"""),"Dwelling House Savings and Loan Association")</f>
        <v>Dwelling House Savings and Loan Association</v>
      </c>
      <c r="B442" s="1" t="str">
        <f>IFERROR(__xludf.DUMMYFUNCTION("""COMPUTED_VALUE"""),"Pittsburgh")</f>
        <v>Pittsburgh</v>
      </c>
      <c r="C442" s="1" t="str">
        <f>IFERROR(__xludf.DUMMYFUNCTION("""COMPUTED_VALUE"""),"PA")</f>
        <v>PA</v>
      </c>
      <c r="D442" s="1">
        <f>IFERROR(__xludf.DUMMYFUNCTION("""COMPUTED_VALUE"""),31559.0)</f>
        <v>31559</v>
      </c>
      <c r="E442" s="1" t="str">
        <f>IFERROR(__xludf.DUMMYFUNCTION("""COMPUTED_VALUE"""),"PNC Bank, N.A.")</f>
        <v>PNC Bank, N.A.</v>
      </c>
      <c r="F442" s="2">
        <f>IFERROR(__xludf.DUMMYFUNCTION("""COMPUTED_VALUE"""),40039.0)</f>
        <v>40039</v>
      </c>
      <c r="G442" s="1">
        <f>IFERROR(__xludf.DUMMYFUNCTION("""COMPUTED_VALUE"""),10104.0)</f>
        <v>10104</v>
      </c>
    </row>
    <row r="443">
      <c r="A443" s="1" t="str">
        <f>IFERROR(__xludf.DUMMYFUNCTION("""COMPUTED_VALUE"""),"Community First Bank")</f>
        <v>Community First Bank</v>
      </c>
      <c r="B443" s="1" t="str">
        <f>IFERROR(__xludf.DUMMYFUNCTION("""COMPUTED_VALUE"""),"Prineville")</f>
        <v>Prineville</v>
      </c>
      <c r="C443" s="1" t="str">
        <f>IFERROR(__xludf.DUMMYFUNCTION("""COMPUTED_VALUE"""),"OR")</f>
        <v>OR</v>
      </c>
      <c r="D443" s="1">
        <f>IFERROR(__xludf.DUMMYFUNCTION("""COMPUTED_VALUE"""),23268.0)</f>
        <v>23268</v>
      </c>
      <c r="E443" s="1" t="str">
        <f>IFERROR(__xludf.DUMMYFUNCTION("""COMPUTED_VALUE"""),"Home Federal Bank")</f>
        <v>Home Federal Bank</v>
      </c>
      <c r="F443" s="2">
        <f>IFERROR(__xludf.DUMMYFUNCTION("""COMPUTED_VALUE"""),40032.0)</f>
        <v>40032</v>
      </c>
      <c r="G443" s="1">
        <f>IFERROR(__xludf.DUMMYFUNCTION("""COMPUTED_VALUE"""),10092.0)</f>
        <v>10092</v>
      </c>
    </row>
    <row r="444">
      <c r="A444" s="1" t="str">
        <f>IFERROR(__xludf.DUMMYFUNCTION("""COMPUTED_VALUE"""),"Community National Bank of Sarasota County")</f>
        <v>Community National Bank of Sarasota County</v>
      </c>
      <c r="B444" s="1" t="str">
        <f>IFERROR(__xludf.DUMMYFUNCTION("""COMPUTED_VALUE"""),"Venice")</f>
        <v>Venice</v>
      </c>
      <c r="C444" s="1" t="str">
        <f>IFERROR(__xludf.DUMMYFUNCTION("""COMPUTED_VALUE"""),"FL")</f>
        <v>FL</v>
      </c>
      <c r="D444" s="1">
        <f>IFERROR(__xludf.DUMMYFUNCTION("""COMPUTED_VALUE"""),27183.0)</f>
        <v>27183</v>
      </c>
      <c r="E444" s="1" t="str">
        <f>IFERROR(__xludf.DUMMYFUNCTION("""COMPUTED_VALUE"""),"Stearns Bank, N.A.")</f>
        <v>Stearns Bank, N.A.</v>
      </c>
      <c r="F444" s="2">
        <f>IFERROR(__xludf.DUMMYFUNCTION("""COMPUTED_VALUE"""),40032.0)</f>
        <v>40032</v>
      </c>
      <c r="G444" s="1">
        <f>IFERROR(__xludf.DUMMYFUNCTION("""COMPUTED_VALUE"""),10099.0)</f>
        <v>10099</v>
      </c>
    </row>
    <row r="445">
      <c r="A445" s="1" t="str">
        <f>IFERROR(__xludf.DUMMYFUNCTION("""COMPUTED_VALUE"""),"First State Bank")</f>
        <v>First State Bank</v>
      </c>
      <c r="B445" s="1" t="str">
        <f>IFERROR(__xludf.DUMMYFUNCTION("""COMPUTED_VALUE"""),"Sarasota")</f>
        <v>Sarasota</v>
      </c>
      <c r="C445" s="1" t="str">
        <f>IFERROR(__xludf.DUMMYFUNCTION("""COMPUTED_VALUE"""),"FL")</f>
        <v>FL</v>
      </c>
      <c r="D445" s="1">
        <f>IFERROR(__xludf.DUMMYFUNCTION("""COMPUTED_VALUE"""),27364.0)</f>
        <v>27364</v>
      </c>
      <c r="E445" s="1" t="str">
        <f>IFERROR(__xludf.DUMMYFUNCTION("""COMPUTED_VALUE"""),"Stearns Bank, N.A.")</f>
        <v>Stearns Bank, N.A.</v>
      </c>
      <c r="F445" s="2">
        <f>IFERROR(__xludf.DUMMYFUNCTION("""COMPUTED_VALUE"""),40032.0)</f>
        <v>40032</v>
      </c>
      <c r="G445" s="1">
        <f>IFERROR(__xludf.DUMMYFUNCTION("""COMPUTED_VALUE"""),10098.0)</f>
        <v>10098</v>
      </c>
    </row>
    <row r="446">
      <c r="A446" s="1" t="str">
        <f>IFERROR(__xludf.DUMMYFUNCTION("""COMPUTED_VALUE"""),"Mutual Bank")</f>
        <v>Mutual Bank</v>
      </c>
      <c r="B446" s="1" t="str">
        <f>IFERROR(__xludf.DUMMYFUNCTION("""COMPUTED_VALUE"""),"Harvey")</f>
        <v>Harvey</v>
      </c>
      <c r="C446" s="1" t="str">
        <f>IFERROR(__xludf.DUMMYFUNCTION("""COMPUTED_VALUE"""),"IL")</f>
        <v>IL</v>
      </c>
      <c r="D446" s="1">
        <f>IFERROR(__xludf.DUMMYFUNCTION("""COMPUTED_VALUE"""),18659.0)</f>
        <v>18659</v>
      </c>
      <c r="E446" s="1" t="str">
        <f>IFERROR(__xludf.DUMMYFUNCTION("""COMPUTED_VALUE"""),"United Central Bank")</f>
        <v>United Central Bank</v>
      </c>
      <c r="F446" s="2">
        <f>IFERROR(__xludf.DUMMYFUNCTION("""COMPUTED_VALUE"""),40025.0)</f>
        <v>40025</v>
      </c>
      <c r="G446" s="1">
        <f>IFERROR(__xludf.DUMMYFUNCTION("""COMPUTED_VALUE"""),10094.0)</f>
        <v>10094</v>
      </c>
    </row>
    <row r="447">
      <c r="A447" s="1" t="str">
        <f>IFERROR(__xludf.DUMMYFUNCTION("""COMPUTED_VALUE"""),"First BankAmericano")</f>
        <v>First BankAmericano</v>
      </c>
      <c r="B447" s="1" t="str">
        <f>IFERROR(__xludf.DUMMYFUNCTION("""COMPUTED_VALUE"""),"Elizabeth")</f>
        <v>Elizabeth</v>
      </c>
      <c r="C447" s="1" t="str">
        <f>IFERROR(__xludf.DUMMYFUNCTION("""COMPUTED_VALUE"""),"NJ")</f>
        <v>NJ</v>
      </c>
      <c r="D447" s="1">
        <f>IFERROR(__xludf.DUMMYFUNCTION("""COMPUTED_VALUE"""),34270.0)</f>
        <v>34270</v>
      </c>
      <c r="E447" s="1" t="str">
        <f>IFERROR(__xludf.DUMMYFUNCTION("""COMPUTED_VALUE"""),"Crown Bank")</f>
        <v>Crown Bank</v>
      </c>
      <c r="F447" s="2">
        <f>IFERROR(__xludf.DUMMYFUNCTION("""COMPUTED_VALUE"""),40025.0)</f>
        <v>40025</v>
      </c>
      <c r="G447" s="1">
        <f>IFERROR(__xludf.DUMMYFUNCTION("""COMPUTED_VALUE"""),10097.0)</f>
        <v>10097</v>
      </c>
    </row>
    <row r="448">
      <c r="A448" s="1" t="str">
        <f>IFERROR(__xludf.DUMMYFUNCTION("""COMPUTED_VALUE"""),"Peoples Community Bank")</f>
        <v>Peoples Community Bank</v>
      </c>
      <c r="B448" s="1" t="str">
        <f>IFERROR(__xludf.DUMMYFUNCTION("""COMPUTED_VALUE"""),"West Chester")</f>
        <v>West Chester</v>
      </c>
      <c r="C448" s="1" t="str">
        <f>IFERROR(__xludf.DUMMYFUNCTION("""COMPUTED_VALUE"""),"OH")</f>
        <v>OH</v>
      </c>
      <c r="D448" s="1">
        <f>IFERROR(__xludf.DUMMYFUNCTION("""COMPUTED_VALUE"""),32288.0)</f>
        <v>32288</v>
      </c>
      <c r="E448" s="1" t="str">
        <f>IFERROR(__xludf.DUMMYFUNCTION("""COMPUTED_VALUE"""),"First Financial Bank, N.A.")</f>
        <v>First Financial Bank, N.A.</v>
      </c>
      <c r="F448" s="2">
        <f>IFERROR(__xludf.DUMMYFUNCTION("""COMPUTED_VALUE"""),40025.0)</f>
        <v>40025</v>
      </c>
      <c r="G448" s="1">
        <f>IFERROR(__xludf.DUMMYFUNCTION("""COMPUTED_VALUE"""),10096.0)</f>
        <v>10096</v>
      </c>
    </row>
    <row r="449">
      <c r="A449" s="1" t="str">
        <f>IFERROR(__xludf.DUMMYFUNCTION("""COMPUTED_VALUE"""),"Integrity Bank")</f>
        <v>Integrity Bank</v>
      </c>
      <c r="B449" s="1" t="str">
        <f>IFERROR(__xludf.DUMMYFUNCTION("""COMPUTED_VALUE"""),"Jupiter")</f>
        <v>Jupiter</v>
      </c>
      <c r="C449" s="1" t="str">
        <f>IFERROR(__xludf.DUMMYFUNCTION("""COMPUTED_VALUE"""),"FL")</f>
        <v>FL</v>
      </c>
      <c r="D449" s="1">
        <f>IFERROR(__xludf.DUMMYFUNCTION("""COMPUTED_VALUE"""),57604.0)</f>
        <v>57604</v>
      </c>
      <c r="E449" s="1" t="str">
        <f>IFERROR(__xludf.DUMMYFUNCTION("""COMPUTED_VALUE"""),"Stonegate Bank")</f>
        <v>Stonegate Bank</v>
      </c>
      <c r="F449" s="2">
        <f>IFERROR(__xludf.DUMMYFUNCTION("""COMPUTED_VALUE"""),40025.0)</f>
        <v>40025</v>
      </c>
      <c r="G449" s="1">
        <f>IFERROR(__xludf.DUMMYFUNCTION("""COMPUTED_VALUE"""),10095.0)</f>
        <v>10095</v>
      </c>
    </row>
    <row r="450">
      <c r="A450" s="1" t="str">
        <f>IFERROR(__xludf.DUMMYFUNCTION("""COMPUTED_VALUE"""),"First State Bank of Altus")</f>
        <v>First State Bank of Altus</v>
      </c>
      <c r="B450" s="1" t="str">
        <f>IFERROR(__xludf.DUMMYFUNCTION("""COMPUTED_VALUE"""),"Altus")</f>
        <v>Altus</v>
      </c>
      <c r="C450" s="1" t="str">
        <f>IFERROR(__xludf.DUMMYFUNCTION("""COMPUTED_VALUE"""),"OK")</f>
        <v>OK</v>
      </c>
      <c r="D450" s="1">
        <f>IFERROR(__xludf.DUMMYFUNCTION("""COMPUTED_VALUE"""),9873.0)</f>
        <v>9873</v>
      </c>
      <c r="E450" s="1" t="str">
        <f>IFERROR(__xludf.DUMMYFUNCTION("""COMPUTED_VALUE"""),"Herring Bank")</f>
        <v>Herring Bank</v>
      </c>
      <c r="F450" s="2">
        <f>IFERROR(__xludf.DUMMYFUNCTION("""COMPUTED_VALUE"""),40025.0)</f>
        <v>40025</v>
      </c>
      <c r="G450" s="1">
        <f>IFERROR(__xludf.DUMMYFUNCTION("""COMPUTED_VALUE"""),10093.0)</f>
        <v>10093</v>
      </c>
    </row>
    <row r="451">
      <c r="A451" s="1" t="str">
        <f>IFERROR(__xludf.DUMMYFUNCTION("""COMPUTED_VALUE"""),"Security Bank of Jones County")</f>
        <v>Security Bank of Jones County</v>
      </c>
      <c r="B451" s="1" t="str">
        <f>IFERROR(__xludf.DUMMYFUNCTION("""COMPUTED_VALUE"""),"Gray")</f>
        <v>Gray</v>
      </c>
      <c r="C451" s="1" t="str">
        <f>IFERROR(__xludf.DUMMYFUNCTION("""COMPUTED_VALUE"""),"GA")</f>
        <v>GA</v>
      </c>
      <c r="D451" s="1">
        <f>IFERROR(__xludf.DUMMYFUNCTION("""COMPUTED_VALUE"""),8486.0)</f>
        <v>8486</v>
      </c>
      <c r="E451" s="1" t="str">
        <f>IFERROR(__xludf.DUMMYFUNCTION("""COMPUTED_VALUE"""),"State Bank and Trust Company")</f>
        <v>State Bank and Trust Company</v>
      </c>
      <c r="F451" s="2">
        <f>IFERROR(__xludf.DUMMYFUNCTION("""COMPUTED_VALUE"""),40018.0)</f>
        <v>40018</v>
      </c>
      <c r="G451" s="1">
        <f>IFERROR(__xludf.DUMMYFUNCTION("""COMPUTED_VALUE"""),10088.0)</f>
        <v>10088</v>
      </c>
    </row>
    <row r="452">
      <c r="A452" s="1" t="str">
        <f>IFERROR(__xludf.DUMMYFUNCTION("""COMPUTED_VALUE"""),"Security Bank of Houston County")</f>
        <v>Security Bank of Houston County</v>
      </c>
      <c r="B452" s="1" t="str">
        <f>IFERROR(__xludf.DUMMYFUNCTION("""COMPUTED_VALUE"""),"Perry")</f>
        <v>Perry</v>
      </c>
      <c r="C452" s="1" t="str">
        <f>IFERROR(__xludf.DUMMYFUNCTION("""COMPUTED_VALUE"""),"GA")</f>
        <v>GA</v>
      </c>
      <c r="D452" s="1">
        <f>IFERROR(__xludf.DUMMYFUNCTION("""COMPUTED_VALUE"""),27048.0)</f>
        <v>27048</v>
      </c>
      <c r="E452" s="1" t="str">
        <f>IFERROR(__xludf.DUMMYFUNCTION("""COMPUTED_VALUE"""),"State Bank and Trust Company")</f>
        <v>State Bank and Trust Company</v>
      </c>
      <c r="F452" s="2">
        <f>IFERROR(__xludf.DUMMYFUNCTION("""COMPUTED_VALUE"""),40018.0)</f>
        <v>40018</v>
      </c>
      <c r="G452" s="1">
        <f>IFERROR(__xludf.DUMMYFUNCTION("""COMPUTED_VALUE"""),10087.0)</f>
        <v>10087</v>
      </c>
    </row>
    <row r="453">
      <c r="A453" s="1" t="str">
        <f>IFERROR(__xludf.DUMMYFUNCTION("""COMPUTED_VALUE"""),"Security Bank of Bibb County")</f>
        <v>Security Bank of Bibb County</v>
      </c>
      <c r="B453" s="1" t="str">
        <f>IFERROR(__xludf.DUMMYFUNCTION("""COMPUTED_VALUE"""),"Macon")</f>
        <v>Macon</v>
      </c>
      <c r="C453" s="1" t="str">
        <f>IFERROR(__xludf.DUMMYFUNCTION("""COMPUTED_VALUE"""),"GA")</f>
        <v>GA</v>
      </c>
      <c r="D453" s="1">
        <f>IFERROR(__xludf.DUMMYFUNCTION("""COMPUTED_VALUE"""),27367.0)</f>
        <v>27367</v>
      </c>
      <c r="E453" s="1" t="str">
        <f>IFERROR(__xludf.DUMMYFUNCTION("""COMPUTED_VALUE"""),"State Bank and Trust Company")</f>
        <v>State Bank and Trust Company</v>
      </c>
      <c r="F453" s="2">
        <f>IFERROR(__xludf.DUMMYFUNCTION("""COMPUTED_VALUE"""),40018.0)</f>
        <v>40018</v>
      </c>
      <c r="G453" s="1">
        <f>IFERROR(__xludf.DUMMYFUNCTION("""COMPUTED_VALUE"""),10085.0)</f>
        <v>10085</v>
      </c>
    </row>
    <row r="454">
      <c r="A454" s="1" t="str">
        <f>IFERROR(__xludf.DUMMYFUNCTION("""COMPUTED_VALUE"""),"Security Bank of North Metro")</f>
        <v>Security Bank of North Metro</v>
      </c>
      <c r="B454" s="1" t="str">
        <f>IFERROR(__xludf.DUMMYFUNCTION("""COMPUTED_VALUE"""),"Woodstock")</f>
        <v>Woodstock</v>
      </c>
      <c r="C454" s="1" t="str">
        <f>IFERROR(__xludf.DUMMYFUNCTION("""COMPUTED_VALUE"""),"GA")</f>
        <v>GA</v>
      </c>
      <c r="D454" s="1">
        <f>IFERROR(__xludf.DUMMYFUNCTION("""COMPUTED_VALUE"""),57105.0)</f>
        <v>57105</v>
      </c>
      <c r="E454" s="1" t="str">
        <f>IFERROR(__xludf.DUMMYFUNCTION("""COMPUTED_VALUE"""),"State Bank and Trust Company")</f>
        <v>State Bank and Trust Company</v>
      </c>
      <c r="F454" s="2">
        <f>IFERROR(__xludf.DUMMYFUNCTION("""COMPUTED_VALUE"""),40018.0)</f>
        <v>40018</v>
      </c>
      <c r="G454" s="1">
        <f>IFERROR(__xludf.DUMMYFUNCTION("""COMPUTED_VALUE"""),10090.0)</f>
        <v>10090</v>
      </c>
    </row>
    <row r="455">
      <c r="A455" s="1" t="str">
        <f>IFERROR(__xludf.DUMMYFUNCTION("""COMPUTED_VALUE"""),"Security Bank of North Fulton")</f>
        <v>Security Bank of North Fulton</v>
      </c>
      <c r="B455" s="1" t="str">
        <f>IFERROR(__xludf.DUMMYFUNCTION("""COMPUTED_VALUE"""),"Alpharetta")</f>
        <v>Alpharetta</v>
      </c>
      <c r="C455" s="1" t="str">
        <f>IFERROR(__xludf.DUMMYFUNCTION("""COMPUTED_VALUE"""),"GA")</f>
        <v>GA</v>
      </c>
      <c r="D455" s="1">
        <f>IFERROR(__xludf.DUMMYFUNCTION("""COMPUTED_VALUE"""),57430.0)</f>
        <v>57430</v>
      </c>
      <c r="E455" s="1" t="str">
        <f>IFERROR(__xludf.DUMMYFUNCTION("""COMPUTED_VALUE"""),"State Bank and Trust Company")</f>
        <v>State Bank and Trust Company</v>
      </c>
      <c r="F455" s="2">
        <f>IFERROR(__xludf.DUMMYFUNCTION("""COMPUTED_VALUE"""),40018.0)</f>
        <v>40018</v>
      </c>
      <c r="G455" s="1">
        <f>IFERROR(__xludf.DUMMYFUNCTION("""COMPUTED_VALUE"""),10089.0)</f>
        <v>10089</v>
      </c>
    </row>
    <row r="456">
      <c r="A456" s="1" t="str">
        <f>IFERROR(__xludf.DUMMYFUNCTION("""COMPUTED_VALUE"""),"Security Bank of Gwinnett County")</f>
        <v>Security Bank of Gwinnett County</v>
      </c>
      <c r="B456" s="1" t="str">
        <f>IFERROR(__xludf.DUMMYFUNCTION("""COMPUTED_VALUE"""),"Suwanee")</f>
        <v>Suwanee</v>
      </c>
      <c r="C456" s="1" t="str">
        <f>IFERROR(__xludf.DUMMYFUNCTION("""COMPUTED_VALUE"""),"GA")</f>
        <v>GA</v>
      </c>
      <c r="D456" s="1">
        <f>IFERROR(__xludf.DUMMYFUNCTION("""COMPUTED_VALUE"""),57346.0)</f>
        <v>57346</v>
      </c>
      <c r="E456" s="1" t="str">
        <f>IFERROR(__xludf.DUMMYFUNCTION("""COMPUTED_VALUE"""),"State Bank and Trust Company")</f>
        <v>State Bank and Trust Company</v>
      </c>
      <c r="F456" s="2">
        <f>IFERROR(__xludf.DUMMYFUNCTION("""COMPUTED_VALUE"""),40018.0)</f>
        <v>40018</v>
      </c>
      <c r="G456" s="1">
        <f>IFERROR(__xludf.DUMMYFUNCTION("""COMPUTED_VALUE"""),10086.0)</f>
        <v>10086</v>
      </c>
    </row>
    <row r="457">
      <c r="A457" s="1" t="str">
        <f>IFERROR(__xludf.DUMMYFUNCTION("""COMPUTED_VALUE"""),"Waterford Village Bank")</f>
        <v>Waterford Village Bank</v>
      </c>
      <c r="B457" s="1" t="str">
        <f>IFERROR(__xludf.DUMMYFUNCTION("""COMPUTED_VALUE"""),"Williamsville")</f>
        <v>Williamsville</v>
      </c>
      <c r="C457" s="1" t="str">
        <f>IFERROR(__xludf.DUMMYFUNCTION("""COMPUTED_VALUE"""),"NY")</f>
        <v>NY</v>
      </c>
      <c r="D457" s="1">
        <f>IFERROR(__xludf.DUMMYFUNCTION("""COMPUTED_VALUE"""),58065.0)</f>
        <v>58065</v>
      </c>
      <c r="E457" s="1" t="str">
        <f>IFERROR(__xludf.DUMMYFUNCTION("""COMPUTED_VALUE"""),"Evans Bank, N.A.")</f>
        <v>Evans Bank, N.A.</v>
      </c>
      <c r="F457" s="2">
        <f>IFERROR(__xludf.DUMMYFUNCTION("""COMPUTED_VALUE"""),40018.0)</f>
        <v>40018</v>
      </c>
      <c r="G457" s="1">
        <f>IFERROR(__xludf.DUMMYFUNCTION("""COMPUTED_VALUE"""),10091.0)</f>
        <v>10091</v>
      </c>
    </row>
    <row r="458">
      <c r="A458" s="1" t="str">
        <f>IFERROR(__xludf.DUMMYFUNCTION("""COMPUTED_VALUE"""),"Temecula Valley Bank")</f>
        <v>Temecula Valley Bank</v>
      </c>
      <c r="B458" s="1" t="str">
        <f>IFERROR(__xludf.DUMMYFUNCTION("""COMPUTED_VALUE"""),"Temecula")</f>
        <v>Temecula</v>
      </c>
      <c r="C458" s="1" t="str">
        <f>IFERROR(__xludf.DUMMYFUNCTION("""COMPUTED_VALUE"""),"CA")</f>
        <v>CA</v>
      </c>
      <c r="D458" s="1">
        <f>IFERROR(__xludf.DUMMYFUNCTION("""COMPUTED_VALUE"""),34341.0)</f>
        <v>34341</v>
      </c>
      <c r="E458" s="1" t="str">
        <f>IFERROR(__xludf.DUMMYFUNCTION("""COMPUTED_VALUE"""),"First-Citizens Bank &amp; Trust Company")</f>
        <v>First-Citizens Bank &amp; Trust Company</v>
      </c>
      <c r="F458" s="2">
        <f>IFERROR(__xludf.DUMMYFUNCTION("""COMPUTED_VALUE"""),40011.0)</f>
        <v>40011</v>
      </c>
      <c r="G458" s="1">
        <f>IFERROR(__xludf.DUMMYFUNCTION("""COMPUTED_VALUE"""),10082.0)</f>
        <v>10082</v>
      </c>
    </row>
    <row r="459">
      <c r="A459" s="1" t="str">
        <f>IFERROR(__xludf.DUMMYFUNCTION("""COMPUTED_VALUE"""),"Vineyard Bank")</f>
        <v>Vineyard Bank</v>
      </c>
      <c r="B459" s="1" t="str">
        <f>IFERROR(__xludf.DUMMYFUNCTION("""COMPUTED_VALUE"""),"Rancho Cucamonga")</f>
        <v>Rancho Cucamonga</v>
      </c>
      <c r="C459" s="1" t="str">
        <f>IFERROR(__xludf.DUMMYFUNCTION("""COMPUTED_VALUE"""),"CA")</f>
        <v>CA</v>
      </c>
      <c r="D459" s="1">
        <f>IFERROR(__xludf.DUMMYFUNCTION("""COMPUTED_VALUE"""),23556.0)</f>
        <v>23556</v>
      </c>
      <c r="E459" s="1" t="str">
        <f>IFERROR(__xludf.DUMMYFUNCTION("""COMPUTED_VALUE"""),"California Bank &amp; Trust")</f>
        <v>California Bank &amp; Trust</v>
      </c>
      <c r="F459" s="2">
        <f>IFERROR(__xludf.DUMMYFUNCTION("""COMPUTED_VALUE"""),40011.0)</f>
        <v>40011</v>
      </c>
      <c r="G459" s="1">
        <f>IFERROR(__xludf.DUMMYFUNCTION("""COMPUTED_VALUE"""),10083.0)</f>
        <v>10083</v>
      </c>
    </row>
    <row r="460">
      <c r="A460" s="1" t="str">
        <f>IFERROR(__xludf.DUMMYFUNCTION("""COMPUTED_VALUE"""),"BankFirst")</f>
        <v>BankFirst</v>
      </c>
      <c r="B460" s="1" t="str">
        <f>IFERROR(__xludf.DUMMYFUNCTION("""COMPUTED_VALUE"""),"Sioux Falls")</f>
        <v>Sioux Falls</v>
      </c>
      <c r="C460" s="1" t="str">
        <f>IFERROR(__xludf.DUMMYFUNCTION("""COMPUTED_VALUE"""),"SD")</f>
        <v>SD</v>
      </c>
      <c r="D460" s="1">
        <f>IFERROR(__xludf.DUMMYFUNCTION("""COMPUTED_VALUE"""),34103.0)</f>
        <v>34103</v>
      </c>
      <c r="E460" s="1" t="str">
        <f>IFERROR(__xludf.DUMMYFUNCTION("""COMPUTED_VALUE"""),"Alerus Financial, N.A.")</f>
        <v>Alerus Financial, N.A.</v>
      </c>
      <c r="F460" s="2">
        <f>IFERROR(__xludf.DUMMYFUNCTION("""COMPUTED_VALUE"""),40011.0)</f>
        <v>40011</v>
      </c>
      <c r="G460" s="1">
        <f>IFERROR(__xludf.DUMMYFUNCTION("""COMPUTED_VALUE"""),10081.0)</f>
        <v>10081</v>
      </c>
    </row>
    <row r="461">
      <c r="A461" s="1" t="str">
        <f>IFERROR(__xludf.DUMMYFUNCTION("""COMPUTED_VALUE"""),"First Piedmont Bank")</f>
        <v>First Piedmont Bank</v>
      </c>
      <c r="B461" s="1" t="str">
        <f>IFERROR(__xludf.DUMMYFUNCTION("""COMPUTED_VALUE"""),"Winder")</f>
        <v>Winder</v>
      </c>
      <c r="C461" s="1" t="str">
        <f>IFERROR(__xludf.DUMMYFUNCTION("""COMPUTED_VALUE"""),"GA")</f>
        <v>GA</v>
      </c>
      <c r="D461" s="1">
        <f>IFERROR(__xludf.DUMMYFUNCTION("""COMPUTED_VALUE"""),34594.0)</f>
        <v>34594</v>
      </c>
      <c r="E461" s="1" t="str">
        <f>IFERROR(__xludf.DUMMYFUNCTION("""COMPUTED_VALUE"""),"First American Bank and Trust Company")</f>
        <v>First American Bank and Trust Company</v>
      </c>
      <c r="F461" s="2">
        <f>IFERROR(__xludf.DUMMYFUNCTION("""COMPUTED_VALUE"""),40011.0)</f>
        <v>40011</v>
      </c>
      <c r="G461" s="1">
        <f>IFERROR(__xludf.DUMMYFUNCTION("""COMPUTED_VALUE"""),10084.0)</f>
        <v>10084</v>
      </c>
    </row>
    <row r="462">
      <c r="A462" s="1" t="str">
        <f>IFERROR(__xludf.DUMMYFUNCTION("""COMPUTED_VALUE"""),"Bank of Wyoming")</f>
        <v>Bank of Wyoming</v>
      </c>
      <c r="B462" s="1" t="str">
        <f>IFERROR(__xludf.DUMMYFUNCTION("""COMPUTED_VALUE"""),"Thermopolis")</f>
        <v>Thermopolis</v>
      </c>
      <c r="C462" s="1" t="str">
        <f>IFERROR(__xludf.DUMMYFUNCTION("""COMPUTED_VALUE"""),"WY")</f>
        <v>WY</v>
      </c>
      <c r="D462" s="1">
        <f>IFERROR(__xludf.DUMMYFUNCTION("""COMPUTED_VALUE"""),22754.0)</f>
        <v>22754</v>
      </c>
      <c r="E462" s="1" t="str">
        <f>IFERROR(__xludf.DUMMYFUNCTION("""COMPUTED_VALUE"""),"Central Bank &amp; Trust")</f>
        <v>Central Bank &amp; Trust</v>
      </c>
      <c r="F462" s="2">
        <f>IFERROR(__xludf.DUMMYFUNCTION("""COMPUTED_VALUE"""),40004.0)</f>
        <v>40004</v>
      </c>
      <c r="G462" s="1">
        <f>IFERROR(__xludf.DUMMYFUNCTION("""COMPUTED_VALUE"""),10080.0)</f>
        <v>10080</v>
      </c>
    </row>
    <row r="463">
      <c r="A463" s="1" t="str">
        <f>IFERROR(__xludf.DUMMYFUNCTION("""COMPUTED_VALUE"""),"Founders Bank")</f>
        <v>Founders Bank</v>
      </c>
      <c r="B463" s="1" t="str">
        <f>IFERROR(__xludf.DUMMYFUNCTION("""COMPUTED_VALUE"""),"Worth")</f>
        <v>Worth</v>
      </c>
      <c r="C463" s="1" t="str">
        <f>IFERROR(__xludf.DUMMYFUNCTION("""COMPUTED_VALUE"""),"IL")</f>
        <v>IL</v>
      </c>
      <c r="D463" s="1">
        <f>IFERROR(__xludf.DUMMYFUNCTION("""COMPUTED_VALUE"""),18390.0)</f>
        <v>18390</v>
      </c>
      <c r="E463" s="1" t="str">
        <f>IFERROR(__xludf.DUMMYFUNCTION("""COMPUTED_VALUE"""),"The PrivateBank and Trust Company")</f>
        <v>The PrivateBank and Trust Company</v>
      </c>
      <c r="F463" s="2">
        <f>IFERROR(__xludf.DUMMYFUNCTION("""COMPUTED_VALUE"""),39996.0)</f>
        <v>39996</v>
      </c>
      <c r="G463" s="1">
        <f>IFERROR(__xludf.DUMMYFUNCTION("""COMPUTED_VALUE"""),10074.0)</f>
        <v>10074</v>
      </c>
    </row>
    <row r="464">
      <c r="A464" s="1" t="str">
        <f>IFERROR(__xludf.DUMMYFUNCTION("""COMPUTED_VALUE"""),"Millennium State Bank of Texas")</f>
        <v>Millennium State Bank of Texas</v>
      </c>
      <c r="B464" s="1" t="str">
        <f>IFERROR(__xludf.DUMMYFUNCTION("""COMPUTED_VALUE"""),"Dallas")</f>
        <v>Dallas</v>
      </c>
      <c r="C464" s="1" t="str">
        <f>IFERROR(__xludf.DUMMYFUNCTION("""COMPUTED_VALUE"""),"TX")</f>
        <v>TX</v>
      </c>
      <c r="D464" s="1">
        <f>IFERROR(__xludf.DUMMYFUNCTION("""COMPUTED_VALUE"""),57667.0)</f>
        <v>57667</v>
      </c>
      <c r="E464" s="1" t="str">
        <f>IFERROR(__xludf.DUMMYFUNCTION("""COMPUTED_VALUE"""),"State Bank of Texas")</f>
        <v>State Bank of Texas</v>
      </c>
      <c r="F464" s="2">
        <f>IFERROR(__xludf.DUMMYFUNCTION("""COMPUTED_VALUE"""),39996.0)</f>
        <v>39996</v>
      </c>
      <c r="G464" s="1">
        <f>IFERROR(__xludf.DUMMYFUNCTION("""COMPUTED_VALUE"""),10079.0)</f>
        <v>10079</v>
      </c>
    </row>
    <row r="465">
      <c r="A465" s="1" t="str">
        <f>IFERROR(__xludf.DUMMYFUNCTION("""COMPUTED_VALUE"""),"First National Bank of Danville")</f>
        <v>First National Bank of Danville</v>
      </c>
      <c r="B465" s="1" t="str">
        <f>IFERROR(__xludf.DUMMYFUNCTION("""COMPUTED_VALUE"""),"Danville")</f>
        <v>Danville</v>
      </c>
      <c r="C465" s="1" t="str">
        <f>IFERROR(__xludf.DUMMYFUNCTION("""COMPUTED_VALUE"""),"IL")</f>
        <v>IL</v>
      </c>
      <c r="D465" s="1">
        <f>IFERROR(__xludf.DUMMYFUNCTION("""COMPUTED_VALUE"""),3644.0)</f>
        <v>3644</v>
      </c>
      <c r="E465" s="1" t="str">
        <f>IFERROR(__xludf.DUMMYFUNCTION("""COMPUTED_VALUE"""),"First Financial Bank, N.A.")</f>
        <v>First Financial Bank, N.A.</v>
      </c>
      <c r="F465" s="2">
        <f>IFERROR(__xludf.DUMMYFUNCTION("""COMPUTED_VALUE"""),39996.0)</f>
        <v>39996</v>
      </c>
      <c r="G465" s="1">
        <f>IFERROR(__xludf.DUMMYFUNCTION("""COMPUTED_VALUE"""),10078.0)</f>
        <v>10078</v>
      </c>
    </row>
    <row r="466">
      <c r="A466" s="1" t="str">
        <f>IFERROR(__xludf.DUMMYFUNCTION("""COMPUTED_VALUE"""),"The Elizabeth State Bank")</f>
        <v>The Elizabeth State Bank</v>
      </c>
      <c r="B466" s="1" t="str">
        <f>IFERROR(__xludf.DUMMYFUNCTION("""COMPUTED_VALUE"""),"Elizabeth")</f>
        <v>Elizabeth</v>
      </c>
      <c r="C466" s="1" t="str">
        <f>IFERROR(__xludf.DUMMYFUNCTION("""COMPUTED_VALUE"""),"IL")</f>
        <v>IL</v>
      </c>
      <c r="D466" s="1">
        <f>IFERROR(__xludf.DUMMYFUNCTION("""COMPUTED_VALUE"""),9262.0)</f>
        <v>9262</v>
      </c>
      <c r="E466" s="1" t="str">
        <f>IFERROR(__xludf.DUMMYFUNCTION("""COMPUTED_VALUE"""),"Galena State Bank and Trust Company")</f>
        <v>Galena State Bank and Trust Company</v>
      </c>
      <c r="F466" s="2">
        <f>IFERROR(__xludf.DUMMYFUNCTION("""COMPUTED_VALUE"""),39996.0)</f>
        <v>39996</v>
      </c>
      <c r="G466" s="1">
        <f>IFERROR(__xludf.DUMMYFUNCTION("""COMPUTED_VALUE"""),10073.0)</f>
        <v>10073</v>
      </c>
    </row>
    <row r="467">
      <c r="A467" s="1" t="str">
        <f>IFERROR(__xludf.DUMMYFUNCTION("""COMPUTED_VALUE"""),"Rock River Bank")</f>
        <v>Rock River Bank</v>
      </c>
      <c r="B467" s="1" t="str">
        <f>IFERROR(__xludf.DUMMYFUNCTION("""COMPUTED_VALUE"""),"Oregon")</f>
        <v>Oregon</v>
      </c>
      <c r="C467" s="1" t="str">
        <f>IFERROR(__xludf.DUMMYFUNCTION("""COMPUTED_VALUE"""),"IL")</f>
        <v>IL</v>
      </c>
      <c r="D467" s="1">
        <f>IFERROR(__xludf.DUMMYFUNCTION("""COMPUTED_VALUE"""),15302.0)</f>
        <v>15302</v>
      </c>
      <c r="E467" s="1" t="str">
        <f>IFERROR(__xludf.DUMMYFUNCTION("""COMPUTED_VALUE"""),"The Harvard State Bank")</f>
        <v>The Harvard State Bank</v>
      </c>
      <c r="F467" s="2">
        <f>IFERROR(__xludf.DUMMYFUNCTION("""COMPUTED_VALUE"""),39996.0)</f>
        <v>39996</v>
      </c>
      <c r="G467" s="1">
        <f>IFERROR(__xludf.DUMMYFUNCTION("""COMPUTED_VALUE"""),10075.0)</f>
        <v>10075</v>
      </c>
    </row>
    <row r="468">
      <c r="A468" s="1" t="str">
        <f>IFERROR(__xludf.DUMMYFUNCTION("""COMPUTED_VALUE"""),"First State Bank of Winchester")</f>
        <v>First State Bank of Winchester</v>
      </c>
      <c r="B468" s="1" t="str">
        <f>IFERROR(__xludf.DUMMYFUNCTION("""COMPUTED_VALUE"""),"Winchester")</f>
        <v>Winchester</v>
      </c>
      <c r="C468" s="1" t="str">
        <f>IFERROR(__xludf.DUMMYFUNCTION("""COMPUTED_VALUE"""),"IL")</f>
        <v>IL</v>
      </c>
      <c r="D468" s="1">
        <f>IFERROR(__xludf.DUMMYFUNCTION("""COMPUTED_VALUE"""),11710.0)</f>
        <v>11710</v>
      </c>
      <c r="E468" s="1" t="str">
        <f>IFERROR(__xludf.DUMMYFUNCTION("""COMPUTED_VALUE"""),"The First National Bank of Beardstown")</f>
        <v>The First National Bank of Beardstown</v>
      </c>
      <c r="F468" s="2">
        <f>IFERROR(__xludf.DUMMYFUNCTION("""COMPUTED_VALUE"""),39996.0)</f>
        <v>39996</v>
      </c>
      <c r="G468" s="1">
        <f>IFERROR(__xludf.DUMMYFUNCTION("""COMPUTED_VALUE"""),10077.0)</f>
        <v>10077</v>
      </c>
    </row>
    <row r="469">
      <c r="A469" s="1" t="str">
        <f>IFERROR(__xludf.DUMMYFUNCTION("""COMPUTED_VALUE"""),"John Warner Bank")</f>
        <v>John Warner Bank</v>
      </c>
      <c r="B469" s="1" t="str">
        <f>IFERROR(__xludf.DUMMYFUNCTION("""COMPUTED_VALUE"""),"Clinton")</f>
        <v>Clinton</v>
      </c>
      <c r="C469" s="1" t="str">
        <f>IFERROR(__xludf.DUMMYFUNCTION("""COMPUTED_VALUE"""),"IL")</f>
        <v>IL</v>
      </c>
      <c r="D469" s="1">
        <f>IFERROR(__xludf.DUMMYFUNCTION("""COMPUTED_VALUE"""),12093.0)</f>
        <v>12093</v>
      </c>
      <c r="E469" s="1" t="str">
        <f>IFERROR(__xludf.DUMMYFUNCTION("""COMPUTED_VALUE"""),"State Bank of Lincoln")</f>
        <v>State Bank of Lincoln</v>
      </c>
      <c r="F469" s="2">
        <f>IFERROR(__xludf.DUMMYFUNCTION("""COMPUTED_VALUE"""),39996.0)</f>
        <v>39996</v>
      </c>
      <c r="G469" s="1">
        <f>IFERROR(__xludf.DUMMYFUNCTION("""COMPUTED_VALUE"""),10076.0)</f>
        <v>10076</v>
      </c>
    </row>
    <row r="470">
      <c r="A470" s="1" t="str">
        <f>IFERROR(__xludf.DUMMYFUNCTION("""COMPUTED_VALUE"""),"Mirae Bank")</f>
        <v>Mirae Bank</v>
      </c>
      <c r="B470" s="1" t="str">
        <f>IFERROR(__xludf.DUMMYFUNCTION("""COMPUTED_VALUE"""),"Los Angeles")</f>
        <v>Los Angeles</v>
      </c>
      <c r="C470" s="1" t="str">
        <f>IFERROR(__xludf.DUMMYFUNCTION("""COMPUTED_VALUE"""),"CA")</f>
        <v>CA</v>
      </c>
      <c r="D470" s="1">
        <f>IFERROR(__xludf.DUMMYFUNCTION("""COMPUTED_VALUE"""),57332.0)</f>
        <v>57332</v>
      </c>
      <c r="E470" s="1" t="str">
        <f>IFERROR(__xludf.DUMMYFUNCTION("""COMPUTED_VALUE"""),"Wilshire State Bank")</f>
        <v>Wilshire State Bank</v>
      </c>
      <c r="F470" s="2">
        <f>IFERROR(__xludf.DUMMYFUNCTION("""COMPUTED_VALUE"""),39990.0)</f>
        <v>39990</v>
      </c>
      <c r="G470" s="1">
        <f>IFERROR(__xludf.DUMMYFUNCTION("""COMPUTED_VALUE"""),10072.0)</f>
        <v>10072</v>
      </c>
    </row>
    <row r="471">
      <c r="A471" s="1" t="str">
        <f>IFERROR(__xludf.DUMMYFUNCTION("""COMPUTED_VALUE"""),"MetroPacific Bank")</f>
        <v>MetroPacific Bank</v>
      </c>
      <c r="B471" s="1" t="str">
        <f>IFERROR(__xludf.DUMMYFUNCTION("""COMPUTED_VALUE"""),"Irvine")</f>
        <v>Irvine</v>
      </c>
      <c r="C471" s="1" t="str">
        <f>IFERROR(__xludf.DUMMYFUNCTION("""COMPUTED_VALUE"""),"CA")</f>
        <v>CA</v>
      </c>
      <c r="D471" s="1">
        <f>IFERROR(__xludf.DUMMYFUNCTION("""COMPUTED_VALUE"""),57893.0)</f>
        <v>57893</v>
      </c>
      <c r="E471" s="1" t="str">
        <f>IFERROR(__xludf.DUMMYFUNCTION("""COMPUTED_VALUE"""),"Sunwest Bank")</f>
        <v>Sunwest Bank</v>
      </c>
      <c r="F471" s="2">
        <f>IFERROR(__xludf.DUMMYFUNCTION("""COMPUTED_VALUE"""),39990.0)</f>
        <v>39990</v>
      </c>
      <c r="G471" s="1">
        <f>IFERROR(__xludf.DUMMYFUNCTION("""COMPUTED_VALUE"""),10071.0)</f>
        <v>10071</v>
      </c>
    </row>
    <row r="472">
      <c r="A472" s="1" t="str">
        <f>IFERROR(__xludf.DUMMYFUNCTION("""COMPUTED_VALUE"""),"Horizon Bank")</f>
        <v>Horizon Bank</v>
      </c>
      <c r="B472" s="1" t="str">
        <f>IFERROR(__xludf.DUMMYFUNCTION("""COMPUTED_VALUE"""),"Pine City")</f>
        <v>Pine City</v>
      </c>
      <c r="C472" s="1" t="str">
        <f>IFERROR(__xludf.DUMMYFUNCTION("""COMPUTED_VALUE"""),"MN")</f>
        <v>MN</v>
      </c>
      <c r="D472" s="1">
        <f>IFERROR(__xludf.DUMMYFUNCTION("""COMPUTED_VALUE"""),9744.0)</f>
        <v>9744</v>
      </c>
      <c r="E472" s="1" t="str">
        <f>IFERROR(__xludf.DUMMYFUNCTION("""COMPUTED_VALUE"""),"Stearns Bank, N.A.")</f>
        <v>Stearns Bank, N.A.</v>
      </c>
      <c r="F472" s="2">
        <f>IFERROR(__xludf.DUMMYFUNCTION("""COMPUTED_VALUE"""),39990.0)</f>
        <v>39990</v>
      </c>
      <c r="G472" s="1">
        <f>IFERROR(__xludf.DUMMYFUNCTION("""COMPUTED_VALUE"""),10070.0)</f>
        <v>10070</v>
      </c>
    </row>
    <row r="473">
      <c r="A473" s="1" t="str">
        <f>IFERROR(__xludf.DUMMYFUNCTION("""COMPUTED_VALUE"""),"Neighborhood Community Bank")</f>
        <v>Neighborhood Community Bank</v>
      </c>
      <c r="B473" s="1" t="str">
        <f>IFERROR(__xludf.DUMMYFUNCTION("""COMPUTED_VALUE"""),"Newnan")</f>
        <v>Newnan</v>
      </c>
      <c r="C473" s="1" t="str">
        <f>IFERROR(__xludf.DUMMYFUNCTION("""COMPUTED_VALUE"""),"GA")</f>
        <v>GA</v>
      </c>
      <c r="D473" s="1">
        <f>IFERROR(__xludf.DUMMYFUNCTION("""COMPUTED_VALUE"""),35285.0)</f>
        <v>35285</v>
      </c>
      <c r="E473" s="1" t="str">
        <f>IFERROR(__xludf.DUMMYFUNCTION("""COMPUTED_VALUE"""),"CharterBank")</f>
        <v>CharterBank</v>
      </c>
      <c r="F473" s="2">
        <f>IFERROR(__xludf.DUMMYFUNCTION("""COMPUTED_VALUE"""),39990.0)</f>
        <v>39990</v>
      </c>
      <c r="G473" s="1">
        <f>IFERROR(__xludf.DUMMYFUNCTION("""COMPUTED_VALUE"""),10069.0)</f>
        <v>10069</v>
      </c>
    </row>
    <row r="474">
      <c r="A474" s="1" t="str">
        <f>IFERROR(__xludf.DUMMYFUNCTION("""COMPUTED_VALUE"""),"Community Bank of West Georgia")</f>
        <v>Community Bank of West Georgia</v>
      </c>
      <c r="B474" s="1" t="str">
        <f>IFERROR(__xludf.DUMMYFUNCTION("""COMPUTED_VALUE"""),"Villa Rica")</f>
        <v>Villa Rica</v>
      </c>
      <c r="C474" s="1" t="str">
        <f>IFERROR(__xludf.DUMMYFUNCTION("""COMPUTED_VALUE"""),"GA")</f>
        <v>GA</v>
      </c>
      <c r="D474" s="1">
        <f>IFERROR(__xludf.DUMMYFUNCTION("""COMPUTED_VALUE"""),57436.0)</f>
        <v>57436</v>
      </c>
      <c r="E474" s="1" t="str">
        <f>IFERROR(__xludf.DUMMYFUNCTION("""COMPUTED_VALUE"""),"No Acquirer")</f>
        <v>No Acquirer</v>
      </c>
      <c r="F474" s="2">
        <f>IFERROR(__xludf.DUMMYFUNCTION("""COMPUTED_VALUE"""),39990.0)</f>
        <v>39990</v>
      </c>
      <c r="G474" s="1">
        <f>IFERROR(__xludf.DUMMYFUNCTION("""COMPUTED_VALUE"""),10068.0)</f>
        <v>10068</v>
      </c>
    </row>
    <row r="475">
      <c r="A475" s="1" t="str">
        <f>IFERROR(__xludf.DUMMYFUNCTION("""COMPUTED_VALUE"""),"First National Bank of Anthony")</f>
        <v>First National Bank of Anthony</v>
      </c>
      <c r="B475" s="1" t="str">
        <f>IFERROR(__xludf.DUMMYFUNCTION("""COMPUTED_VALUE"""),"Anthony")</f>
        <v>Anthony</v>
      </c>
      <c r="C475" s="1" t="str">
        <f>IFERROR(__xludf.DUMMYFUNCTION("""COMPUTED_VALUE"""),"KS")</f>
        <v>KS</v>
      </c>
      <c r="D475" s="1">
        <f>IFERROR(__xludf.DUMMYFUNCTION("""COMPUTED_VALUE"""),4614.0)</f>
        <v>4614</v>
      </c>
      <c r="E475" s="1" t="str">
        <f>IFERROR(__xludf.DUMMYFUNCTION("""COMPUTED_VALUE"""),"Bank of Kansas")</f>
        <v>Bank of Kansas</v>
      </c>
      <c r="F475" s="2">
        <f>IFERROR(__xludf.DUMMYFUNCTION("""COMPUTED_VALUE"""),39983.0)</f>
        <v>39983</v>
      </c>
      <c r="G475" s="1">
        <f>IFERROR(__xludf.DUMMYFUNCTION("""COMPUTED_VALUE"""),10066.0)</f>
        <v>10066</v>
      </c>
    </row>
    <row r="476">
      <c r="A476" s="1" t="str">
        <f>IFERROR(__xludf.DUMMYFUNCTION("""COMPUTED_VALUE"""),"Cooperative Bank")</f>
        <v>Cooperative Bank</v>
      </c>
      <c r="B476" s="1" t="str">
        <f>IFERROR(__xludf.DUMMYFUNCTION("""COMPUTED_VALUE"""),"Wilmington")</f>
        <v>Wilmington</v>
      </c>
      <c r="C476" s="1" t="str">
        <f>IFERROR(__xludf.DUMMYFUNCTION("""COMPUTED_VALUE"""),"NC")</f>
        <v>NC</v>
      </c>
      <c r="D476" s="1">
        <f>IFERROR(__xludf.DUMMYFUNCTION("""COMPUTED_VALUE"""),27837.0)</f>
        <v>27837</v>
      </c>
      <c r="E476" s="1" t="str">
        <f>IFERROR(__xludf.DUMMYFUNCTION("""COMPUTED_VALUE"""),"First Bank")</f>
        <v>First Bank</v>
      </c>
      <c r="F476" s="2">
        <f>IFERROR(__xludf.DUMMYFUNCTION("""COMPUTED_VALUE"""),39983.0)</f>
        <v>39983</v>
      </c>
      <c r="G476" s="1">
        <f>IFERROR(__xludf.DUMMYFUNCTION("""COMPUTED_VALUE"""),10065.0)</f>
        <v>10065</v>
      </c>
    </row>
    <row r="477">
      <c r="A477" s="1" t="str">
        <f>IFERROR(__xludf.DUMMYFUNCTION("""COMPUTED_VALUE"""),"Southern Community Bank")</f>
        <v>Southern Community Bank</v>
      </c>
      <c r="B477" s="1" t="str">
        <f>IFERROR(__xludf.DUMMYFUNCTION("""COMPUTED_VALUE"""),"Fayetteville")</f>
        <v>Fayetteville</v>
      </c>
      <c r="C477" s="1" t="str">
        <f>IFERROR(__xludf.DUMMYFUNCTION("""COMPUTED_VALUE"""),"GA")</f>
        <v>GA</v>
      </c>
      <c r="D477" s="1">
        <f>IFERROR(__xludf.DUMMYFUNCTION("""COMPUTED_VALUE"""),35251.0)</f>
        <v>35251</v>
      </c>
      <c r="E477" s="1" t="str">
        <f>IFERROR(__xludf.DUMMYFUNCTION("""COMPUTED_VALUE"""),"United Community Bank")</f>
        <v>United Community Bank</v>
      </c>
      <c r="F477" s="2">
        <f>IFERROR(__xludf.DUMMYFUNCTION("""COMPUTED_VALUE"""),39983.0)</f>
        <v>39983</v>
      </c>
      <c r="G477" s="1">
        <f>IFERROR(__xludf.DUMMYFUNCTION("""COMPUTED_VALUE"""),10067.0)</f>
        <v>10067</v>
      </c>
    </row>
    <row r="478">
      <c r="A478" s="1" t="str">
        <f>IFERROR(__xludf.DUMMYFUNCTION("""COMPUTED_VALUE"""),"Bank of Lincolnwood")</f>
        <v>Bank of Lincolnwood</v>
      </c>
      <c r="B478" s="1" t="str">
        <f>IFERROR(__xludf.DUMMYFUNCTION("""COMPUTED_VALUE"""),"Lincolnwood")</f>
        <v>Lincolnwood</v>
      </c>
      <c r="C478" s="1" t="str">
        <f>IFERROR(__xludf.DUMMYFUNCTION("""COMPUTED_VALUE"""),"IL")</f>
        <v>IL</v>
      </c>
      <c r="D478" s="1">
        <f>IFERROR(__xludf.DUMMYFUNCTION("""COMPUTED_VALUE"""),17309.0)</f>
        <v>17309</v>
      </c>
      <c r="E478" s="1" t="str">
        <f>IFERROR(__xludf.DUMMYFUNCTION("""COMPUTED_VALUE"""),"Republic Bank of Chicago")</f>
        <v>Republic Bank of Chicago</v>
      </c>
      <c r="F478" s="2">
        <f>IFERROR(__xludf.DUMMYFUNCTION("""COMPUTED_VALUE"""),39969.0)</f>
        <v>39969</v>
      </c>
      <c r="G478" s="1">
        <f>IFERROR(__xludf.DUMMYFUNCTION("""COMPUTED_VALUE"""),10064.0)</f>
        <v>10064</v>
      </c>
    </row>
    <row r="479">
      <c r="A479" s="1" t="str">
        <f>IFERROR(__xludf.DUMMYFUNCTION("""COMPUTED_VALUE"""),"Citizens National Bank")</f>
        <v>Citizens National Bank</v>
      </c>
      <c r="B479" s="1" t="str">
        <f>IFERROR(__xludf.DUMMYFUNCTION("""COMPUTED_VALUE"""),"Macomb")</f>
        <v>Macomb</v>
      </c>
      <c r="C479" s="1" t="str">
        <f>IFERROR(__xludf.DUMMYFUNCTION("""COMPUTED_VALUE"""),"IL")</f>
        <v>IL</v>
      </c>
      <c r="D479" s="1">
        <f>IFERROR(__xludf.DUMMYFUNCTION("""COMPUTED_VALUE"""),5757.0)</f>
        <v>5757</v>
      </c>
      <c r="E479" s="1" t="str">
        <f>IFERROR(__xludf.DUMMYFUNCTION("""COMPUTED_VALUE"""),"Morton Community Bank")</f>
        <v>Morton Community Bank</v>
      </c>
      <c r="F479" s="2">
        <f>IFERROR(__xludf.DUMMYFUNCTION("""COMPUTED_VALUE"""),39955.0)</f>
        <v>39955</v>
      </c>
      <c r="G479" s="1">
        <f>IFERROR(__xludf.DUMMYFUNCTION("""COMPUTED_VALUE"""),10063.0)</f>
        <v>10063</v>
      </c>
    </row>
    <row r="480">
      <c r="A480" s="1" t="str">
        <f>IFERROR(__xludf.DUMMYFUNCTION("""COMPUTED_VALUE"""),"Strategic Capital Bank")</f>
        <v>Strategic Capital Bank</v>
      </c>
      <c r="B480" s="1" t="str">
        <f>IFERROR(__xludf.DUMMYFUNCTION("""COMPUTED_VALUE"""),"Champaign")</f>
        <v>Champaign</v>
      </c>
      <c r="C480" s="1" t="str">
        <f>IFERROR(__xludf.DUMMYFUNCTION("""COMPUTED_VALUE"""),"IL")</f>
        <v>IL</v>
      </c>
      <c r="D480" s="1">
        <f>IFERROR(__xludf.DUMMYFUNCTION("""COMPUTED_VALUE"""),35175.0)</f>
        <v>35175</v>
      </c>
      <c r="E480" s="1" t="str">
        <f>IFERROR(__xludf.DUMMYFUNCTION("""COMPUTED_VALUE"""),"Midland States Bank")</f>
        <v>Midland States Bank</v>
      </c>
      <c r="F480" s="2">
        <f>IFERROR(__xludf.DUMMYFUNCTION("""COMPUTED_VALUE"""),39955.0)</f>
        <v>39955</v>
      </c>
      <c r="G480" s="1">
        <f>IFERROR(__xludf.DUMMYFUNCTION("""COMPUTED_VALUE"""),10062.0)</f>
        <v>10062</v>
      </c>
    </row>
    <row r="481">
      <c r="A481" s="1" t="str">
        <f>IFERROR(__xludf.DUMMYFUNCTION("""COMPUTED_VALUE"""),"BankUnited, FSB")</f>
        <v>BankUnited, FSB</v>
      </c>
      <c r="B481" s="1" t="str">
        <f>IFERROR(__xludf.DUMMYFUNCTION("""COMPUTED_VALUE"""),"Coral Gables")</f>
        <v>Coral Gables</v>
      </c>
      <c r="C481" s="1" t="str">
        <f>IFERROR(__xludf.DUMMYFUNCTION("""COMPUTED_VALUE"""),"FL")</f>
        <v>FL</v>
      </c>
      <c r="D481" s="1">
        <f>IFERROR(__xludf.DUMMYFUNCTION("""COMPUTED_VALUE"""),32247.0)</f>
        <v>32247</v>
      </c>
      <c r="E481" s="1" t="str">
        <f>IFERROR(__xludf.DUMMYFUNCTION("""COMPUTED_VALUE"""),"BankUnited")</f>
        <v>BankUnited</v>
      </c>
      <c r="F481" s="2">
        <f>IFERROR(__xludf.DUMMYFUNCTION("""COMPUTED_VALUE"""),39954.0)</f>
        <v>39954</v>
      </c>
      <c r="G481" s="1">
        <f>IFERROR(__xludf.DUMMYFUNCTION("""COMPUTED_VALUE"""),10061.0)</f>
        <v>10061</v>
      </c>
    </row>
    <row r="482">
      <c r="A482" s="1" t="str">
        <f>IFERROR(__xludf.DUMMYFUNCTION("""COMPUTED_VALUE"""),"Westsound Bank")</f>
        <v>Westsound Bank</v>
      </c>
      <c r="B482" s="1" t="str">
        <f>IFERROR(__xludf.DUMMYFUNCTION("""COMPUTED_VALUE"""),"Bremerton")</f>
        <v>Bremerton</v>
      </c>
      <c r="C482" s="1" t="str">
        <f>IFERROR(__xludf.DUMMYFUNCTION("""COMPUTED_VALUE"""),"WA")</f>
        <v>WA</v>
      </c>
      <c r="D482" s="1">
        <f>IFERROR(__xludf.DUMMYFUNCTION("""COMPUTED_VALUE"""),34843.0)</f>
        <v>34843</v>
      </c>
      <c r="E482" s="1" t="str">
        <f>IFERROR(__xludf.DUMMYFUNCTION("""COMPUTED_VALUE"""),"Kitsap Bank")</f>
        <v>Kitsap Bank</v>
      </c>
      <c r="F482" s="2">
        <f>IFERROR(__xludf.DUMMYFUNCTION("""COMPUTED_VALUE"""),39941.0)</f>
        <v>39941</v>
      </c>
      <c r="G482" s="1">
        <f>IFERROR(__xludf.DUMMYFUNCTION("""COMPUTED_VALUE"""),10060.0)</f>
        <v>10060</v>
      </c>
    </row>
    <row r="483">
      <c r="A483" s="1" t="str">
        <f>IFERROR(__xludf.DUMMYFUNCTION("""COMPUTED_VALUE"""),"America West Bank")</f>
        <v>America West Bank</v>
      </c>
      <c r="B483" s="1" t="str">
        <f>IFERROR(__xludf.DUMMYFUNCTION("""COMPUTED_VALUE"""),"Layton")</f>
        <v>Layton</v>
      </c>
      <c r="C483" s="1" t="str">
        <f>IFERROR(__xludf.DUMMYFUNCTION("""COMPUTED_VALUE"""),"UT")</f>
        <v>UT</v>
      </c>
      <c r="D483" s="1">
        <f>IFERROR(__xludf.DUMMYFUNCTION("""COMPUTED_VALUE"""),35461.0)</f>
        <v>35461</v>
      </c>
      <c r="E483" s="1" t="str">
        <f>IFERROR(__xludf.DUMMYFUNCTION("""COMPUTED_VALUE"""),"Cache Valley Bank")</f>
        <v>Cache Valley Bank</v>
      </c>
      <c r="F483" s="2">
        <f>IFERROR(__xludf.DUMMYFUNCTION("""COMPUTED_VALUE"""),39934.0)</f>
        <v>39934</v>
      </c>
      <c r="G483" s="1">
        <f>IFERROR(__xludf.DUMMYFUNCTION("""COMPUTED_VALUE"""),10057.0)</f>
        <v>10057</v>
      </c>
    </row>
    <row r="484">
      <c r="A484" s="1" t="str">
        <f>IFERROR(__xludf.DUMMYFUNCTION("""COMPUTED_VALUE"""),"Citizens Community Bank")</f>
        <v>Citizens Community Bank</v>
      </c>
      <c r="B484" s="1" t="str">
        <f>IFERROR(__xludf.DUMMYFUNCTION("""COMPUTED_VALUE"""),"Ridgewood")</f>
        <v>Ridgewood</v>
      </c>
      <c r="C484" s="1" t="str">
        <f>IFERROR(__xludf.DUMMYFUNCTION("""COMPUTED_VALUE"""),"NJ")</f>
        <v>NJ</v>
      </c>
      <c r="D484" s="1">
        <f>IFERROR(__xludf.DUMMYFUNCTION("""COMPUTED_VALUE"""),57563.0)</f>
        <v>57563</v>
      </c>
      <c r="E484" s="1" t="str">
        <f>IFERROR(__xludf.DUMMYFUNCTION("""COMPUTED_VALUE"""),"North Jersey Community Bank")</f>
        <v>North Jersey Community Bank</v>
      </c>
      <c r="F484" s="2">
        <f>IFERROR(__xludf.DUMMYFUNCTION("""COMPUTED_VALUE"""),39934.0)</f>
        <v>39934</v>
      </c>
      <c r="G484" s="1">
        <f>IFERROR(__xludf.DUMMYFUNCTION("""COMPUTED_VALUE"""),10058.0)</f>
        <v>10058</v>
      </c>
    </row>
    <row r="485">
      <c r="A485" s="1" t="str">
        <f>IFERROR(__xludf.DUMMYFUNCTION("""COMPUTED_VALUE"""),"Silverton Bank, NA")</f>
        <v>Silverton Bank, NA</v>
      </c>
      <c r="B485" s="1" t="str">
        <f>IFERROR(__xludf.DUMMYFUNCTION("""COMPUTED_VALUE"""),"Atlanta")</f>
        <v>Atlanta</v>
      </c>
      <c r="C485" s="1" t="str">
        <f>IFERROR(__xludf.DUMMYFUNCTION("""COMPUTED_VALUE"""),"GA")</f>
        <v>GA</v>
      </c>
      <c r="D485" s="1">
        <f>IFERROR(__xludf.DUMMYFUNCTION("""COMPUTED_VALUE"""),26535.0)</f>
        <v>26535</v>
      </c>
      <c r="E485" s="1" t="str">
        <f>IFERROR(__xludf.DUMMYFUNCTION("""COMPUTED_VALUE"""),"No Acquirer")</f>
        <v>No Acquirer</v>
      </c>
      <c r="F485" s="2">
        <f>IFERROR(__xludf.DUMMYFUNCTION("""COMPUTED_VALUE"""),39934.0)</f>
        <v>39934</v>
      </c>
      <c r="G485" s="1">
        <f>IFERROR(__xludf.DUMMYFUNCTION("""COMPUTED_VALUE"""),10059.0)</f>
        <v>10059</v>
      </c>
    </row>
    <row r="486">
      <c r="A486" s="1" t="str">
        <f>IFERROR(__xludf.DUMMYFUNCTION("""COMPUTED_VALUE"""),"First Bank of Idaho")</f>
        <v>First Bank of Idaho</v>
      </c>
      <c r="B486" s="1" t="str">
        <f>IFERROR(__xludf.DUMMYFUNCTION("""COMPUTED_VALUE"""),"Ketchum")</f>
        <v>Ketchum</v>
      </c>
      <c r="C486" s="1" t="str">
        <f>IFERROR(__xludf.DUMMYFUNCTION("""COMPUTED_VALUE"""),"ID")</f>
        <v>ID</v>
      </c>
      <c r="D486" s="1">
        <f>IFERROR(__xludf.DUMMYFUNCTION("""COMPUTED_VALUE"""),34396.0)</f>
        <v>34396</v>
      </c>
      <c r="E486" s="1" t="str">
        <f>IFERROR(__xludf.DUMMYFUNCTION("""COMPUTED_VALUE"""),"U.S. Bank, N.A.")</f>
        <v>U.S. Bank, N.A.</v>
      </c>
      <c r="F486" s="2">
        <f>IFERROR(__xludf.DUMMYFUNCTION("""COMPUTED_VALUE"""),39927.0)</f>
        <v>39927</v>
      </c>
      <c r="G486" s="1">
        <f>IFERROR(__xludf.DUMMYFUNCTION("""COMPUTED_VALUE"""),10055.0)</f>
        <v>10055</v>
      </c>
    </row>
    <row r="487">
      <c r="A487" s="1" t="str">
        <f>IFERROR(__xludf.DUMMYFUNCTION("""COMPUTED_VALUE"""),"First Bank of Beverly Hills")</f>
        <v>First Bank of Beverly Hills</v>
      </c>
      <c r="B487" s="1" t="str">
        <f>IFERROR(__xludf.DUMMYFUNCTION("""COMPUTED_VALUE"""),"Calabasas")</f>
        <v>Calabasas</v>
      </c>
      <c r="C487" s="1" t="str">
        <f>IFERROR(__xludf.DUMMYFUNCTION("""COMPUTED_VALUE"""),"CA")</f>
        <v>CA</v>
      </c>
      <c r="D487" s="1">
        <f>IFERROR(__xludf.DUMMYFUNCTION("""COMPUTED_VALUE"""),32069.0)</f>
        <v>32069</v>
      </c>
      <c r="E487" s="1" t="str">
        <f>IFERROR(__xludf.DUMMYFUNCTION("""COMPUTED_VALUE"""),"No Acquirer")</f>
        <v>No Acquirer</v>
      </c>
      <c r="F487" s="2">
        <f>IFERROR(__xludf.DUMMYFUNCTION("""COMPUTED_VALUE"""),39927.0)</f>
        <v>39927</v>
      </c>
      <c r="G487" s="1">
        <f>IFERROR(__xludf.DUMMYFUNCTION("""COMPUTED_VALUE"""),10054.0)</f>
        <v>10054</v>
      </c>
    </row>
    <row r="488">
      <c r="A488" s="1" t="str">
        <f>IFERROR(__xludf.DUMMYFUNCTION("""COMPUTED_VALUE"""),"Michigan Heritage Bank")</f>
        <v>Michigan Heritage Bank</v>
      </c>
      <c r="B488" s="1" t="str">
        <f>IFERROR(__xludf.DUMMYFUNCTION("""COMPUTED_VALUE"""),"Farmington Hills")</f>
        <v>Farmington Hills</v>
      </c>
      <c r="C488" s="1" t="str">
        <f>IFERROR(__xludf.DUMMYFUNCTION("""COMPUTED_VALUE"""),"MI")</f>
        <v>MI</v>
      </c>
      <c r="D488" s="1">
        <f>IFERROR(__xludf.DUMMYFUNCTION("""COMPUTED_VALUE"""),34369.0)</f>
        <v>34369</v>
      </c>
      <c r="E488" s="1" t="str">
        <f>IFERROR(__xludf.DUMMYFUNCTION("""COMPUTED_VALUE"""),"Level One Bank")</f>
        <v>Level One Bank</v>
      </c>
      <c r="F488" s="2">
        <f>IFERROR(__xludf.DUMMYFUNCTION("""COMPUTED_VALUE"""),39927.0)</f>
        <v>39927</v>
      </c>
      <c r="G488" s="1">
        <f>IFERROR(__xludf.DUMMYFUNCTION("""COMPUTED_VALUE"""),10056.0)</f>
        <v>10056</v>
      </c>
    </row>
    <row r="489">
      <c r="A489" s="1" t="str">
        <f>IFERROR(__xludf.DUMMYFUNCTION("""COMPUTED_VALUE"""),"American Southern Bank")</f>
        <v>American Southern Bank</v>
      </c>
      <c r="B489" s="1" t="str">
        <f>IFERROR(__xludf.DUMMYFUNCTION("""COMPUTED_VALUE"""),"Kennesaw")</f>
        <v>Kennesaw</v>
      </c>
      <c r="C489" s="1" t="str">
        <f>IFERROR(__xludf.DUMMYFUNCTION("""COMPUTED_VALUE"""),"GA")</f>
        <v>GA</v>
      </c>
      <c r="D489" s="1">
        <f>IFERROR(__xludf.DUMMYFUNCTION("""COMPUTED_VALUE"""),57943.0)</f>
        <v>57943</v>
      </c>
      <c r="E489" s="1" t="str">
        <f>IFERROR(__xludf.DUMMYFUNCTION("""COMPUTED_VALUE"""),"Bank of North Georgia")</f>
        <v>Bank of North Georgia</v>
      </c>
      <c r="F489" s="2">
        <f>IFERROR(__xludf.DUMMYFUNCTION("""COMPUTED_VALUE"""),39927.0)</f>
        <v>39927</v>
      </c>
      <c r="G489" s="1">
        <f>IFERROR(__xludf.DUMMYFUNCTION("""COMPUTED_VALUE"""),10053.0)</f>
        <v>10053</v>
      </c>
    </row>
    <row r="490">
      <c r="A490" s="1" t="str">
        <f>IFERROR(__xludf.DUMMYFUNCTION("""COMPUTED_VALUE"""),"Great Basin Bank of Nevada")</f>
        <v>Great Basin Bank of Nevada</v>
      </c>
      <c r="B490" s="1" t="str">
        <f>IFERROR(__xludf.DUMMYFUNCTION("""COMPUTED_VALUE"""),"Elko")</f>
        <v>Elko</v>
      </c>
      <c r="C490" s="1" t="str">
        <f>IFERROR(__xludf.DUMMYFUNCTION("""COMPUTED_VALUE"""),"NV")</f>
        <v>NV</v>
      </c>
      <c r="D490" s="1">
        <f>IFERROR(__xludf.DUMMYFUNCTION("""COMPUTED_VALUE"""),33824.0)</f>
        <v>33824</v>
      </c>
      <c r="E490" s="1" t="str">
        <f>IFERROR(__xludf.DUMMYFUNCTION("""COMPUTED_VALUE"""),"Nevada State Bank")</f>
        <v>Nevada State Bank</v>
      </c>
      <c r="F490" s="2">
        <f>IFERROR(__xludf.DUMMYFUNCTION("""COMPUTED_VALUE"""),39920.0)</f>
        <v>39920</v>
      </c>
      <c r="G490" s="1">
        <f>IFERROR(__xludf.DUMMYFUNCTION("""COMPUTED_VALUE"""),10051.0)</f>
        <v>10051</v>
      </c>
    </row>
    <row r="491">
      <c r="A491" s="1" t="str">
        <f>IFERROR(__xludf.DUMMYFUNCTION("""COMPUTED_VALUE"""),"American Sterling Bank")</f>
        <v>American Sterling Bank</v>
      </c>
      <c r="B491" s="1" t="str">
        <f>IFERROR(__xludf.DUMMYFUNCTION("""COMPUTED_VALUE"""),"Sugar Creek")</f>
        <v>Sugar Creek</v>
      </c>
      <c r="C491" s="1" t="str">
        <f>IFERROR(__xludf.DUMMYFUNCTION("""COMPUTED_VALUE"""),"MO")</f>
        <v>MO</v>
      </c>
      <c r="D491" s="1">
        <f>IFERROR(__xludf.DUMMYFUNCTION("""COMPUTED_VALUE"""),8266.0)</f>
        <v>8266</v>
      </c>
      <c r="E491" s="1" t="str">
        <f>IFERROR(__xludf.DUMMYFUNCTION("""COMPUTED_VALUE"""),"Metcalf Bank")</f>
        <v>Metcalf Bank</v>
      </c>
      <c r="F491" s="2">
        <f>IFERROR(__xludf.DUMMYFUNCTION("""COMPUTED_VALUE"""),39920.0)</f>
        <v>39920</v>
      </c>
      <c r="G491" s="1">
        <f>IFERROR(__xludf.DUMMYFUNCTION("""COMPUTED_VALUE"""),10052.0)</f>
        <v>10052</v>
      </c>
    </row>
    <row r="492">
      <c r="A492" s="1" t="str">
        <f>IFERROR(__xludf.DUMMYFUNCTION("""COMPUTED_VALUE"""),"New Frontier Bank")</f>
        <v>New Frontier Bank</v>
      </c>
      <c r="B492" s="1" t="str">
        <f>IFERROR(__xludf.DUMMYFUNCTION("""COMPUTED_VALUE"""),"Greeley")</f>
        <v>Greeley</v>
      </c>
      <c r="C492" s="1" t="str">
        <f>IFERROR(__xludf.DUMMYFUNCTION("""COMPUTED_VALUE"""),"CO")</f>
        <v>CO</v>
      </c>
      <c r="D492" s="1">
        <f>IFERROR(__xludf.DUMMYFUNCTION("""COMPUTED_VALUE"""),34881.0)</f>
        <v>34881</v>
      </c>
      <c r="E492" s="1" t="str">
        <f>IFERROR(__xludf.DUMMYFUNCTION("""COMPUTED_VALUE"""),"No Acquirer")</f>
        <v>No Acquirer</v>
      </c>
      <c r="F492" s="2">
        <f>IFERROR(__xludf.DUMMYFUNCTION("""COMPUTED_VALUE"""),39913.0)</f>
        <v>39913</v>
      </c>
      <c r="G492" s="1">
        <f>IFERROR(__xludf.DUMMYFUNCTION("""COMPUTED_VALUE"""),10050.0)</f>
        <v>10050</v>
      </c>
    </row>
    <row r="493">
      <c r="A493" s="1" t="str">
        <f>IFERROR(__xludf.DUMMYFUNCTION("""COMPUTED_VALUE"""),"Cape Fear Bank")</f>
        <v>Cape Fear Bank</v>
      </c>
      <c r="B493" s="1" t="str">
        <f>IFERROR(__xludf.DUMMYFUNCTION("""COMPUTED_VALUE"""),"Wilmington")</f>
        <v>Wilmington</v>
      </c>
      <c r="C493" s="1" t="str">
        <f>IFERROR(__xludf.DUMMYFUNCTION("""COMPUTED_VALUE"""),"NC")</f>
        <v>NC</v>
      </c>
      <c r="D493" s="1">
        <f>IFERROR(__xludf.DUMMYFUNCTION("""COMPUTED_VALUE"""),34639.0)</f>
        <v>34639</v>
      </c>
      <c r="E493" s="1" t="str">
        <f>IFERROR(__xludf.DUMMYFUNCTION("""COMPUTED_VALUE"""),"First Federal Savings and Loan Association")</f>
        <v>First Federal Savings and Loan Association</v>
      </c>
      <c r="F493" s="2">
        <f>IFERROR(__xludf.DUMMYFUNCTION("""COMPUTED_VALUE"""),39913.0)</f>
        <v>39913</v>
      </c>
      <c r="G493" s="1">
        <f>IFERROR(__xludf.DUMMYFUNCTION("""COMPUTED_VALUE"""),10049.0)</f>
        <v>10049</v>
      </c>
    </row>
    <row r="494">
      <c r="A494" s="1" t="str">
        <f>IFERROR(__xludf.DUMMYFUNCTION("""COMPUTED_VALUE"""),"Omni National Bank")</f>
        <v>Omni National Bank</v>
      </c>
      <c r="B494" s="1" t="str">
        <f>IFERROR(__xludf.DUMMYFUNCTION("""COMPUTED_VALUE"""),"Atlanta")</f>
        <v>Atlanta</v>
      </c>
      <c r="C494" s="1" t="str">
        <f>IFERROR(__xludf.DUMMYFUNCTION("""COMPUTED_VALUE"""),"GA")</f>
        <v>GA</v>
      </c>
      <c r="D494" s="1">
        <f>IFERROR(__xludf.DUMMYFUNCTION("""COMPUTED_VALUE"""),22238.0)</f>
        <v>22238</v>
      </c>
      <c r="E494" s="1" t="str">
        <f>IFERROR(__xludf.DUMMYFUNCTION("""COMPUTED_VALUE"""),"No Acquirer")</f>
        <v>No Acquirer</v>
      </c>
      <c r="F494" s="2">
        <f>IFERROR(__xludf.DUMMYFUNCTION("""COMPUTED_VALUE"""),39899.0)</f>
        <v>39899</v>
      </c>
      <c r="G494" s="1">
        <f>IFERROR(__xludf.DUMMYFUNCTION("""COMPUTED_VALUE"""),10048.0)</f>
        <v>10048</v>
      </c>
    </row>
    <row r="495">
      <c r="A495" s="1" t="str">
        <f>IFERROR(__xludf.DUMMYFUNCTION("""COMPUTED_VALUE"""),"TeamBank, NA")</f>
        <v>TeamBank, NA</v>
      </c>
      <c r="B495" s="1" t="str">
        <f>IFERROR(__xludf.DUMMYFUNCTION("""COMPUTED_VALUE"""),"Paola")</f>
        <v>Paola</v>
      </c>
      <c r="C495" s="1" t="str">
        <f>IFERROR(__xludf.DUMMYFUNCTION("""COMPUTED_VALUE"""),"KS")</f>
        <v>KS</v>
      </c>
      <c r="D495" s="1">
        <f>IFERROR(__xludf.DUMMYFUNCTION("""COMPUTED_VALUE"""),4754.0)</f>
        <v>4754</v>
      </c>
      <c r="E495" s="1" t="str">
        <f>IFERROR(__xludf.DUMMYFUNCTION("""COMPUTED_VALUE"""),"Great Southern Bank")</f>
        <v>Great Southern Bank</v>
      </c>
      <c r="F495" s="2">
        <f>IFERROR(__xludf.DUMMYFUNCTION("""COMPUTED_VALUE"""),39892.0)</f>
        <v>39892</v>
      </c>
      <c r="G495" s="1">
        <f>IFERROR(__xludf.DUMMYFUNCTION("""COMPUTED_VALUE"""),10046.0)</f>
        <v>10046</v>
      </c>
    </row>
    <row r="496">
      <c r="A496" s="1" t="str">
        <f>IFERROR(__xludf.DUMMYFUNCTION("""COMPUTED_VALUE"""),"Colorado National Bank")</f>
        <v>Colorado National Bank</v>
      </c>
      <c r="B496" s="1" t="str">
        <f>IFERROR(__xludf.DUMMYFUNCTION("""COMPUTED_VALUE"""),"Colorado Springs")</f>
        <v>Colorado Springs</v>
      </c>
      <c r="C496" s="1" t="str">
        <f>IFERROR(__xludf.DUMMYFUNCTION("""COMPUTED_VALUE"""),"CO")</f>
        <v>CO</v>
      </c>
      <c r="D496" s="1">
        <f>IFERROR(__xludf.DUMMYFUNCTION("""COMPUTED_VALUE"""),18896.0)</f>
        <v>18896</v>
      </c>
      <c r="E496" s="1" t="str">
        <f>IFERROR(__xludf.DUMMYFUNCTION("""COMPUTED_VALUE"""),"Herring Bank")</f>
        <v>Herring Bank</v>
      </c>
      <c r="F496" s="2">
        <f>IFERROR(__xludf.DUMMYFUNCTION("""COMPUTED_VALUE"""),39892.0)</f>
        <v>39892</v>
      </c>
      <c r="G496" s="1">
        <f>IFERROR(__xludf.DUMMYFUNCTION("""COMPUTED_VALUE"""),10045.0)</f>
        <v>10045</v>
      </c>
    </row>
    <row r="497">
      <c r="A497" s="1" t="str">
        <f>IFERROR(__xludf.DUMMYFUNCTION("""COMPUTED_VALUE"""),"FirstCity Bank")</f>
        <v>FirstCity Bank</v>
      </c>
      <c r="B497" s="1" t="str">
        <f>IFERROR(__xludf.DUMMYFUNCTION("""COMPUTED_VALUE"""),"Stockbridge")</f>
        <v>Stockbridge</v>
      </c>
      <c r="C497" s="1" t="str">
        <f>IFERROR(__xludf.DUMMYFUNCTION("""COMPUTED_VALUE"""),"GA")</f>
        <v>GA</v>
      </c>
      <c r="D497" s="1">
        <f>IFERROR(__xludf.DUMMYFUNCTION("""COMPUTED_VALUE"""),18243.0)</f>
        <v>18243</v>
      </c>
      <c r="E497" s="1" t="str">
        <f>IFERROR(__xludf.DUMMYFUNCTION("""COMPUTED_VALUE"""),"No Acquirer")</f>
        <v>No Acquirer</v>
      </c>
      <c r="F497" s="2">
        <f>IFERROR(__xludf.DUMMYFUNCTION("""COMPUTED_VALUE"""),39892.0)</f>
        <v>39892</v>
      </c>
      <c r="G497" s="1">
        <f>IFERROR(__xludf.DUMMYFUNCTION("""COMPUTED_VALUE"""),10047.0)</f>
        <v>10047</v>
      </c>
    </row>
    <row r="498">
      <c r="A498" s="1" t="str">
        <f>IFERROR(__xludf.DUMMYFUNCTION("""COMPUTED_VALUE"""),"Freedom Bank of Georgia")</f>
        <v>Freedom Bank of Georgia</v>
      </c>
      <c r="B498" s="1" t="str">
        <f>IFERROR(__xludf.DUMMYFUNCTION("""COMPUTED_VALUE"""),"Commerce")</f>
        <v>Commerce</v>
      </c>
      <c r="C498" s="1" t="str">
        <f>IFERROR(__xludf.DUMMYFUNCTION("""COMPUTED_VALUE"""),"GA")</f>
        <v>GA</v>
      </c>
      <c r="D498" s="1">
        <f>IFERROR(__xludf.DUMMYFUNCTION("""COMPUTED_VALUE"""),57558.0)</f>
        <v>57558</v>
      </c>
      <c r="E498" s="1" t="str">
        <f>IFERROR(__xludf.DUMMYFUNCTION("""COMPUTED_VALUE"""),"Northeast Georgia Bank")</f>
        <v>Northeast Georgia Bank</v>
      </c>
      <c r="F498" s="2">
        <f>IFERROR(__xludf.DUMMYFUNCTION("""COMPUTED_VALUE"""),39878.0)</f>
        <v>39878</v>
      </c>
      <c r="G498" s="1">
        <f>IFERROR(__xludf.DUMMYFUNCTION("""COMPUTED_VALUE"""),10044.0)</f>
        <v>10044</v>
      </c>
    </row>
    <row r="499">
      <c r="A499" s="1" t="str">
        <f>IFERROR(__xludf.DUMMYFUNCTION("""COMPUTED_VALUE"""),"Security Savings Bank")</f>
        <v>Security Savings Bank</v>
      </c>
      <c r="B499" s="1" t="str">
        <f>IFERROR(__xludf.DUMMYFUNCTION("""COMPUTED_VALUE"""),"Henderson")</f>
        <v>Henderson</v>
      </c>
      <c r="C499" s="1" t="str">
        <f>IFERROR(__xludf.DUMMYFUNCTION("""COMPUTED_VALUE"""),"NV")</f>
        <v>NV</v>
      </c>
      <c r="D499" s="1">
        <f>IFERROR(__xludf.DUMMYFUNCTION("""COMPUTED_VALUE"""),34820.0)</f>
        <v>34820</v>
      </c>
      <c r="E499" s="1" t="str">
        <f>IFERROR(__xludf.DUMMYFUNCTION("""COMPUTED_VALUE"""),"Bank of Nevada")</f>
        <v>Bank of Nevada</v>
      </c>
      <c r="F499" s="2">
        <f>IFERROR(__xludf.DUMMYFUNCTION("""COMPUTED_VALUE"""),39871.0)</f>
        <v>39871</v>
      </c>
      <c r="G499" s="1">
        <f>IFERROR(__xludf.DUMMYFUNCTION("""COMPUTED_VALUE"""),10043.0)</f>
        <v>10043</v>
      </c>
    </row>
    <row r="500">
      <c r="A500" s="1" t="str">
        <f>IFERROR(__xludf.DUMMYFUNCTION("""COMPUTED_VALUE"""),"Heritage Community Bank")</f>
        <v>Heritage Community Bank</v>
      </c>
      <c r="B500" s="1" t="str">
        <f>IFERROR(__xludf.DUMMYFUNCTION("""COMPUTED_VALUE"""),"Glenwood")</f>
        <v>Glenwood</v>
      </c>
      <c r="C500" s="1" t="str">
        <f>IFERROR(__xludf.DUMMYFUNCTION("""COMPUTED_VALUE"""),"IL")</f>
        <v>IL</v>
      </c>
      <c r="D500" s="1">
        <f>IFERROR(__xludf.DUMMYFUNCTION("""COMPUTED_VALUE"""),20078.0)</f>
        <v>20078</v>
      </c>
      <c r="E500" s="1" t="str">
        <f>IFERROR(__xludf.DUMMYFUNCTION("""COMPUTED_VALUE"""),"MB Financial Bank, N.A.")</f>
        <v>MB Financial Bank, N.A.</v>
      </c>
      <c r="F500" s="2">
        <f>IFERROR(__xludf.DUMMYFUNCTION("""COMPUTED_VALUE"""),39871.0)</f>
        <v>39871</v>
      </c>
      <c r="G500" s="1">
        <f>IFERROR(__xludf.DUMMYFUNCTION("""COMPUTED_VALUE"""),10042.0)</f>
        <v>10042</v>
      </c>
    </row>
    <row r="501">
      <c r="A501" s="1" t="str">
        <f>IFERROR(__xludf.DUMMYFUNCTION("""COMPUTED_VALUE"""),"Silver Falls Bank")</f>
        <v>Silver Falls Bank</v>
      </c>
      <c r="B501" s="1" t="str">
        <f>IFERROR(__xludf.DUMMYFUNCTION("""COMPUTED_VALUE"""),"Silverton")</f>
        <v>Silverton</v>
      </c>
      <c r="C501" s="1" t="str">
        <f>IFERROR(__xludf.DUMMYFUNCTION("""COMPUTED_VALUE"""),"OR")</f>
        <v>OR</v>
      </c>
      <c r="D501" s="1">
        <f>IFERROR(__xludf.DUMMYFUNCTION("""COMPUTED_VALUE"""),35399.0)</f>
        <v>35399</v>
      </c>
      <c r="E501" s="1" t="str">
        <f>IFERROR(__xludf.DUMMYFUNCTION("""COMPUTED_VALUE"""),"Citizens Bank")</f>
        <v>Citizens Bank</v>
      </c>
      <c r="F501" s="2">
        <f>IFERROR(__xludf.DUMMYFUNCTION("""COMPUTED_VALUE"""),39864.0)</f>
        <v>39864</v>
      </c>
      <c r="G501" s="1">
        <f>IFERROR(__xludf.DUMMYFUNCTION("""COMPUTED_VALUE"""),10041.0)</f>
        <v>10041</v>
      </c>
    </row>
    <row r="502">
      <c r="A502" s="1" t="str">
        <f>IFERROR(__xludf.DUMMYFUNCTION("""COMPUTED_VALUE"""),"Pinnacle Bank of Oregon")</f>
        <v>Pinnacle Bank of Oregon</v>
      </c>
      <c r="B502" s="1" t="str">
        <f>IFERROR(__xludf.DUMMYFUNCTION("""COMPUTED_VALUE"""),"Beaverton")</f>
        <v>Beaverton</v>
      </c>
      <c r="C502" s="1" t="str">
        <f>IFERROR(__xludf.DUMMYFUNCTION("""COMPUTED_VALUE"""),"OR")</f>
        <v>OR</v>
      </c>
      <c r="D502" s="1">
        <f>IFERROR(__xludf.DUMMYFUNCTION("""COMPUTED_VALUE"""),57342.0)</f>
        <v>57342</v>
      </c>
      <c r="E502" s="1" t="str">
        <f>IFERROR(__xludf.DUMMYFUNCTION("""COMPUTED_VALUE"""),"Washington Trust Bank of Spokane")</f>
        <v>Washington Trust Bank of Spokane</v>
      </c>
      <c r="F502" s="2">
        <f>IFERROR(__xludf.DUMMYFUNCTION("""COMPUTED_VALUE"""),39857.0)</f>
        <v>39857</v>
      </c>
      <c r="G502" s="1">
        <f>IFERROR(__xludf.DUMMYFUNCTION("""COMPUTED_VALUE"""),10040.0)</f>
        <v>10040</v>
      </c>
    </row>
    <row r="503">
      <c r="A503" s="1" t="str">
        <f>IFERROR(__xludf.DUMMYFUNCTION("""COMPUTED_VALUE"""),"Corn Belt Bank &amp; Trust Co.")</f>
        <v>Corn Belt Bank &amp; Trust Co.</v>
      </c>
      <c r="B503" s="1" t="str">
        <f>IFERROR(__xludf.DUMMYFUNCTION("""COMPUTED_VALUE"""),"Pittsfield")</f>
        <v>Pittsfield</v>
      </c>
      <c r="C503" s="1" t="str">
        <f>IFERROR(__xludf.DUMMYFUNCTION("""COMPUTED_VALUE"""),"IL")</f>
        <v>IL</v>
      </c>
      <c r="D503" s="1">
        <f>IFERROR(__xludf.DUMMYFUNCTION("""COMPUTED_VALUE"""),16500.0)</f>
        <v>16500</v>
      </c>
      <c r="E503" s="1" t="str">
        <f>IFERROR(__xludf.DUMMYFUNCTION("""COMPUTED_VALUE"""),"The Carlinville National Bank")</f>
        <v>The Carlinville National Bank</v>
      </c>
      <c r="F503" s="2">
        <f>IFERROR(__xludf.DUMMYFUNCTION("""COMPUTED_VALUE"""),39857.0)</f>
        <v>39857</v>
      </c>
      <c r="G503" s="1">
        <f>IFERROR(__xludf.DUMMYFUNCTION("""COMPUTED_VALUE"""),10037.0)</f>
        <v>10037</v>
      </c>
    </row>
    <row r="504">
      <c r="A504" s="1" t="str">
        <f>IFERROR(__xludf.DUMMYFUNCTION("""COMPUTED_VALUE"""),"Riverside Bank of the Gulf Coast")</f>
        <v>Riverside Bank of the Gulf Coast</v>
      </c>
      <c r="B504" s="1" t="str">
        <f>IFERROR(__xludf.DUMMYFUNCTION("""COMPUTED_VALUE"""),"Cape Coral")</f>
        <v>Cape Coral</v>
      </c>
      <c r="C504" s="1" t="str">
        <f>IFERROR(__xludf.DUMMYFUNCTION("""COMPUTED_VALUE"""),"FL")</f>
        <v>FL</v>
      </c>
      <c r="D504" s="1">
        <f>IFERROR(__xludf.DUMMYFUNCTION("""COMPUTED_VALUE"""),34563.0)</f>
        <v>34563</v>
      </c>
      <c r="E504" s="1" t="str">
        <f>IFERROR(__xludf.DUMMYFUNCTION("""COMPUTED_VALUE"""),"TIB Bank")</f>
        <v>TIB Bank</v>
      </c>
      <c r="F504" s="2">
        <f>IFERROR(__xludf.DUMMYFUNCTION("""COMPUTED_VALUE"""),39857.0)</f>
        <v>39857</v>
      </c>
      <c r="G504" s="1">
        <f>IFERROR(__xludf.DUMMYFUNCTION("""COMPUTED_VALUE"""),10038.0)</f>
        <v>10038</v>
      </c>
    </row>
    <row r="505">
      <c r="A505" s="1" t="str">
        <f>IFERROR(__xludf.DUMMYFUNCTION("""COMPUTED_VALUE"""),"Sherman County Bank")</f>
        <v>Sherman County Bank</v>
      </c>
      <c r="B505" s="1" t="str">
        <f>IFERROR(__xludf.DUMMYFUNCTION("""COMPUTED_VALUE"""),"Loup City")</f>
        <v>Loup City</v>
      </c>
      <c r="C505" s="1" t="str">
        <f>IFERROR(__xludf.DUMMYFUNCTION("""COMPUTED_VALUE"""),"NE")</f>
        <v>NE</v>
      </c>
      <c r="D505" s="1">
        <f>IFERROR(__xludf.DUMMYFUNCTION("""COMPUTED_VALUE"""),5431.0)</f>
        <v>5431</v>
      </c>
      <c r="E505" s="1" t="str">
        <f>IFERROR(__xludf.DUMMYFUNCTION("""COMPUTED_VALUE"""),"Heritage Bank")</f>
        <v>Heritage Bank</v>
      </c>
      <c r="F505" s="2">
        <f>IFERROR(__xludf.DUMMYFUNCTION("""COMPUTED_VALUE"""),39857.0)</f>
        <v>39857</v>
      </c>
      <c r="G505" s="1">
        <f>IFERROR(__xludf.DUMMYFUNCTION("""COMPUTED_VALUE"""),10039.0)</f>
        <v>10039</v>
      </c>
    </row>
    <row r="506">
      <c r="A506" s="1" t="str">
        <f>IFERROR(__xludf.DUMMYFUNCTION("""COMPUTED_VALUE"""),"County Bank")</f>
        <v>County Bank</v>
      </c>
      <c r="B506" s="1" t="str">
        <f>IFERROR(__xludf.DUMMYFUNCTION("""COMPUTED_VALUE"""),"Merced")</f>
        <v>Merced</v>
      </c>
      <c r="C506" s="1" t="str">
        <f>IFERROR(__xludf.DUMMYFUNCTION("""COMPUTED_VALUE"""),"CA")</f>
        <v>CA</v>
      </c>
      <c r="D506" s="1">
        <f>IFERROR(__xludf.DUMMYFUNCTION("""COMPUTED_VALUE"""),22574.0)</f>
        <v>22574</v>
      </c>
      <c r="E506" s="1" t="str">
        <f>IFERROR(__xludf.DUMMYFUNCTION("""COMPUTED_VALUE"""),"Westamerica Bank")</f>
        <v>Westamerica Bank</v>
      </c>
      <c r="F506" s="2">
        <f>IFERROR(__xludf.DUMMYFUNCTION("""COMPUTED_VALUE"""),39850.0)</f>
        <v>39850</v>
      </c>
      <c r="G506" s="1">
        <f>IFERROR(__xludf.DUMMYFUNCTION("""COMPUTED_VALUE"""),10034.0)</f>
        <v>10034</v>
      </c>
    </row>
    <row r="507">
      <c r="A507" s="1" t="str">
        <f>IFERROR(__xludf.DUMMYFUNCTION("""COMPUTED_VALUE"""),"Alliance Bank")</f>
        <v>Alliance Bank</v>
      </c>
      <c r="B507" s="1" t="str">
        <f>IFERROR(__xludf.DUMMYFUNCTION("""COMPUTED_VALUE"""),"Culver City")</f>
        <v>Culver City</v>
      </c>
      <c r="C507" s="1" t="str">
        <f>IFERROR(__xludf.DUMMYFUNCTION("""COMPUTED_VALUE"""),"CA")</f>
        <v>CA</v>
      </c>
      <c r="D507" s="1">
        <f>IFERROR(__xludf.DUMMYFUNCTION("""COMPUTED_VALUE"""),23124.0)</f>
        <v>23124</v>
      </c>
      <c r="E507" s="1" t="str">
        <f>IFERROR(__xludf.DUMMYFUNCTION("""COMPUTED_VALUE"""),"California Bank &amp; Trust")</f>
        <v>California Bank &amp; Trust</v>
      </c>
      <c r="F507" s="2">
        <f>IFERROR(__xludf.DUMMYFUNCTION("""COMPUTED_VALUE"""),39850.0)</f>
        <v>39850</v>
      </c>
      <c r="G507" s="1">
        <f>IFERROR(__xludf.DUMMYFUNCTION("""COMPUTED_VALUE"""),10035.0)</f>
        <v>10035</v>
      </c>
    </row>
    <row r="508">
      <c r="A508" s="1" t="str">
        <f>IFERROR(__xludf.DUMMYFUNCTION("""COMPUTED_VALUE"""),"FirstBank Financial Services")</f>
        <v>FirstBank Financial Services</v>
      </c>
      <c r="B508" s="1" t="str">
        <f>IFERROR(__xludf.DUMMYFUNCTION("""COMPUTED_VALUE"""),"McDonough")</f>
        <v>McDonough</v>
      </c>
      <c r="C508" s="1" t="str">
        <f>IFERROR(__xludf.DUMMYFUNCTION("""COMPUTED_VALUE"""),"GA")</f>
        <v>GA</v>
      </c>
      <c r="D508" s="1">
        <f>IFERROR(__xludf.DUMMYFUNCTION("""COMPUTED_VALUE"""),57017.0)</f>
        <v>57017</v>
      </c>
      <c r="E508" s="1" t="str">
        <f>IFERROR(__xludf.DUMMYFUNCTION("""COMPUTED_VALUE"""),"Regions Bank")</f>
        <v>Regions Bank</v>
      </c>
      <c r="F508" s="2">
        <f>IFERROR(__xludf.DUMMYFUNCTION("""COMPUTED_VALUE"""),39850.0)</f>
        <v>39850</v>
      </c>
      <c r="G508" s="1">
        <f>IFERROR(__xludf.DUMMYFUNCTION("""COMPUTED_VALUE"""),10036.0)</f>
        <v>10036</v>
      </c>
    </row>
    <row r="509">
      <c r="A509" s="1" t="str">
        <f>IFERROR(__xludf.DUMMYFUNCTION("""COMPUTED_VALUE"""),"Ocala National Bank")</f>
        <v>Ocala National Bank</v>
      </c>
      <c r="B509" s="1" t="str">
        <f>IFERROR(__xludf.DUMMYFUNCTION("""COMPUTED_VALUE"""),"Ocala")</f>
        <v>Ocala</v>
      </c>
      <c r="C509" s="1" t="str">
        <f>IFERROR(__xludf.DUMMYFUNCTION("""COMPUTED_VALUE"""),"FL")</f>
        <v>FL</v>
      </c>
      <c r="D509" s="1">
        <f>IFERROR(__xludf.DUMMYFUNCTION("""COMPUTED_VALUE"""),26538.0)</f>
        <v>26538</v>
      </c>
      <c r="E509" s="1" t="str">
        <f>IFERROR(__xludf.DUMMYFUNCTION("""COMPUTED_VALUE"""),"CenterState Bank of Florida, N.A.")</f>
        <v>CenterState Bank of Florida, N.A.</v>
      </c>
      <c r="F509" s="2">
        <f>IFERROR(__xludf.DUMMYFUNCTION("""COMPUTED_VALUE"""),39843.0)</f>
        <v>39843</v>
      </c>
      <c r="G509" s="1">
        <f>IFERROR(__xludf.DUMMYFUNCTION("""COMPUTED_VALUE"""),10032.0)</f>
        <v>10032</v>
      </c>
    </row>
    <row r="510">
      <c r="A510" s="1" t="str">
        <f>IFERROR(__xludf.DUMMYFUNCTION("""COMPUTED_VALUE"""),"Suburban FSB")</f>
        <v>Suburban FSB</v>
      </c>
      <c r="B510" s="1" t="str">
        <f>IFERROR(__xludf.DUMMYFUNCTION("""COMPUTED_VALUE"""),"Crofton")</f>
        <v>Crofton</v>
      </c>
      <c r="C510" s="1" t="str">
        <f>IFERROR(__xludf.DUMMYFUNCTION("""COMPUTED_VALUE"""),"MD")</f>
        <v>MD</v>
      </c>
      <c r="D510" s="1">
        <f>IFERROR(__xludf.DUMMYFUNCTION("""COMPUTED_VALUE"""),30763.0)</f>
        <v>30763</v>
      </c>
      <c r="E510" s="1" t="str">
        <f>IFERROR(__xludf.DUMMYFUNCTION("""COMPUTED_VALUE"""),"Bank of Essex")</f>
        <v>Bank of Essex</v>
      </c>
      <c r="F510" s="2">
        <f>IFERROR(__xludf.DUMMYFUNCTION("""COMPUTED_VALUE"""),39843.0)</f>
        <v>39843</v>
      </c>
      <c r="G510" s="1">
        <f>IFERROR(__xludf.DUMMYFUNCTION("""COMPUTED_VALUE"""),10033.0)</f>
        <v>10033</v>
      </c>
    </row>
    <row r="511">
      <c r="A511" s="1" t="str">
        <f>IFERROR(__xludf.DUMMYFUNCTION("""COMPUTED_VALUE"""),"MagnetBank")</f>
        <v>MagnetBank</v>
      </c>
      <c r="B511" s="1" t="str">
        <f>IFERROR(__xludf.DUMMYFUNCTION("""COMPUTED_VALUE"""),"Salt Lake City")</f>
        <v>Salt Lake City</v>
      </c>
      <c r="C511" s="1" t="str">
        <f>IFERROR(__xludf.DUMMYFUNCTION("""COMPUTED_VALUE"""),"UT")</f>
        <v>UT</v>
      </c>
      <c r="D511" s="1">
        <f>IFERROR(__xludf.DUMMYFUNCTION("""COMPUTED_VALUE"""),58001.0)</f>
        <v>58001</v>
      </c>
      <c r="E511" s="1" t="str">
        <f>IFERROR(__xludf.DUMMYFUNCTION("""COMPUTED_VALUE"""),"No Acquirer")</f>
        <v>No Acquirer</v>
      </c>
      <c r="F511" s="2">
        <f>IFERROR(__xludf.DUMMYFUNCTION("""COMPUTED_VALUE"""),39843.0)</f>
        <v>39843</v>
      </c>
      <c r="G511" s="1">
        <f>IFERROR(__xludf.DUMMYFUNCTION("""COMPUTED_VALUE"""),10031.0)</f>
        <v>10031</v>
      </c>
    </row>
    <row r="512">
      <c r="A512" s="1" t="str">
        <f>IFERROR(__xludf.DUMMYFUNCTION("""COMPUTED_VALUE"""),"1st Centennial Bank")</f>
        <v>1st Centennial Bank</v>
      </c>
      <c r="B512" s="1" t="str">
        <f>IFERROR(__xludf.DUMMYFUNCTION("""COMPUTED_VALUE"""),"Redlands")</f>
        <v>Redlands</v>
      </c>
      <c r="C512" s="1" t="str">
        <f>IFERROR(__xludf.DUMMYFUNCTION("""COMPUTED_VALUE"""),"CA")</f>
        <v>CA</v>
      </c>
      <c r="D512" s="1">
        <f>IFERROR(__xludf.DUMMYFUNCTION("""COMPUTED_VALUE"""),33025.0)</f>
        <v>33025</v>
      </c>
      <c r="E512" s="1" t="str">
        <f>IFERROR(__xludf.DUMMYFUNCTION("""COMPUTED_VALUE"""),"First California Bank")</f>
        <v>First California Bank</v>
      </c>
      <c r="F512" s="2">
        <f>IFERROR(__xludf.DUMMYFUNCTION("""COMPUTED_VALUE"""),39836.0)</f>
        <v>39836</v>
      </c>
      <c r="G512" s="1">
        <f>IFERROR(__xludf.DUMMYFUNCTION("""COMPUTED_VALUE"""),10030.0)</f>
        <v>10030</v>
      </c>
    </row>
    <row r="513">
      <c r="A513" s="1" t="str">
        <f>IFERROR(__xludf.DUMMYFUNCTION("""COMPUTED_VALUE"""),"Bank of Clark County")</f>
        <v>Bank of Clark County</v>
      </c>
      <c r="B513" s="1" t="str">
        <f>IFERROR(__xludf.DUMMYFUNCTION("""COMPUTED_VALUE"""),"Vancouver")</f>
        <v>Vancouver</v>
      </c>
      <c r="C513" s="1" t="str">
        <f>IFERROR(__xludf.DUMMYFUNCTION("""COMPUTED_VALUE"""),"WA")</f>
        <v>WA</v>
      </c>
      <c r="D513" s="1">
        <f>IFERROR(__xludf.DUMMYFUNCTION("""COMPUTED_VALUE"""),34959.0)</f>
        <v>34959</v>
      </c>
      <c r="E513" s="1" t="str">
        <f>IFERROR(__xludf.DUMMYFUNCTION("""COMPUTED_VALUE"""),"Umpqua Bank")</f>
        <v>Umpqua Bank</v>
      </c>
      <c r="F513" s="2">
        <f>IFERROR(__xludf.DUMMYFUNCTION("""COMPUTED_VALUE"""),39829.0)</f>
        <v>39829</v>
      </c>
      <c r="G513" s="1">
        <f>IFERROR(__xludf.DUMMYFUNCTION("""COMPUTED_VALUE"""),10029.0)</f>
        <v>10029</v>
      </c>
    </row>
    <row r="514">
      <c r="A514" s="1" t="str">
        <f>IFERROR(__xludf.DUMMYFUNCTION("""COMPUTED_VALUE"""),"National Bank of Commerce")</f>
        <v>National Bank of Commerce</v>
      </c>
      <c r="B514" s="1" t="str">
        <f>IFERROR(__xludf.DUMMYFUNCTION("""COMPUTED_VALUE"""),"Berkeley")</f>
        <v>Berkeley</v>
      </c>
      <c r="C514" s="1" t="str">
        <f>IFERROR(__xludf.DUMMYFUNCTION("""COMPUTED_VALUE"""),"IL")</f>
        <v>IL</v>
      </c>
      <c r="D514" s="1">
        <f>IFERROR(__xludf.DUMMYFUNCTION("""COMPUTED_VALUE"""),19733.0)</f>
        <v>19733</v>
      </c>
      <c r="E514" s="1" t="str">
        <f>IFERROR(__xludf.DUMMYFUNCTION("""COMPUTED_VALUE"""),"Republic Bank of Chicago")</f>
        <v>Republic Bank of Chicago</v>
      </c>
      <c r="F514" s="2">
        <f>IFERROR(__xludf.DUMMYFUNCTION("""COMPUTED_VALUE"""),39829.0)</f>
        <v>39829</v>
      </c>
      <c r="G514" s="1">
        <f>IFERROR(__xludf.DUMMYFUNCTION("""COMPUTED_VALUE"""),10028.0)</f>
        <v>10028</v>
      </c>
    </row>
    <row r="515">
      <c r="A515" s="1" t="str">
        <f>IFERROR(__xludf.DUMMYFUNCTION("""COMPUTED_VALUE"""),"Sanderson State Bank
En Español")</f>
        <v>Sanderson State Bank
En Español</v>
      </c>
      <c r="B515" s="1" t="str">
        <f>IFERROR(__xludf.DUMMYFUNCTION("""COMPUTED_VALUE"""),"Sanderson")</f>
        <v>Sanderson</v>
      </c>
      <c r="C515" s="1" t="str">
        <f>IFERROR(__xludf.DUMMYFUNCTION("""COMPUTED_VALUE"""),"TX")</f>
        <v>TX</v>
      </c>
      <c r="D515" s="1">
        <f>IFERROR(__xludf.DUMMYFUNCTION("""COMPUTED_VALUE"""),11568.0)</f>
        <v>11568</v>
      </c>
      <c r="E515" s="1" t="str">
        <f>IFERROR(__xludf.DUMMYFUNCTION("""COMPUTED_VALUE"""),"The Pecos County State Bank")</f>
        <v>The Pecos County State Bank</v>
      </c>
      <c r="F515" s="2">
        <f>IFERROR(__xludf.DUMMYFUNCTION("""COMPUTED_VALUE"""),39794.0)</f>
        <v>39794</v>
      </c>
      <c r="G515" s="1">
        <f>IFERROR(__xludf.DUMMYFUNCTION("""COMPUTED_VALUE"""),10026.0)</f>
        <v>10026</v>
      </c>
    </row>
    <row r="516">
      <c r="A516" s="1" t="str">
        <f>IFERROR(__xludf.DUMMYFUNCTION("""COMPUTED_VALUE"""),"Haven Trust Bank")</f>
        <v>Haven Trust Bank</v>
      </c>
      <c r="B516" s="1" t="str">
        <f>IFERROR(__xludf.DUMMYFUNCTION("""COMPUTED_VALUE"""),"Duluth")</f>
        <v>Duluth</v>
      </c>
      <c r="C516" s="1" t="str">
        <f>IFERROR(__xludf.DUMMYFUNCTION("""COMPUTED_VALUE"""),"GA")</f>
        <v>GA</v>
      </c>
      <c r="D516" s="1">
        <f>IFERROR(__xludf.DUMMYFUNCTION("""COMPUTED_VALUE"""),35379.0)</f>
        <v>35379</v>
      </c>
      <c r="E516" s="1" t="str">
        <f>IFERROR(__xludf.DUMMYFUNCTION("""COMPUTED_VALUE"""),"Branch Banking &amp; Trust Company, (BB&amp;T)")</f>
        <v>Branch Banking &amp; Trust Company, (BB&amp;T)</v>
      </c>
      <c r="F516" s="2">
        <f>IFERROR(__xludf.DUMMYFUNCTION("""COMPUTED_VALUE"""),39794.0)</f>
        <v>39794</v>
      </c>
      <c r="G516" s="1">
        <f>IFERROR(__xludf.DUMMYFUNCTION("""COMPUTED_VALUE"""),10027.0)</f>
        <v>10027</v>
      </c>
    </row>
    <row r="517">
      <c r="A517" s="1" t="str">
        <f>IFERROR(__xludf.DUMMYFUNCTION("""COMPUTED_VALUE"""),"First Georgia Community Bank")</f>
        <v>First Georgia Community Bank</v>
      </c>
      <c r="B517" s="1" t="str">
        <f>IFERROR(__xludf.DUMMYFUNCTION("""COMPUTED_VALUE"""),"Jackson")</f>
        <v>Jackson</v>
      </c>
      <c r="C517" s="1" t="str">
        <f>IFERROR(__xludf.DUMMYFUNCTION("""COMPUTED_VALUE"""),"GA")</f>
        <v>GA</v>
      </c>
      <c r="D517" s="1">
        <f>IFERROR(__xludf.DUMMYFUNCTION("""COMPUTED_VALUE"""),34301.0)</f>
        <v>34301</v>
      </c>
      <c r="E517" s="1" t="str">
        <f>IFERROR(__xludf.DUMMYFUNCTION("""COMPUTED_VALUE"""),"United Bank")</f>
        <v>United Bank</v>
      </c>
      <c r="F517" s="2">
        <f>IFERROR(__xludf.DUMMYFUNCTION("""COMPUTED_VALUE"""),39787.0)</f>
        <v>39787</v>
      </c>
      <c r="G517" s="1">
        <f>IFERROR(__xludf.DUMMYFUNCTION("""COMPUTED_VALUE"""),10025.0)</f>
        <v>10025</v>
      </c>
    </row>
    <row r="518">
      <c r="A518" s="1" t="str">
        <f>IFERROR(__xludf.DUMMYFUNCTION("""COMPUTED_VALUE"""),"PFF Bank &amp; Trust")</f>
        <v>PFF Bank &amp; Trust</v>
      </c>
      <c r="B518" s="1" t="str">
        <f>IFERROR(__xludf.DUMMYFUNCTION("""COMPUTED_VALUE"""),"Pomona")</f>
        <v>Pomona</v>
      </c>
      <c r="C518" s="1" t="str">
        <f>IFERROR(__xludf.DUMMYFUNCTION("""COMPUTED_VALUE"""),"CA")</f>
        <v>CA</v>
      </c>
      <c r="D518" s="1">
        <f>IFERROR(__xludf.DUMMYFUNCTION("""COMPUTED_VALUE"""),28344.0)</f>
        <v>28344</v>
      </c>
      <c r="E518" s="1" t="str">
        <f>IFERROR(__xludf.DUMMYFUNCTION("""COMPUTED_VALUE"""),"U.S. Bank, N.A.")</f>
        <v>U.S. Bank, N.A.</v>
      </c>
      <c r="F518" s="2">
        <f>IFERROR(__xludf.DUMMYFUNCTION("""COMPUTED_VALUE"""),39773.0)</f>
        <v>39773</v>
      </c>
      <c r="G518" s="1">
        <f>IFERROR(__xludf.DUMMYFUNCTION("""COMPUTED_VALUE"""),10024.0)</f>
        <v>10024</v>
      </c>
    </row>
    <row r="519">
      <c r="A519" s="1" t="str">
        <f>IFERROR(__xludf.DUMMYFUNCTION("""COMPUTED_VALUE"""),"Downey Savings &amp; Loan")</f>
        <v>Downey Savings &amp; Loan</v>
      </c>
      <c r="B519" s="1" t="str">
        <f>IFERROR(__xludf.DUMMYFUNCTION("""COMPUTED_VALUE"""),"Newport Beach")</f>
        <v>Newport Beach</v>
      </c>
      <c r="C519" s="1" t="str">
        <f>IFERROR(__xludf.DUMMYFUNCTION("""COMPUTED_VALUE"""),"CA")</f>
        <v>CA</v>
      </c>
      <c r="D519" s="1">
        <f>IFERROR(__xludf.DUMMYFUNCTION("""COMPUTED_VALUE"""),30968.0)</f>
        <v>30968</v>
      </c>
      <c r="E519" s="1" t="str">
        <f>IFERROR(__xludf.DUMMYFUNCTION("""COMPUTED_VALUE"""),"U.S. Bank, N.A.")</f>
        <v>U.S. Bank, N.A.</v>
      </c>
      <c r="F519" s="2">
        <f>IFERROR(__xludf.DUMMYFUNCTION("""COMPUTED_VALUE"""),39773.0)</f>
        <v>39773</v>
      </c>
      <c r="G519" s="1">
        <f>IFERROR(__xludf.DUMMYFUNCTION("""COMPUTED_VALUE"""),10023.0)</f>
        <v>10023</v>
      </c>
    </row>
    <row r="520">
      <c r="A520" s="1" t="str">
        <f>IFERROR(__xludf.DUMMYFUNCTION("""COMPUTED_VALUE"""),"Community Bank")</f>
        <v>Community Bank</v>
      </c>
      <c r="B520" s="1" t="str">
        <f>IFERROR(__xludf.DUMMYFUNCTION("""COMPUTED_VALUE"""),"Loganville")</f>
        <v>Loganville</v>
      </c>
      <c r="C520" s="1" t="str">
        <f>IFERROR(__xludf.DUMMYFUNCTION("""COMPUTED_VALUE"""),"GA")</f>
        <v>GA</v>
      </c>
      <c r="D520" s="1">
        <f>IFERROR(__xludf.DUMMYFUNCTION("""COMPUTED_VALUE"""),16490.0)</f>
        <v>16490</v>
      </c>
      <c r="E520" s="1" t="str">
        <f>IFERROR(__xludf.DUMMYFUNCTION("""COMPUTED_VALUE"""),"Bank of Essex")</f>
        <v>Bank of Essex</v>
      </c>
      <c r="F520" s="2">
        <f>IFERROR(__xludf.DUMMYFUNCTION("""COMPUTED_VALUE"""),39773.0)</f>
        <v>39773</v>
      </c>
      <c r="G520" s="1">
        <f>IFERROR(__xludf.DUMMYFUNCTION("""COMPUTED_VALUE"""),10022.0)</f>
        <v>10022</v>
      </c>
    </row>
    <row r="521">
      <c r="A521" s="1" t="str">
        <f>IFERROR(__xludf.DUMMYFUNCTION("""COMPUTED_VALUE"""),"Security Pacific Bank")</f>
        <v>Security Pacific Bank</v>
      </c>
      <c r="B521" s="1" t="str">
        <f>IFERROR(__xludf.DUMMYFUNCTION("""COMPUTED_VALUE"""),"Los Angeles")</f>
        <v>Los Angeles</v>
      </c>
      <c r="C521" s="1" t="str">
        <f>IFERROR(__xludf.DUMMYFUNCTION("""COMPUTED_VALUE"""),"CA")</f>
        <v>CA</v>
      </c>
      <c r="D521" s="1">
        <f>IFERROR(__xludf.DUMMYFUNCTION("""COMPUTED_VALUE"""),23595.0)</f>
        <v>23595</v>
      </c>
      <c r="E521" s="1" t="str">
        <f>IFERROR(__xludf.DUMMYFUNCTION("""COMPUTED_VALUE"""),"Pacific Western Bank")</f>
        <v>Pacific Western Bank</v>
      </c>
      <c r="F521" s="2">
        <f>IFERROR(__xludf.DUMMYFUNCTION("""COMPUTED_VALUE"""),39759.0)</f>
        <v>39759</v>
      </c>
      <c r="G521" s="1">
        <f>IFERROR(__xludf.DUMMYFUNCTION("""COMPUTED_VALUE"""),10020.0)</f>
        <v>10020</v>
      </c>
    </row>
    <row r="522">
      <c r="A522" s="1" t="str">
        <f>IFERROR(__xludf.DUMMYFUNCTION("""COMPUTED_VALUE"""),"Franklin Bank, SSB")</f>
        <v>Franklin Bank, SSB</v>
      </c>
      <c r="B522" s="1" t="str">
        <f>IFERROR(__xludf.DUMMYFUNCTION("""COMPUTED_VALUE"""),"Houston")</f>
        <v>Houston</v>
      </c>
      <c r="C522" s="1" t="str">
        <f>IFERROR(__xludf.DUMMYFUNCTION("""COMPUTED_VALUE"""),"TX")</f>
        <v>TX</v>
      </c>
      <c r="D522" s="1">
        <f>IFERROR(__xludf.DUMMYFUNCTION("""COMPUTED_VALUE"""),26870.0)</f>
        <v>26870</v>
      </c>
      <c r="E522" s="1" t="str">
        <f>IFERROR(__xludf.DUMMYFUNCTION("""COMPUTED_VALUE"""),"Prosperity Bank")</f>
        <v>Prosperity Bank</v>
      </c>
      <c r="F522" s="2">
        <f>IFERROR(__xludf.DUMMYFUNCTION("""COMPUTED_VALUE"""),39759.0)</f>
        <v>39759</v>
      </c>
      <c r="G522" s="1">
        <f>IFERROR(__xludf.DUMMYFUNCTION("""COMPUTED_VALUE"""),10021.0)</f>
        <v>10021</v>
      </c>
    </row>
    <row r="523">
      <c r="A523" s="1" t="str">
        <f>IFERROR(__xludf.DUMMYFUNCTION("""COMPUTED_VALUE"""),"Freedom Bank")</f>
        <v>Freedom Bank</v>
      </c>
      <c r="B523" s="1" t="str">
        <f>IFERROR(__xludf.DUMMYFUNCTION("""COMPUTED_VALUE"""),"Bradenton")</f>
        <v>Bradenton</v>
      </c>
      <c r="C523" s="1" t="str">
        <f>IFERROR(__xludf.DUMMYFUNCTION("""COMPUTED_VALUE"""),"FL")</f>
        <v>FL</v>
      </c>
      <c r="D523" s="1">
        <f>IFERROR(__xludf.DUMMYFUNCTION("""COMPUTED_VALUE"""),57930.0)</f>
        <v>57930</v>
      </c>
      <c r="E523" s="1" t="str">
        <f>IFERROR(__xludf.DUMMYFUNCTION("""COMPUTED_VALUE"""),"Fifth Third Bank")</f>
        <v>Fifth Third Bank</v>
      </c>
      <c r="F523" s="2">
        <f>IFERROR(__xludf.DUMMYFUNCTION("""COMPUTED_VALUE"""),39752.0)</f>
        <v>39752</v>
      </c>
      <c r="G523" s="1">
        <f>IFERROR(__xludf.DUMMYFUNCTION("""COMPUTED_VALUE"""),10019.0)</f>
        <v>10019</v>
      </c>
    </row>
    <row r="524">
      <c r="A524" s="1" t="str">
        <f>IFERROR(__xludf.DUMMYFUNCTION("""COMPUTED_VALUE"""),"Alpha Bank &amp; Trust")</f>
        <v>Alpha Bank &amp; Trust</v>
      </c>
      <c r="B524" s="1" t="str">
        <f>IFERROR(__xludf.DUMMYFUNCTION("""COMPUTED_VALUE"""),"Alpharetta")</f>
        <v>Alpharetta</v>
      </c>
      <c r="C524" s="1" t="str">
        <f>IFERROR(__xludf.DUMMYFUNCTION("""COMPUTED_VALUE"""),"GA")</f>
        <v>GA</v>
      </c>
      <c r="D524" s="1">
        <f>IFERROR(__xludf.DUMMYFUNCTION("""COMPUTED_VALUE"""),58241.0)</f>
        <v>58241</v>
      </c>
      <c r="E524" s="1" t="str">
        <f>IFERROR(__xludf.DUMMYFUNCTION("""COMPUTED_VALUE"""),"Stearns Bank, N.A.")</f>
        <v>Stearns Bank, N.A.</v>
      </c>
      <c r="F524" s="2">
        <f>IFERROR(__xludf.DUMMYFUNCTION("""COMPUTED_VALUE"""),39745.0)</f>
        <v>39745</v>
      </c>
      <c r="G524" s="1">
        <f>IFERROR(__xludf.DUMMYFUNCTION("""COMPUTED_VALUE"""),10018.0)</f>
        <v>10018</v>
      </c>
    </row>
    <row r="525">
      <c r="A525" s="1" t="str">
        <f>IFERROR(__xludf.DUMMYFUNCTION("""COMPUTED_VALUE"""),"Meridian Bank")</f>
        <v>Meridian Bank</v>
      </c>
      <c r="B525" s="1" t="str">
        <f>IFERROR(__xludf.DUMMYFUNCTION("""COMPUTED_VALUE"""),"Eldred")</f>
        <v>Eldred</v>
      </c>
      <c r="C525" s="1" t="str">
        <f>IFERROR(__xludf.DUMMYFUNCTION("""COMPUTED_VALUE"""),"IL")</f>
        <v>IL</v>
      </c>
      <c r="D525" s="1">
        <f>IFERROR(__xludf.DUMMYFUNCTION("""COMPUTED_VALUE"""),13789.0)</f>
        <v>13789</v>
      </c>
      <c r="E525" s="1" t="str">
        <f>IFERROR(__xludf.DUMMYFUNCTION("""COMPUTED_VALUE"""),"National Bank")</f>
        <v>National Bank</v>
      </c>
      <c r="F525" s="2">
        <f>IFERROR(__xludf.DUMMYFUNCTION("""COMPUTED_VALUE"""),39731.0)</f>
        <v>39731</v>
      </c>
      <c r="G525" s="1">
        <f>IFERROR(__xludf.DUMMYFUNCTION("""COMPUTED_VALUE"""),10017.0)</f>
        <v>10017</v>
      </c>
    </row>
    <row r="526">
      <c r="A526" s="1" t="str">
        <f>IFERROR(__xludf.DUMMYFUNCTION("""COMPUTED_VALUE"""),"Main Street Bank")</f>
        <v>Main Street Bank</v>
      </c>
      <c r="B526" s="1" t="str">
        <f>IFERROR(__xludf.DUMMYFUNCTION("""COMPUTED_VALUE"""),"Northville")</f>
        <v>Northville</v>
      </c>
      <c r="C526" s="1" t="str">
        <f>IFERROR(__xludf.DUMMYFUNCTION("""COMPUTED_VALUE"""),"MI")</f>
        <v>MI</v>
      </c>
      <c r="D526" s="1">
        <f>IFERROR(__xludf.DUMMYFUNCTION("""COMPUTED_VALUE"""),57654.0)</f>
        <v>57654</v>
      </c>
      <c r="E526" s="1" t="str">
        <f>IFERROR(__xludf.DUMMYFUNCTION("""COMPUTED_VALUE"""),"Monroe Bank &amp; Trust")</f>
        <v>Monroe Bank &amp; Trust</v>
      </c>
      <c r="F526" s="2">
        <f>IFERROR(__xludf.DUMMYFUNCTION("""COMPUTED_VALUE"""),39731.0)</f>
        <v>39731</v>
      </c>
      <c r="G526" s="1">
        <f>IFERROR(__xludf.DUMMYFUNCTION("""COMPUTED_VALUE"""),10016.0)</f>
        <v>10016</v>
      </c>
    </row>
    <row r="527">
      <c r="A527" s="1" t="str">
        <f>IFERROR(__xludf.DUMMYFUNCTION("""COMPUTED_VALUE"""),"Washington Mutual Bank (Including its subsidiary Washington Mutual Bank FSB)")</f>
        <v>Washington Mutual Bank (Including its subsidiary Washington Mutual Bank FSB)</v>
      </c>
      <c r="B527" s="1" t="str">
        <f>IFERROR(__xludf.DUMMYFUNCTION("""COMPUTED_VALUE"""),"Henderson")</f>
        <v>Henderson</v>
      </c>
      <c r="C527" s="1" t="str">
        <f>IFERROR(__xludf.DUMMYFUNCTION("""COMPUTED_VALUE"""),"NV")</f>
        <v>NV</v>
      </c>
      <c r="D527" s="1">
        <f>IFERROR(__xludf.DUMMYFUNCTION("""COMPUTED_VALUE"""),32633.0)</f>
        <v>32633</v>
      </c>
      <c r="E527" s="1" t="str">
        <f>IFERROR(__xludf.DUMMYFUNCTION("""COMPUTED_VALUE"""),"JP Morgan Chase Bank")</f>
        <v>JP Morgan Chase Bank</v>
      </c>
      <c r="F527" s="2">
        <f>IFERROR(__xludf.DUMMYFUNCTION("""COMPUTED_VALUE"""),39716.0)</f>
        <v>39716</v>
      </c>
      <c r="G527" s="1">
        <f>IFERROR(__xludf.DUMMYFUNCTION("""COMPUTED_VALUE"""),10015.0)</f>
        <v>10015</v>
      </c>
    </row>
    <row r="528">
      <c r="A528" s="1" t="str">
        <f>IFERROR(__xludf.DUMMYFUNCTION("""COMPUTED_VALUE"""),"Ameribank")</f>
        <v>Ameribank</v>
      </c>
      <c r="B528" s="1" t="str">
        <f>IFERROR(__xludf.DUMMYFUNCTION("""COMPUTED_VALUE"""),"Northfork")</f>
        <v>Northfork</v>
      </c>
      <c r="C528" s="1" t="str">
        <f>IFERROR(__xludf.DUMMYFUNCTION("""COMPUTED_VALUE"""),"WV")</f>
        <v>WV</v>
      </c>
      <c r="D528" s="1">
        <f>IFERROR(__xludf.DUMMYFUNCTION("""COMPUTED_VALUE"""),6782.0)</f>
        <v>6782</v>
      </c>
      <c r="E528" s="1" t="str">
        <f>IFERROR(__xludf.DUMMYFUNCTION("""COMPUTED_VALUE"""),"The Citizens Savings Bank ********** Pioneer Community Bank, Inc.")</f>
        <v>The Citizens Savings Bank ********** Pioneer Community Bank, Inc.</v>
      </c>
      <c r="F528" s="2">
        <f>IFERROR(__xludf.DUMMYFUNCTION("""COMPUTED_VALUE"""),39710.0)</f>
        <v>39710</v>
      </c>
      <c r="G528" s="1">
        <f>IFERROR(__xludf.DUMMYFUNCTION("""COMPUTED_VALUE"""),10014.0)</f>
        <v>10014</v>
      </c>
    </row>
    <row r="529">
      <c r="A529" s="1" t="str">
        <f>IFERROR(__xludf.DUMMYFUNCTION("""COMPUTED_VALUE"""),"Silver State Bank
En Español")</f>
        <v>Silver State Bank
En Español</v>
      </c>
      <c r="B529" s="1" t="str">
        <f>IFERROR(__xludf.DUMMYFUNCTION("""COMPUTED_VALUE"""),"Henderson")</f>
        <v>Henderson</v>
      </c>
      <c r="C529" s="1" t="str">
        <f>IFERROR(__xludf.DUMMYFUNCTION("""COMPUTED_VALUE"""),"NV")</f>
        <v>NV</v>
      </c>
      <c r="D529" s="1">
        <f>IFERROR(__xludf.DUMMYFUNCTION("""COMPUTED_VALUE"""),34194.0)</f>
        <v>34194</v>
      </c>
      <c r="E529" s="1" t="str">
        <f>IFERROR(__xludf.DUMMYFUNCTION("""COMPUTED_VALUE"""),"Nevada State Bank")</f>
        <v>Nevada State Bank</v>
      </c>
      <c r="F529" s="2">
        <f>IFERROR(__xludf.DUMMYFUNCTION("""COMPUTED_VALUE"""),39696.0)</f>
        <v>39696</v>
      </c>
      <c r="G529" s="1">
        <f>IFERROR(__xludf.DUMMYFUNCTION("""COMPUTED_VALUE"""),10013.0)</f>
        <v>10013</v>
      </c>
    </row>
    <row r="530">
      <c r="A530" s="1" t="str">
        <f>IFERROR(__xludf.DUMMYFUNCTION("""COMPUTED_VALUE"""),"Integrity Bank")</f>
        <v>Integrity Bank</v>
      </c>
      <c r="B530" s="1" t="str">
        <f>IFERROR(__xludf.DUMMYFUNCTION("""COMPUTED_VALUE"""),"Alpharetta")</f>
        <v>Alpharetta</v>
      </c>
      <c r="C530" s="1" t="str">
        <f>IFERROR(__xludf.DUMMYFUNCTION("""COMPUTED_VALUE"""),"GA")</f>
        <v>GA</v>
      </c>
      <c r="D530" s="1">
        <f>IFERROR(__xludf.DUMMYFUNCTION("""COMPUTED_VALUE"""),35469.0)</f>
        <v>35469</v>
      </c>
      <c r="E530" s="1" t="str">
        <f>IFERROR(__xludf.DUMMYFUNCTION("""COMPUTED_VALUE"""),"Regions Bank")</f>
        <v>Regions Bank</v>
      </c>
      <c r="F530" s="2">
        <f>IFERROR(__xludf.DUMMYFUNCTION("""COMPUTED_VALUE"""),39689.0)</f>
        <v>39689</v>
      </c>
      <c r="G530" s="1">
        <f>IFERROR(__xludf.DUMMYFUNCTION("""COMPUTED_VALUE"""),10012.0)</f>
        <v>10012</v>
      </c>
    </row>
    <row r="531">
      <c r="A531" s="1" t="str">
        <f>IFERROR(__xludf.DUMMYFUNCTION("""COMPUTED_VALUE"""),"Columbian Bank &amp; Trust")</f>
        <v>Columbian Bank &amp; Trust</v>
      </c>
      <c r="B531" s="1" t="str">
        <f>IFERROR(__xludf.DUMMYFUNCTION("""COMPUTED_VALUE"""),"Topeka")</f>
        <v>Topeka</v>
      </c>
      <c r="C531" s="1" t="str">
        <f>IFERROR(__xludf.DUMMYFUNCTION("""COMPUTED_VALUE"""),"KS")</f>
        <v>KS</v>
      </c>
      <c r="D531" s="1">
        <f>IFERROR(__xludf.DUMMYFUNCTION("""COMPUTED_VALUE"""),22728.0)</f>
        <v>22728</v>
      </c>
      <c r="E531" s="1" t="str">
        <f>IFERROR(__xludf.DUMMYFUNCTION("""COMPUTED_VALUE"""),"Citizens Bank &amp; Trust")</f>
        <v>Citizens Bank &amp; Trust</v>
      </c>
      <c r="F531" s="2">
        <f>IFERROR(__xludf.DUMMYFUNCTION("""COMPUTED_VALUE"""),39682.0)</f>
        <v>39682</v>
      </c>
      <c r="G531" s="1">
        <f>IFERROR(__xludf.DUMMYFUNCTION("""COMPUTED_VALUE"""),10011.0)</f>
        <v>10011</v>
      </c>
    </row>
    <row r="532">
      <c r="A532" s="1" t="str">
        <f>IFERROR(__xludf.DUMMYFUNCTION("""COMPUTED_VALUE"""),"First Priority Bank")</f>
        <v>First Priority Bank</v>
      </c>
      <c r="B532" s="1" t="str">
        <f>IFERROR(__xludf.DUMMYFUNCTION("""COMPUTED_VALUE"""),"Bradenton")</f>
        <v>Bradenton</v>
      </c>
      <c r="C532" s="1" t="str">
        <f>IFERROR(__xludf.DUMMYFUNCTION("""COMPUTED_VALUE"""),"FL")</f>
        <v>FL</v>
      </c>
      <c r="D532" s="1">
        <f>IFERROR(__xludf.DUMMYFUNCTION("""COMPUTED_VALUE"""),57523.0)</f>
        <v>57523</v>
      </c>
      <c r="E532" s="1" t="str">
        <f>IFERROR(__xludf.DUMMYFUNCTION("""COMPUTED_VALUE"""),"SunTrust Bank")</f>
        <v>SunTrust Bank</v>
      </c>
      <c r="F532" s="2">
        <f>IFERROR(__xludf.DUMMYFUNCTION("""COMPUTED_VALUE"""),39661.0)</f>
        <v>39661</v>
      </c>
      <c r="G532" s="1">
        <f>IFERROR(__xludf.DUMMYFUNCTION("""COMPUTED_VALUE"""),10010.0)</f>
        <v>10010</v>
      </c>
    </row>
    <row r="533">
      <c r="A533" s="1" t="str">
        <f>IFERROR(__xludf.DUMMYFUNCTION("""COMPUTED_VALUE"""),"First Heritage Bank, NA")</f>
        <v>First Heritage Bank, NA</v>
      </c>
      <c r="B533" s="1" t="str">
        <f>IFERROR(__xludf.DUMMYFUNCTION("""COMPUTED_VALUE"""),"Newport Beach")</f>
        <v>Newport Beach</v>
      </c>
      <c r="C533" s="1" t="str">
        <f>IFERROR(__xludf.DUMMYFUNCTION("""COMPUTED_VALUE"""),"CA")</f>
        <v>CA</v>
      </c>
      <c r="D533" s="1">
        <f>IFERROR(__xludf.DUMMYFUNCTION("""COMPUTED_VALUE"""),57961.0)</f>
        <v>57961</v>
      </c>
      <c r="E533" s="1" t="str">
        <f>IFERROR(__xludf.DUMMYFUNCTION("""COMPUTED_VALUE"""),"Mutual of Omaha Bank")</f>
        <v>Mutual of Omaha Bank</v>
      </c>
      <c r="F533" s="2">
        <f>IFERROR(__xludf.DUMMYFUNCTION("""COMPUTED_VALUE"""),39654.0)</f>
        <v>39654</v>
      </c>
      <c r="G533" s="1">
        <f>IFERROR(__xludf.DUMMYFUNCTION("""COMPUTED_VALUE"""),10009.0)</f>
        <v>10009</v>
      </c>
    </row>
    <row r="534">
      <c r="A534" s="1" t="str">
        <f>IFERROR(__xludf.DUMMYFUNCTION("""COMPUTED_VALUE"""),"First National Bank of Nevada")</f>
        <v>First National Bank of Nevada</v>
      </c>
      <c r="B534" s="1" t="str">
        <f>IFERROR(__xludf.DUMMYFUNCTION("""COMPUTED_VALUE"""),"Reno")</f>
        <v>Reno</v>
      </c>
      <c r="C534" s="1" t="str">
        <f>IFERROR(__xludf.DUMMYFUNCTION("""COMPUTED_VALUE"""),"NV")</f>
        <v>NV</v>
      </c>
      <c r="D534" s="1">
        <f>IFERROR(__xludf.DUMMYFUNCTION("""COMPUTED_VALUE"""),27011.0)</f>
        <v>27011</v>
      </c>
      <c r="E534" s="1" t="str">
        <f>IFERROR(__xludf.DUMMYFUNCTION("""COMPUTED_VALUE"""),"Mutual of Omaha Bank")</f>
        <v>Mutual of Omaha Bank</v>
      </c>
      <c r="F534" s="2">
        <f>IFERROR(__xludf.DUMMYFUNCTION("""COMPUTED_VALUE"""),39654.0)</f>
        <v>39654</v>
      </c>
      <c r="G534" s="1">
        <f>IFERROR(__xludf.DUMMYFUNCTION("""COMPUTED_VALUE"""),10008.0)</f>
        <v>10008</v>
      </c>
    </row>
    <row r="535">
      <c r="A535" s="1" t="str">
        <f>IFERROR(__xludf.DUMMYFUNCTION("""COMPUTED_VALUE"""),"IndyMac Bank")</f>
        <v>IndyMac Bank</v>
      </c>
      <c r="B535" s="1" t="str">
        <f>IFERROR(__xludf.DUMMYFUNCTION("""COMPUTED_VALUE"""),"Pasadena")</f>
        <v>Pasadena</v>
      </c>
      <c r="C535" s="1" t="str">
        <f>IFERROR(__xludf.DUMMYFUNCTION("""COMPUTED_VALUE"""),"CA")</f>
        <v>CA</v>
      </c>
      <c r="D535" s="1">
        <f>IFERROR(__xludf.DUMMYFUNCTION("""COMPUTED_VALUE"""),29730.0)</f>
        <v>29730</v>
      </c>
      <c r="E535" s="1" t="str">
        <f>IFERROR(__xludf.DUMMYFUNCTION("""COMPUTED_VALUE"""),"OneWest Bank, FSB")</f>
        <v>OneWest Bank, FSB</v>
      </c>
      <c r="F535" s="2">
        <f>IFERROR(__xludf.DUMMYFUNCTION("""COMPUTED_VALUE"""),39640.0)</f>
        <v>39640</v>
      </c>
      <c r="G535" s="1">
        <f>IFERROR(__xludf.DUMMYFUNCTION("""COMPUTED_VALUE"""),10007.0)</f>
        <v>10007</v>
      </c>
    </row>
    <row r="536">
      <c r="A536" s="1" t="str">
        <f>IFERROR(__xludf.DUMMYFUNCTION("""COMPUTED_VALUE"""),"First Integrity Bank, NA")</f>
        <v>First Integrity Bank, NA</v>
      </c>
      <c r="B536" s="1" t="str">
        <f>IFERROR(__xludf.DUMMYFUNCTION("""COMPUTED_VALUE"""),"Staples")</f>
        <v>Staples</v>
      </c>
      <c r="C536" s="1" t="str">
        <f>IFERROR(__xludf.DUMMYFUNCTION("""COMPUTED_VALUE"""),"MN")</f>
        <v>MN</v>
      </c>
      <c r="D536" s="1">
        <f>IFERROR(__xludf.DUMMYFUNCTION("""COMPUTED_VALUE"""),12736.0)</f>
        <v>12736</v>
      </c>
      <c r="E536" s="1" t="str">
        <f>IFERROR(__xludf.DUMMYFUNCTION("""COMPUTED_VALUE"""),"First International Bank and Trust")</f>
        <v>First International Bank and Trust</v>
      </c>
      <c r="F536" s="2">
        <f>IFERROR(__xludf.DUMMYFUNCTION("""COMPUTED_VALUE"""),39598.0)</f>
        <v>39598</v>
      </c>
      <c r="G536" s="1">
        <f>IFERROR(__xludf.DUMMYFUNCTION("""COMPUTED_VALUE"""),10006.0)</f>
        <v>10006</v>
      </c>
    </row>
    <row r="537">
      <c r="A537" s="1" t="str">
        <f>IFERROR(__xludf.DUMMYFUNCTION("""COMPUTED_VALUE"""),"ANB Financial, NA")</f>
        <v>ANB Financial, NA</v>
      </c>
      <c r="B537" s="1" t="str">
        <f>IFERROR(__xludf.DUMMYFUNCTION("""COMPUTED_VALUE"""),"Bentonville")</f>
        <v>Bentonville</v>
      </c>
      <c r="C537" s="1" t="str">
        <f>IFERROR(__xludf.DUMMYFUNCTION("""COMPUTED_VALUE"""),"AR")</f>
        <v>AR</v>
      </c>
      <c r="D537" s="1">
        <f>IFERROR(__xludf.DUMMYFUNCTION("""COMPUTED_VALUE"""),33901.0)</f>
        <v>33901</v>
      </c>
      <c r="E537" s="1" t="str">
        <f>IFERROR(__xludf.DUMMYFUNCTION("""COMPUTED_VALUE"""),"Pulaski Bank and Trust Company")</f>
        <v>Pulaski Bank and Trust Company</v>
      </c>
      <c r="F537" s="2">
        <f>IFERROR(__xludf.DUMMYFUNCTION("""COMPUTED_VALUE"""),39577.0)</f>
        <v>39577</v>
      </c>
      <c r="G537" s="1">
        <f>IFERROR(__xludf.DUMMYFUNCTION("""COMPUTED_VALUE"""),10005.0)</f>
        <v>10005</v>
      </c>
    </row>
    <row r="538">
      <c r="A538" s="1" t="str">
        <f>IFERROR(__xludf.DUMMYFUNCTION("""COMPUTED_VALUE"""),"Hume Bank")</f>
        <v>Hume Bank</v>
      </c>
      <c r="B538" s="1" t="str">
        <f>IFERROR(__xludf.DUMMYFUNCTION("""COMPUTED_VALUE"""),"Hume")</f>
        <v>Hume</v>
      </c>
      <c r="C538" s="1" t="str">
        <f>IFERROR(__xludf.DUMMYFUNCTION("""COMPUTED_VALUE"""),"MO")</f>
        <v>MO</v>
      </c>
      <c r="D538" s="1">
        <f>IFERROR(__xludf.DUMMYFUNCTION("""COMPUTED_VALUE"""),1971.0)</f>
        <v>1971</v>
      </c>
      <c r="E538" s="1" t="str">
        <f>IFERROR(__xludf.DUMMYFUNCTION("""COMPUTED_VALUE"""),"Security Bank")</f>
        <v>Security Bank</v>
      </c>
      <c r="F538" s="2">
        <f>IFERROR(__xludf.DUMMYFUNCTION("""COMPUTED_VALUE"""),39514.0)</f>
        <v>39514</v>
      </c>
      <c r="G538" s="1">
        <f>IFERROR(__xludf.DUMMYFUNCTION("""COMPUTED_VALUE"""),10004.0)</f>
        <v>10004</v>
      </c>
    </row>
    <row r="539">
      <c r="A539" s="1" t="str">
        <f>IFERROR(__xludf.DUMMYFUNCTION("""COMPUTED_VALUE"""),"Douglass National Bank")</f>
        <v>Douglass National Bank</v>
      </c>
      <c r="B539" s="1" t="str">
        <f>IFERROR(__xludf.DUMMYFUNCTION("""COMPUTED_VALUE"""),"Kansas City")</f>
        <v>Kansas City</v>
      </c>
      <c r="C539" s="1" t="str">
        <f>IFERROR(__xludf.DUMMYFUNCTION("""COMPUTED_VALUE"""),"MO")</f>
        <v>MO</v>
      </c>
      <c r="D539" s="1">
        <f>IFERROR(__xludf.DUMMYFUNCTION("""COMPUTED_VALUE"""),24660.0)</f>
        <v>24660</v>
      </c>
      <c r="E539" s="1" t="str">
        <f>IFERROR(__xludf.DUMMYFUNCTION("""COMPUTED_VALUE"""),"Liberty Bank and Trust Company")</f>
        <v>Liberty Bank and Trust Company</v>
      </c>
      <c r="F539" s="2">
        <f>IFERROR(__xludf.DUMMYFUNCTION("""COMPUTED_VALUE"""),39472.0)</f>
        <v>39472</v>
      </c>
      <c r="G539" s="1">
        <f>IFERROR(__xludf.DUMMYFUNCTION("""COMPUTED_VALUE"""),10003.0)</f>
        <v>10003</v>
      </c>
    </row>
    <row r="540">
      <c r="A540" s="1" t="str">
        <f>IFERROR(__xludf.DUMMYFUNCTION("""COMPUTED_VALUE"""),"Miami Valley Bank")</f>
        <v>Miami Valley Bank</v>
      </c>
      <c r="B540" s="1" t="str">
        <f>IFERROR(__xludf.DUMMYFUNCTION("""COMPUTED_VALUE"""),"Lakeview")</f>
        <v>Lakeview</v>
      </c>
      <c r="C540" s="1" t="str">
        <f>IFERROR(__xludf.DUMMYFUNCTION("""COMPUTED_VALUE"""),"OH")</f>
        <v>OH</v>
      </c>
      <c r="D540" s="1">
        <f>IFERROR(__xludf.DUMMYFUNCTION("""COMPUTED_VALUE"""),16848.0)</f>
        <v>16848</v>
      </c>
      <c r="E540" s="1" t="str">
        <f>IFERROR(__xludf.DUMMYFUNCTION("""COMPUTED_VALUE"""),"The Citizens Banking Company")</f>
        <v>The Citizens Banking Company</v>
      </c>
      <c r="F540" s="2">
        <f>IFERROR(__xludf.DUMMYFUNCTION("""COMPUTED_VALUE"""),39359.0)</f>
        <v>39359</v>
      </c>
      <c r="G540" s="1">
        <f>IFERROR(__xludf.DUMMYFUNCTION("""COMPUTED_VALUE"""),10002.0)</f>
        <v>10002</v>
      </c>
    </row>
    <row r="541">
      <c r="A541" s="1" t="str">
        <f>IFERROR(__xludf.DUMMYFUNCTION("""COMPUTED_VALUE"""),"NetBank")</f>
        <v>NetBank</v>
      </c>
      <c r="B541" s="1" t="str">
        <f>IFERROR(__xludf.DUMMYFUNCTION("""COMPUTED_VALUE"""),"Alpharetta")</f>
        <v>Alpharetta</v>
      </c>
      <c r="C541" s="1" t="str">
        <f>IFERROR(__xludf.DUMMYFUNCTION("""COMPUTED_VALUE"""),"GA")</f>
        <v>GA</v>
      </c>
      <c r="D541" s="1">
        <f>IFERROR(__xludf.DUMMYFUNCTION("""COMPUTED_VALUE"""),32575.0)</f>
        <v>32575</v>
      </c>
      <c r="E541" s="1" t="str">
        <f>IFERROR(__xludf.DUMMYFUNCTION("""COMPUTED_VALUE"""),"ING DIRECT")</f>
        <v>ING DIRECT</v>
      </c>
      <c r="F541" s="2">
        <f>IFERROR(__xludf.DUMMYFUNCTION("""COMPUTED_VALUE"""),39353.0)</f>
        <v>39353</v>
      </c>
      <c r="G541" s="1">
        <f>IFERROR(__xludf.DUMMYFUNCTION("""COMPUTED_VALUE"""),10001.0)</f>
        <v>10001</v>
      </c>
    </row>
    <row r="542">
      <c r="A542" s="1" t="str">
        <f>IFERROR(__xludf.DUMMYFUNCTION("""COMPUTED_VALUE"""),"Metropolitan Savings Bank")</f>
        <v>Metropolitan Savings Bank</v>
      </c>
      <c r="B542" s="1" t="str">
        <f>IFERROR(__xludf.DUMMYFUNCTION("""COMPUTED_VALUE"""),"Pittsburgh")</f>
        <v>Pittsburgh</v>
      </c>
      <c r="C542" s="1" t="str">
        <f>IFERROR(__xludf.DUMMYFUNCTION("""COMPUTED_VALUE"""),"PA")</f>
        <v>PA</v>
      </c>
      <c r="D542" s="1">
        <f>IFERROR(__xludf.DUMMYFUNCTION("""COMPUTED_VALUE"""),35353.0)</f>
        <v>35353</v>
      </c>
      <c r="E542" s="1" t="str">
        <f>IFERROR(__xludf.DUMMYFUNCTION("""COMPUTED_VALUE"""),"Allegheny Valley Bank of Pittsburgh")</f>
        <v>Allegheny Valley Bank of Pittsburgh</v>
      </c>
      <c r="F542" s="2">
        <f>IFERROR(__xludf.DUMMYFUNCTION("""COMPUTED_VALUE"""),39115.0)</f>
        <v>39115</v>
      </c>
      <c r="G542" s="1">
        <f>IFERROR(__xludf.DUMMYFUNCTION("""COMPUTED_VALUE"""),10000.0)</f>
        <v>10000</v>
      </c>
    </row>
    <row r="543">
      <c r="A543" s="1" t="str">
        <f>IFERROR(__xludf.DUMMYFUNCTION("""COMPUTED_VALUE"""),"Bank of Ephraim")</f>
        <v>Bank of Ephraim</v>
      </c>
      <c r="B543" s="1" t="str">
        <f>IFERROR(__xludf.DUMMYFUNCTION("""COMPUTED_VALUE"""),"Ephraim")</f>
        <v>Ephraim</v>
      </c>
      <c r="C543" s="1" t="str">
        <f>IFERROR(__xludf.DUMMYFUNCTION("""COMPUTED_VALUE"""),"UT")</f>
        <v>UT</v>
      </c>
      <c r="D543" s="1">
        <f>IFERROR(__xludf.DUMMYFUNCTION("""COMPUTED_VALUE"""),1249.0)</f>
        <v>1249</v>
      </c>
      <c r="E543" s="1" t="str">
        <f>IFERROR(__xludf.DUMMYFUNCTION("""COMPUTED_VALUE"""),"Far West Bank")</f>
        <v>Far West Bank</v>
      </c>
      <c r="F543" s="2">
        <f>IFERROR(__xludf.DUMMYFUNCTION("""COMPUTED_VALUE"""),38163.0)</f>
        <v>38163</v>
      </c>
      <c r="G543" s="1">
        <f>IFERROR(__xludf.DUMMYFUNCTION("""COMPUTED_VALUE"""),4665.0)</f>
        <v>4665</v>
      </c>
    </row>
    <row r="544">
      <c r="A544" s="1" t="str">
        <f>IFERROR(__xludf.DUMMYFUNCTION("""COMPUTED_VALUE"""),"Reliance Bank")</f>
        <v>Reliance Bank</v>
      </c>
      <c r="B544" s="1" t="str">
        <f>IFERROR(__xludf.DUMMYFUNCTION("""COMPUTED_VALUE"""),"White Plains")</f>
        <v>White Plains</v>
      </c>
      <c r="C544" s="1" t="str">
        <f>IFERROR(__xludf.DUMMYFUNCTION("""COMPUTED_VALUE"""),"NY")</f>
        <v>NY</v>
      </c>
      <c r="D544" s="1">
        <f>IFERROR(__xludf.DUMMYFUNCTION("""COMPUTED_VALUE"""),26778.0)</f>
        <v>26778</v>
      </c>
      <c r="E544" s="1" t="str">
        <f>IFERROR(__xludf.DUMMYFUNCTION("""COMPUTED_VALUE"""),"Union State Bank")</f>
        <v>Union State Bank</v>
      </c>
      <c r="F544" s="2">
        <f>IFERROR(__xludf.DUMMYFUNCTION("""COMPUTED_VALUE"""),38065.0)</f>
        <v>38065</v>
      </c>
      <c r="G544" s="1">
        <f>IFERROR(__xludf.DUMMYFUNCTION("""COMPUTED_VALUE"""),4664.0)</f>
        <v>4664</v>
      </c>
    </row>
    <row r="545">
      <c r="A545" s="1" t="str">
        <f>IFERROR(__xludf.DUMMYFUNCTION("""COMPUTED_VALUE"""),"Guaranty National Bank of Tallahassee")</f>
        <v>Guaranty National Bank of Tallahassee</v>
      </c>
      <c r="B545" s="1" t="str">
        <f>IFERROR(__xludf.DUMMYFUNCTION("""COMPUTED_VALUE"""),"Tallahassee")</f>
        <v>Tallahassee</v>
      </c>
      <c r="C545" s="1" t="str">
        <f>IFERROR(__xludf.DUMMYFUNCTION("""COMPUTED_VALUE"""),"FL")</f>
        <v>FL</v>
      </c>
      <c r="D545" s="1">
        <f>IFERROR(__xludf.DUMMYFUNCTION("""COMPUTED_VALUE"""),26838.0)</f>
        <v>26838</v>
      </c>
      <c r="E545" s="1" t="str">
        <f>IFERROR(__xludf.DUMMYFUNCTION("""COMPUTED_VALUE"""),"Hancock Bank of Florida")</f>
        <v>Hancock Bank of Florida</v>
      </c>
      <c r="F545" s="2">
        <f>IFERROR(__xludf.DUMMYFUNCTION("""COMPUTED_VALUE"""),38058.0)</f>
        <v>38058</v>
      </c>
      <c r="G545" s="1">
        <f>IFERROR(__xludf.DUMMYFUNCTION("""COMPUTED_VALUE"""),4663.0)</f>
        <v>4663</v>
      </c>
    </row>
    <row r="546">
      <c r="A546" s="1" t="str">
        <f>IFERROR(__xludf.DUMMYFUNCTION("""COMPUTED_VALUE"""),"Dollar Savings Bank")</f>
        <v>Dollar Savings Bank</v>
      </c>
      <c r="B546" s="1" t="str">
        <f>IFERROR(__xludf.DUMMYFUNCTION("""COMPUTED_VALUE"""),"Newark")</f>
        <v>Newark</v>
      </c>
      <c r="C546" s="1" t="str">
        <f>IFERROR(__xludf.DUMMYFUNCTION("""COMPUTED_VALUE"""),"NJ")</f>
        <v>NJ</v>
      </c>
      <c r="D546" s="1">
        <f>IFERROR(__xludf.DUMMYFUNCTION("""COMPUTED_VALUE"""),31330.0)</f>
        <v>31330</v>
      </c>
      <c r="E546" s="1" t="str">
        <f>IFERROR(__xludf.DUMMYFUNCTION("""COMPUTED_VALUE"""),"No Acquirer")</f>
        <v>No Acquirer</v>
      </c>
      <c r="F546" s="2">
        <f>IFERROR(__xludf.DUMMYFUNCTION("""COMPUTED_VALUE"""),38031.0)</f>
        <v>38031</v>
      </c>
      <c r="G546" s="1">
        <f>IFERROR(__xludf.DUMMYFUNCTION("""COMPUTED_VALUE"""),6006.0)</f>
        <v>6006</v>
      </c>
    </row>
    <row r="547">
      <c r="A547" s="1" t="str">
        <f>IFERROR(__xludf.DUMMYFUNCTION("""COMPUTED_VALUE"""),"Pulaski Savings Bank")</f>
        <v>Pulaski Savings Bank</v>
      </c>
      <c r="B547" s="1" t="str">
        <f>IFERROR(__xludf.DUMMYFUNCTION("""COMPUTED_VALUE"""),"Philadelphia")</f>
        <v>Philadelphia</v>
      </c>
      <c r="C547" s="1" t="str">
        <f>IFERROR(__xludf.DUMMYFUNCTION("""COMPUTED_VALUE"""),"PA")</f>
        <v>PA</v>
      </c>
      <c r="D547" s="1">
        <f>IFERROR(__xludf.DUMMYFUNCTION("""COMPUTED_VALUE"""),27203.0)</f>
        <v>27203</v>
      </c>
      <c r="E547" s="1" t="str">
        <f>IFERROR(__xludf.DUMMYFUNCTION("""COMPUTED_VALUE"""),"Earthstar Bank")</f>
        <v>Earthstar Bank</v>
      </c>
      <c r="F547" s="2">
        <f>IFERROR(__xludf.DUMMYFUNCTION("""COMPUTED_VALUE"""),37939.0)</f>
        <v>37939</v>
      </c>
      <c r="G547" s="1">
        <f>IFERROR(__xludf.DUMMYFUNCTION("""COMPUTED_VALUE"""),4662.0)</f>
        <v>4662</v>
      </c>
    </row>
    <row r="548">
      <c r="A548" s="1" t="str">
        <f>IFERROR(__xludf.DUMMYFUNCTION("""COMPUTED_VALUE"""),"First National Bank of Blanchardville")</f>
        <v>First National Bank of Blanchardville</v>
      </c>
      <c r="B548" s="1" t="str">
        <f>IFERROR(__xludf.DUMMYFUNCTION("""COMPUTED_VALUE"""),"Blanchardville")</f>
        <v>Blanchardville</v>
      </c>
      <c r="C548" s="1" t="str">
        <f>IFERROR(__xludf.DUMMYFUNCTION("""COMPUTED_VALUE"""),"WI")</f>
        <v>WI</v>
      </c>
      <c r="D548" s="1">
        <f>IFERROR(__xludf.DUMMYFUNCTION("""COMPUTED_VALUE"""),11639.0)</f>
        <v>11639</v>
      </c>
      <c r="E548" s="1" t="str">
        <f>IFERROR(__xludf.DUMMYFUNCTION("""COMPUTED_VALUE"""),"The Park Bank")</f>
        <v>The Park Bank</v>
      </c>
      <c r="F548" s="2">
        <f>IFERROR(__xludf.DUMMYFUNCTION("""COMPUTED_VALUE"""),37750.0)</f>
        <v>37750</v>
      </c>
      <c r="G548" s="1">
        <f>IFERROR(__xludf.DUMMYFUNCTION("""COMPUTED_VALUE"""),4661.0)</f>
        <v>4661</v>
      </c>
    </row>
    <row r="549">
      <c r="A549" s="1" t="str">
        <f>IFERROR(__xludf.DUMMYFUNCTION("""COMPUTED_VALUE"""),"Southern Pacific Bank")</f>
        <v>Southern Pacific Bank</v>
      </c>
      <c r="B549" s="1" t="str">
        <f>IFERROR(__xludf.DUMMYFUNCTION("""COMPUTED_VALUE"""),"Torrance")</f>
        <v>Torrance</v>
      </c>
      <c r="C549" s="1" t="str">
        <f>IFERROR(__xludf.DUMMYFUNCTION("""COMPUTED_VALUE"""),"CA")</f>
        <v>CA</v>
      </c>
      <c r="D549" s="1">
        <f>IFERROR(__xludf.DUMMYFUNCTION("""COMPUTED_VALUE"""),27094.0)</f>
        <v>27094</v>
      </c>
      <c r="E549" s="1" t="str">
        <f>IFERROR(__xludf.DUMMYFUNCTION("""COMPUTED_VALUE"""),"Beal Bank")</f>
        <v>Beal Bank</v>
      </c>
      <c r="F549" s="2">
        <f>IFERROR(__xludf.DUMMYFUNCTION("""COMPUTED_VALUE"""),37659.0)</f>
        <v>37659</v>
      </c>
      <c r="G549" s="1">
        <f>IFERROR(__xludf.DUMMYFUNCTION("""COMPUTED_VALUE"""),4660.0)</f>
        <v>4660</v>
      </c>
    </row>
    <row r="550">
      <c r="A550" s="1" t="str">
        <f>IFERROR(__xludf.DUMMYFUNCTION("""COMPUTED_VALUE"""),"Farmers Bank of Cheneyville")</f>
        <v>Farmers Bank of Cheneyville</v>
      </c>
      <c r="B550" s="1" t="str">
        <f>IFERROR(__xludf.DUMMYFUNCTION("""COMPUTED_VALUE"""),"Cheneyville")</f>
        <v>Cheneyville</v>
      </c>
      <c r="C550" s="1" t="str">
        <f>IFERROR(__xludf.DUMMYFUNCTION("""COMPUTED_VALUE"""),"LA")</f>
        <v>LA</v>
      </c>
      <c r="D550" s="1">
        <f>IFERROR(__xludf.DUMMYFUNCTION("""COMPUTED_VALUE"""),16445.0)</f>
        <v>16445</v>
      </c>
      <c r="E550" s="1" t="str">
        <f>IFERROR(__xludf.DUMMYFUNCTION("""COMPUTED_VALUE"""),"Sabine State Bank &amp; Trust")</f>
        <v>Sabine State Bank &amp; Trust</v>
      </c>
      <c r="F550" s="2">
        <f>IFERROR(__xludf.DUMMYFUNCTION("""COMPUTED_VALUE"""),37607.0)</f>
        <v>37607</v>
      </c>
      <c r="G550" s="1">
        <f>IFERROR(__xludf.DUMMYFUNCTION("""COMPUTED_VALUE"""),4659.0)</f>
        <v>4659</v>
      </c>
    </row>
    <row r="551">
      <c r="A551" s="1" t="str">
        <f>IFERROR(__xludf.DUMMYFUNCTION("""COMPUTED_VALUE"""),"Bank of Alamo")</f>
        <v>Bank of Alamo</v>
      </c>
      <c r="B551" s="1" t="str">
        <f>IFERROR(__xludf.DUMMYFUNCTION("""COMPUTED_VALUE"""),"Alamo")</f>
        <v>Alamo</v>
      </c>
      <c r="C551" s="1" t="str">
        <f>IFERROR(__xludf.DUMMYFUNCTION("""COMPUTED_VALUE"""),"TN")</f>
        <v>TN</v>
      </c>
      <c r="D551" s="1">
        <f>IFERROR(__xludf.DUMMYFUNCTION("""COMPUTED_VALUE"""),9961.0)</f>
        <v>9961</v>
      </c>
      <c r="E551" s="1" t="str">
        <f>IFERROR(__xludf.DUMMYFUNCTION("""COMPUTED_VALUE"""),"No Acquirer")</f>
        <v>No Acquirer</v>
      </c>
      <c r="F551" s="2">
        <f>IFERROR(__xludf.DUMMYFUNCTION("""COMPUTED_VALUE"""),37568.0)</f>
        <v>37568</v>
      </c>
      <c r="G551" s="1">
        <f>IFERROR(__xludf.DUMMYFUNCTION("""COMPUTED_VALUE"""),4658.0)</f>
        <v>4658</v>
      </c>
    </row>
    <row r="552">
      <c r="A552" s="1" t="str">
        <f>IFERROR(__xludf.DUMMYFUNCTION("""COMPUTED_VALUE"""),"AmTrade International Bank
En Español")</f>
        <v>AmTrade International Bank
En Español</v>
      </c>
      <c r="B552" s="1" t="str">
        <f>IFERROR(__xludf.DUMMYFUNCTION("""COMPUTED_VALUE"""),"Atlanta")</f>
        <v>Atlanta</v>
      </c>
      <c r="C552" s="1" t="str">
        <f>IFERROR(__xludf.DUMMYFUNCTION("""COMPUTED_VALUE"""),"GA")</f>
        <v>GA</v>
      </c>
      <c r="D552" s="1">
        <f>IFERROR(__xludf.DUMMYFUNCTION("""COMPUTED_VALUE"""),33784.0)</f>
        <v>33784</v>
      </c>
      <c r="E552" s="1" t="str">
        <f>IFERROR(__xludf.DUMMYFUNCTION("""COMPUTED_VALUE"""),"No Acquirer")</f>
        <v>No Acquirer</v>
      </c>
      <c r="F552" s="2">
        <f>IFERROR(__xludf.DUMMYFUNCTION("""COMPUTED_VALUE"""),37529.0)</f>
        <v>37529</v>
      </c>
      <c r="G552" s="1">
        <f>IFERROR(__xludf.DUMMYFUNCTION("""COMPUTED_VALUE"""),4657.0)</f>
        <v>4657</v>
      </c>
    </row>
    <row r="553">
      <c r="A553" s="1" t="str">
        <f>IFERROR(__xludf.DUMMYFUNCTION("""COMPUTED_VALUE"""),"Universal Federal Savings Bank")</f>
        <v>Universal Federal Savings Bank</v>
      </c>
      <c r="B553" s="1" t="str">
        <f>IFERROR(__xludf.DUMMYFUNCTION("""COMPUTED_VALUE"""),"Chicago")</f>
        <v>Chicago</v>
      </c>
      <c r="C553" s="1" t="str">
        <f>IFERROR(__xludf.DUMMYFUNCTION("""COMPUTED_VALUE"""),"IL")</f>
        <v>IL</v>
      </c>
      <c r="D553" s="1">
        <f>IFERROR(__xludf.DUMMYFUNCTION("""COMPUTED_VALUE"""),29355.0)</f>
        <v>29355</v>
      </c>
      <c r="E553" s="1" t="str">
        <f>IFERROR(__xludf.DUMMYFUNCTION("""COMPUTED_VALUE"""),"Chicago Community Bank")</f>
        <v>Chicago Community Bank</v>
      </c>
      <c r="F553" s="2">
        <f>IFERROR(__xludf.DUMMYFUNCTION("""COMPUTED_VALUE"""),37434.0)</f>
        <v>37434</v>
      </c>
      <c r="G553" s="1">
        <f>IFERROR(__xludf.DUMMYFUNCTION("""COMPUTED_VALUE"""),6005.0)</f>
        <v>6005</v>
      </c>
    </row>
    <row r="554">
      <c r="A554" s="1" t="str">
        <f>IFERROR(__xludf.DUMMYFUNCTION("""COMPUTED_VALUE"""),"Connecticut Bank of Commerce")</f>
        <v>Connecticut Bank of Commerce</v>
      </c>
      <c r="B554" s="1" t="str">
        <f>IFERROR(__xludf.DUMMYFUNCTION("""COMPUTED_VALUE"""),"Stamford")</f>
        <v>Stamford</v>
      </c>
      <c r="C554" s="1" t="str">
        <f>IFERROR(__xludf.DUMMYFUNCTION("""COMPUTED_VALUE"""),"CT")</f>
        <v>CT</v>
      </c>
      <c r="D554" s="1">
        <f>IFERROR(__xludf.DUMMYFUNCTION("""COMPUTED_VALUE"""),19183.0)</f>
        <v>19183</v>
      </c>
      <c r="E554" s="1" t="str">
        <f>IFERROR(__xludf.DUMMYFUNCTION("""COMPUTED_VALUE"""),"Hudson United Bank")</f>
        <v>Hudson United Bank</v>
      </c>
      <c r="F554" s="2">
        <f>IFERROR(__xludf.DUMMYFUNCTION("""COMPUTED_VALUE"""),37433.0)</f>
        <v>37433</v>
      </c>
      <c r="G554" s="1">
        <f>IFERROR(__xludf.DUMMYFUNCTION("""COMPUTED_VALUE"""),4656.0)</f>
        <v>4656</v>
      </c>
    </row>
    <row r="555">
      <c r="A555" s="1" t="str">
        <f>IFERROR(__xludf.DUMMYFUNCTION("""COMPUTED_VALUE"""),"New Century Bank")</f>
        <v>New Century Bank</v>
      </c>
      <c r="B555" s="1" t="str">
        <f>IFERROR(__xludf.DUMMYFUNCTION("""COMPUTED_VALUE"""),"Shelby Township")</f>
        <v>Shelby Township</v>
      </c>
      <c r="C555" s="1" t="str">
        <f>IFERROR(__xludf.DUMMYFUNCTION("""COMPUTED_VALUE"""),"MI")</f>
        <v>MI</v>
      </c>
      <c r="D555" s="1">
        <f>IFERROR(__xludf.DUMMYFUNCTION("""COMPUTED_VALUE"""),34979.0)</f>
        <v>34979</v>
      </c>
      <c r="E555" s="1" t="str">
        <f>IFERROR(__xludf.DUMMYFUNCTION("""COMPUTED_VALUE"""),"No Acquirer")</f>
        <v>No Acquirer</v>
      </c>
      <c r="F555" s="2">
        <f>IFERROR(__xludf.DUMMYFUNCTION("""COMPUTED_VALUE"""),37343.0)</f>
        <v>37343</v>
      </c>
      <c r="G555" s="1">
        <f>IFERROR(__xludf.DUMMYFUNCTION("""COMPUTED_VALUE"""),4655.0)</f>
        <v>4655</v>
      </c>
    </row>
    <row r="556">
      <c r="A556" s="1" t="str">
        <f>IFERROR(__xludf.DUMMYFUNCTION("""COMPUTED_VALUE"""),"Net 1st National Bank")</f>
        <v>Net 1st National Bank</v>
      </c>
      <c r="B556" s="1" t="str">
        <f>IFERROR(__xludf.DUMMYFUNCTION("""COMPUTED_VALUE"""),"Boca Raton")</f>
        <v>Boca Raton</v>
      </c>
      <c r="C556" s="1" t="str">
        <f>IFERROR(__xludf.DUMMYFUNCTION("""COMPUTED_VALUE"""),"FL")</f>
        <v>FL</v>
      </c>
      <c r="D556" s="1">
        <f>IFERROR(__xludf.DUMMYFUNCTION("""COMPUTED_VALUE"""),26652.0)</f>
        <v>26652</v>
      </c>
      <c r="E556" s="1" t="str">
        <f>IFERROR(__xludf.DUMMYFUNCTION("""COMPUTED_VALUE"""),"Bank Leumi USA")</f>
        <v>Bank Leumi USA</v>
      </c>
      <c r="F556" s="2">
        <f>IFERROR(__xludf.DUMMYFUNCTION("""COMPUTED_VALUE"""),37316.0)</f>
        <v>37316</v>
      </c>
      <c r="G556" s="1">
        <f>IFERROR(__xludf.DUMMYFUNCTION("""COMPUTED_VALUE"""),4654.0)</f>
        <v>4654</v>
      </c>
    </row>
    <row r="557">
      <c r="A557" s="1" t="str">
        <f>IFERROR(__xludf.DUMMYFUNCTION("""COMPUTED_VALUE"""),"NextBank, NA")</f>
        <v>NextBank, NA</v>
      </c>
      <c r="B557" s="1" t="str">
        <f>IFERROR(__xludf.DUMMYFUNCTION("""COMPUTED_VALUE"""),"Phoenix")</f>
        <v>Phoenix</v>
      </c>
      <c r="C557" s="1" t="str">
        <f>IFERROR(__xludf.DUMMYFUNCTION("""COMPUTED_VALUE"""),"AZ")</f>
        <v>AZ</v>
      </c>
      <c r="D557" s="1">
        <f>IFERROR(__xludf.DUMMYFUNCTION("""COMPUTED_VALUE"""),22314.0)</f>
        <v>22314</v>
      </c>
      <c r="E557" s="1" t="str">
        <f>IFERROR(__xludf.DUMMYFUNCTION("""COMPUTED_VALUE"""),"No Acquirer")</f>
        <v>No Acquirer</v>
      </c>
      <c r="F557" s="2">
        <f>IFERROR(__xludf.DUMMYFUNCTION("""COMPUTED_VALUE"""),37294.0)</f>
        <v>37294</v>
      </c>
      <c r="G557" s="1">
        <f>IFERROR(__xludf.DUMMYFUNCTION("""COMPUTED_VALUE"""),4653.0)</f>
        <v>4653</v>
      </c>
    </row>
    <row r="558">
      <c r="A558" s="1" t="str">
        <f>IFERROR(__xludf.DUMMYFUNCTION("""COMPUTED_VALUE"""),"Oakwood Deposit Bank Co.")</f>
        <v>Oakwood Deposit Bank Co.</v>
      </c>
      <c r="B558" s="1" t="str">
        <f>IFERROR(__xludf.DUMMYFUNCTION("""COMPUTED_VALUE"""),"Oakwood")</f>
        <v>Oakwood</v>
      </c>
      <c r="C558" s="1" t="str">
        <f>IFERROR(__xludf.DUMMYFUNCTION("""COMPUTED_VALUE"""),"OH")</f>
        <v>OH</v>
      </c>
      <c r="D558" s="1">
        <f>IFERROR(__xludf.DUMMYFUNCTION("""COMPUTED_VALUE"""),8966.0)</f>
        <v>8966</v>
      </c>
      <c r="E558" s="1" t="str">
        <f>IFERROR(__xludf.DUMMYFUNCTION("""COMPUTED_VALUE"""),"The State Bank &amp; Trust Company")</f>
        <v>The State Bank &amp; Trust Company</v>
      </c>
      <c r="F558" s="2">
        <f>IFERROR(__xludf.DUMMYFUNCTION("""COMPUTED_VALUE"""),37288.0)</f>
        <v>37288</v>
      </c>
      <c r="G558" s="1">
        <f>IFERROR(__xludf.DUMMYFUNCTION("""COMPUTED_VALUE"""),4652.0)</f>
        <v>4652</v>
      </c>
    </row>
    <row r="559">
      <c r="A559" s="1" t="str">
        <f>IFERROR(__xludf.DUMMYFUNCTION("""COMPUTED_VALUE"""),"Bank of Sierra Blanca")</f>
        <v>Bank of Sierra Blanca</v>
      </c>
      <c r="B559" s="1" t="str">
        <f>IFERROR(__xludf.DUMMYFUNCTION("""COMPUTED_VALUE"""),"Sierra Blanca")</f>
        <v>Sierra Blanca</v>
      </c>
      <c r="C559" s="1" t="str">
        <f>IFERROR(__xludf.DUMMYFUNCTION("""COMPUTED_VALUE"""),"TX")</f>
        <v>TX</v>
      </c>
      <c r="D559" s="1">
        <f>IFERROR(__xludf.DUMMYFUNCTION("""COMPUTED_VALUE"""),22002.0)</f>
        <v>22002</v>
      </c>
      <c r="E559" s="1" t="str">
        <f>IFERROR(__xludf.DUMMYFUNCTION("""COMPUTED_VALUE"""),"The Security State Bank of Pecos")</f>
        <v>The Security State Bank of Pecos</v>
      </c>
      <c r="F559" s="2">
        <f>IFERROR(__xludf.DUMMYFUNCTION("""COMPUTED_VALUE"""),37274.0)</f>
        <v>37274</v>
      </c>
      <c r="G559" s="1">
        <f>IFERROR(__xludf.DUMMYFUNCTION("""COMPUTED_VALUE"""),4651.0)</f>
        <v>4651</v>
      </c>
    </row>
    <row r="560">
      <c r="A560" s="1" t="str">
        <f>IFERROR(__xludf.DUMMYFUNCTION("""COMPUTED_VALUE"""),"Hamilton Bank, NA
En Español")</f>
        <v>Hamilton Bank, NA
En Español</v>
      </c>
      <c r="B560" s="1" t="str">
        <f>IFERROR(__xludf.DUMMYFUNCTION("""COMPUTED_VALUE"""),"Miami")</f>
        <v>Miami</v>
      </c>
      <c r="C560" s="1" t="str">
        <f>IFERROR(__xludf.DUMMYFUNCTION("""COMPUTED_VALUE"""),"FL")</f>
        <v>FL</v>
      </c>
      <c r="D560" s="1">
        <f>IFERROR(__xludf.DUMMYFUNCTION("""COMPUTED_VALUE"""),24382.0)</f>
        <v>24382</v>
      </c>
      <c r="E560" s="1" t="str">
        <f>IFERROR(__xludf.DUMMYFUNCTION("""COMPUTED_VALUE"""),"Israel Discount Bank of New York")</f>
        <v>Israel Discount Bank of New York</v>
      </c>
      <c r="F560" s="2">
        <f>IFERROR(__xludf.DUMMYFUNCTION("""COMPUTED_VALUE"""),37267.0)</f>
        <v>37267</v>
      </c>
      <c r="G560" s="1">
        <f>IFERROR(__xludf.DUMMYFUNCTION("""COMPUTED_VALUE"""),4650.0)</f>
        <v>4650</v>
      </c>
    </row>
    <row r="561">
      <c r="A561" s="1" t="str">
        <f>IFERROR(__xludf.DUMMYFUNCTION("""COMPUTED_VALUE"""),"Sinclair National Bank")</f>
        <v>Sinclair National Bank</v>
      </c>
      <c r="B561" s="1" t="str">
        <f>IFERROR(__xludf.DUMMYFUNCTION("""COMPUTED_VALUE"""),"Gravette")</f>
        <v>Gravette</v>
      </c>
      <c r="C561" s="1" t="str">
        <f>IFERROR(__xludf.DUMMYFUNCTION("""COMPUTED_VALUE"""),"AR")</f>
        <v>AR</v>
      </c>
      <c r="D561" s="1">
        <f>IFERROR(__xludf.DUMMYFUNCTION("""COMPUTED_VALUE"""),34248.0)</f>
        <v>34248</v>
      </c>
      <c r="E561" s="1" t="str">
        <f>IFERROR(__xludf.DUMMYFUNCTION("""COMPUTED_VALUE"""),"Delta Trust &amp; Bank")</f>
        <v>Delta Trust &amp; Bank</v>
      </c>
      <c r="F561" s="2">
        <f>IFERROR(__xludf.DUMMYFUNCTION("""COMPUTED_VALUE"""),37141.0)</f>
        <v>37141</v>
      </c>
      <c r="G561" s="1">
        <f>IFERROR(__xludf.DUMMYFUNCTION("""COMPUTED_VALUE"""),4649.0)</f>
        <v>4649</v>
      </c>
    </row>
    <row r="562">
      <c r="A562" s="1" t="str">
        <f>IFERROR(__xludf.DUMMYFUNCTION("""COMPUTED_VALUE"""),"Superior Bank, FSB")</f>
        <v>Superior Bank, FSB</v>
      </c>
      <c r="B562" s="1" t="str">
        <f>IFERROR(__xludf.DUMMYFUNCTION("""COMPUTED_VALUE"""),"Hinsdale")</f>
        <v>Hinsdale</v>
      </c>
      <c r="C562" s="1" t="str">
        <f>IFERROR(__xludf.DUMMYFUNCTION("""COMPUTED_VALUE"""),"IL")</f>
        <v>IL</v>
      </c>
      <c r="D562" s="1">
        <f>IFERROR(__xludf.DUMMYFUNCTION("""COMPUTED_VALUE"""),32646.0)</f>
        <v>32646</v>
      </c>
      <c r="E562" s="1" t="str">
        <f>IFERROR(__xludf.DUMMYFUNCTION("""COMPUTED_VALUE"""),"Superior Federal, FSB")</f>
        <v>Superior Federal, FSB</v>
      </c>
      <c r="F562" s="2">
        <f>IFERROR(__xludf.DUMMYFUNCTION("""COMPUTED_VALUE"""),37099.0)</f>
        <v>37099</v>
      </c>
      <c r="G562" s="1">
        <f>IFERROR(__xludf.DUMMYFUNCTION("""COMPUTED_VALUE"""),6004.0)</f>
        <v>6004</v>
      </c>
    </row>
    <row r="563">
      <c r="A563" s="1" t="str">
        <f>IFERROR(__xludf.DUMMYFUNCTION("""COMPUTED_VALUE"""),"Malta National Bank")</f>
        <v>Malta National Bank</v>
      </c>
      <c r="B563" s="1" t="str">
        <f>IFERROR(__xludf.DUMMYFUNCTION("""COMPUTED_VALUE"""),"Malta")</f>
        <v>Malta</v>
      </c>
      <c r="C563" s="1" t="str">
        <f>IFERROR(__xludf.DUMMYFUNCTION("""COMPUTED_VALUE"""),"OH")</f>
        <v>OH</v>
      </c>
      <c r="D563" s="1">
        <f>IFERROR(__xludf.DUMMYFUNCTION("""COMPUTED_VALUE"""),6629.0)</f>
        <v>6629</v>
      </c>
      <c r="E563" s="1" t="str">
        <f>IFERROR(__xludf.DUMMYFUNCTION("""COMPUTED_VALUE"""),"North Valley Bank")</f>
        <v>North Valley Bank</v>
      </c>
      <c r="F563" s="2">
        <f>IFERROR(__xludf.DUMMYFUNCTION("""COMPUTED_VALUE"""),37014.0)</f>
        <v>37014</v>
      </c>
      <c r="G563" s="1">
        <f>IFERROR(__xludf.DUMMYFUNCTION("""COMPUTED_VALUE"""),4648.0)</f>
        <v>4648</v>
      </c>
    </row>
    <row r="564">
      <c r="A564" s="1" t="str">
        <f>IFERROR(__xludf.DUMMYFUNCTION("""COMPUTED_VALUE"""),"First Alliance Bank &amp; Trust Co.")</f>
        <v>First Alliance Bank &amp; Trust Co.</v>
      </c>
      <c r="B564" s="1" t="str">
        <f>IFERROR(__xludf.DUMMYFUNCTION("""COMPUTED_VALUE"""),"Manchester")</f>
        <v>Manchester</v>
      </c>
      <c r="C564" s="1" t="str">
        <f>IFERROR(__xludf.DUMMYFUNCTION("""COMPUTED_VALUE"""),"NH")</f>
        <v>NH</v>
      </c>
      <c r="D564" s="1">
        <f>IFERROR(__xludf.DUMMYFUNCTION("""COMPUTED_VALUE"""),34264.0)</f>
        <v>34264</v>
      </c>
      <c r="E564" s="1" t="str">
        <f>IFERROR(__xludf.DUMMYFUNCTION("""COMPUTED_VALUE"""),"Southern New Hampshire Bank &amp; Trust")</f>
        <v>Southern New Hampshire Bank &amp; Trust</v>
      </c>
      <c r="F564" s="2">
        <f>IFERROR(__xludf.DUMMYFUNCTION("""COMPUTED_VALUE"""),36924.0)</f>
        <v>36924</v>
      </c>
      <c r="G564" s="1">
        <f>IFERROR(__xludf.DUMMYFUNCTION("""COMPUTED_VALUE"""),4647.0)</f>
        <v>4647</v>
      </c>
    </row>
    <row r="565">
      <c r="A565" s="1" t="str">
        <f>IFERROR(__xludf.DUMMYFUNCTION("""COMPUTED_VALUE"""),"National State Bank of Metropolis")</f>
        <v>National State Bank of Metropolis</v>
      </c>
      <c r="B565" s="1" t="str">
        <f>IFERROR(__xludf.DUMMYFUNCTION("""COMPUTED_VALUE"""),"Metropolis")</f>
        <v>Metropolis</v>
      </c>
      <c r="C565" s="1" t="str">
        <f>IFERROR(__xludf.DUMMYFUNCTION("""COMPUTED_VALUE"""),"IL")</f>
        <v>IL</v>
      </c>
      <c r="D565" s="1">
        <f>IFERROR(__xludf.DUMMYFUNCTION("""COMPUTED_VALUE"""),3815.0)</f>
        <v>3815</v>
      </c>
      <c r="E565" s="1" t="str">
        <f>IFERROR(__xludf.DUMMYFUNCTION("""COMPUTED_VALUE"""),"Banterra Bank of Marion")</f>
        <v>Banterra Bank of Marion</v>
      </c>
      <c r="F565" s="2">
        <f>IFERROR(__xludf.DUMMYFUNCTION("""COMPUTED_VALUE"""),36874.0)</f>
        <v>36874</v>
      </c>
      <c r="G565" s="1">
        <f>IFERROR(__xludf.DUMMYFUNCTION("""COMPUTED_VALUE"""),4646.0)</f>
        <v>4646</v>
      </c>
    </row>
    <row r="566">
      <c r="A566" s="1" t="str">
        <f>IFERROR(__xludf.DUMMYFUNCTION("""COMPUTED_VALUE"""),"Bank of Honolulu")</f>
        <v>Bank of Honolulu</v>
      </c>
      <c r="B566" s="1" t="str">
        <f>IFERROR(__xludf.DUMMYFUNCTION("""COMPUTED_VALUE"""),"Honolulu")</f>
        <v>Honolulu</v>
      </c>
      <c r="C566" s="1" t="str">
        <f>IFERROR(__xludf.DUMMYFUNCTION("""COMPUTED_VALUE"""),"HI")</f>
        <v>HI</v>
      </c>
      <c r="D566" s="1">
        <f>IFERROR(__xludf.DUMMYFUNCTION("""COMPUTED_VALUE"""),21029.0)</f>
        <v>21029</v>
      </c>
      <c r="E566" s="1" t="str">
        <f>IFERROR(__xludf.DUMMYFUNCTION("""COMPUTED_VALUE"""),"Bank of the Orient")</f>
        <v>Bank of the Orient</v>
      </c>
      <c r="F566" s="2">
        <f>IFERROR(__xludf.DUMMYFUNCTION("""COMPUTED_VALUE"""),36812.0)</f>
        <v>36812</v>
      </c>
      <c r="G566" s="1">
        <f>IFERROR(__xludf.DUMMYFUNCTION("""COMPUTED_VALUE"""),4645.0)</f>
        <v>4645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</row>
    <row r="2">
      <c r="A2" s="1" t="s">
        <v>7</v>
      </c>
      <c r="B2" s="1" t="s">
        <v>8</v>
      </c>
      <c r="C2" s="1" t="s">
        <v>9</v>
      </c>
      <c r="D2" s="1">
        <v>57053.0</v>
      </c>
      <c r="E2" s="1" t="s">
        <v>10</v>
      </c>
      <c r="F2" s="3">
        <v>44997.0</v>
      </c>
      <c r="G2" s="1">
        <v>10540.0</v>
      </c>
    </row>
    <row r="3">
      <c r="A3" s="1" t="s">
        <v>11</v>
      </c>
      <c r="B3" s="1" t="s">
        <v>12</v>
      </c>
      <c r="C3" s="1" t="s">
        <v>13</v>
      </c>
      <c r="D3" s="1">
        <v>24735.0</v>
      </c>
      <c r="E3" s="1" t="s">
        <v>14</v>
      </c>
      <c r="F3" s="3">
        <v>44995.0</v>
      </c>
      <c r="G3" s="1">
        <v>10539.0</v>
      </c>
    </row>
    <row r="4">
      <c r="A4" s="1" t="s">
        <v>15</v>
      </c>
      <c r="B4" s="1" t="s">
        <v>16</v>
      </c>
      <c r="C4" s="1" t="s">
        <v>17</v>
      </c>
      <c r="D4" s="1">
        <v>15426.0</v>
      </c>
      <c r="E4" s="1" t="s">
        <v>18</v>
      </c>
      <c r="F4" s="3">
        <v>44127.0</v>
      </c>
      <c r="G4" s="1">
        <v>10538.0</v>
      </c>
    </row>
    <row r="5">
      <c r="A5" s="1" t="s">
        <v>19</v>
      </c>
      <c r="B5" s="1" t="s">
        <v>20</v>
      </c>
      <c r="C5" s="1" t="s">
        <v>21</v>
      </c>
      <c r="D5" s="1">
        <v>16748.0</v>
      </c>
      <c r="E5" s="1" t="s">
        <v>22</v>
      </c>
      <c r="F5" s="3">
        <v>44120.0</v>
      </c>
      <c r="G5" s="1">
        <v>10537.0</v>
      </c>
    </row>
    <row r="6">
      <c r="A6" s="1" t="s">
        <v>23</v>
      </c>
      <c r="B6" s="1" t="s">
        <v>24</v>
      </c>
      <c r="C6" s="1" t="s">
        <v>25</v>
      </c>
      <c r="D6" s="1">
        <v>14361.0</v>
      </c>
      <c r="E6" s="1" t="s">
        <v>26</v>
      </c>
      <c r="F6" s="3">
        <v>43924.0</v>
      </c>
      <c r="G6" s="1">
        <v>10536.0</v>
      </c>
    </row>
    <row r="7">
      <c r="A7" s="1" t="s">
        <v>27</v>
      </c>
      <c r="B7" s="1" t="s">
        <v>28</v>
      </c>
      <c r="C7" s="1" t="s">
        <v>29</v>
      </c>
      <c r="D7" s="1">
        <v>18265.0</v>
      </c>
      <c r="E7" s="1" t="s">
        <v>30</v>
      </c>
      <c r="F7" s="3">
        <v>43875.0</v>
      </c>
      <c r="G7" s="1">
        <v>10535.0</v>
      </c>
    </row>
    <row r="8">
      <c r="A8" s="1" t="s">
        <v>31</v>
      </c>
      <c r="B8" s="1" t="s">
        <v>32</v>
      </c>
      <c r="C8" s="1" t="s">
        <v>33</v>
      </c>
      <c r="D8" s="1">
        <v>21111.0</v>
      </c>
      <c r="E8" s="1" t="s">
        <v>34</v>
      </c>
      <c r="F8" s="3">
        <v>43770.0</v>
      </c>
      <c r="G8" s="1">
        <v>10534.0</v>
      </c>
    </row>
    <row r="9">
      <c r="A9" s="1" t="s">
        <v>35</v>
      </c>
      <c r="B9" s="1" t="s">
        <v>36</v>
      </c>
      <c r="C9" s="1" t="s">
        <v>37</v>
      </c>
      <c r="D9" s="1">
        <v>58317.0</v>
      </c>
      <c r="E9" s="1" t="s">
        <v>38</v>
      </c>
      <c r="F9" s="3">
        <v>43763.0</v>
      </c>
      <c r="G9" s="1">
        <v>10533.0</v>
      </c>
    </row>
    <row r="10">
      <c r="A10" s="1" t="s">
        <v>39</v>
      </c>
      <c r="B10" s="1" t="s">
        <v>40</v>
      </c>
      <c r="C10" s="1" t="s">
        <v>41</v>
      </c>
      <c r="D10" s="1">
        <v>58112.0</v>
      </c>
      <c r="E10" s="1" t="s">
        <v>42</v>
      </c>
      <c r="F10" s="3">
        <v>43763.0</v>
      </c>
      <c r="G10" s="1">
        <v>10532.0</v>
      </c>
    </row>
    <row r="11">
      <c r="A11" s="1" t="s">
        <v>43</v>
      </c>
      <c r="B11" s="1" t="s">
        <v>44</v>
      </c>
      <c r="C11" s="1" t="s">
        <v>45</v>
      </c>
      <c r="D11" s="1">
        <v>10716.0</v>
      </c>
      <c r="E11" s="1" t="s">
        <v>46</v>
      </c>
      <c r="F11" s="3">
        <v>43616.0</v>
      </c>
      <c r="G11" s="1">
        <v>10531.0</v>
      </c>
    </row>
    <row r="12">
      <c r="A12" s="1" t="s">
        <v>47</v>
      </c>
      <c r="B12" s="1" t="s">
        <v>48</v>
      </c>
      <c r="C12" s="1" t="s">
        <v>49</v>
      </c>
      <c r="D12" s="1">
        <v>30570.0</v>
      </c>
      <c r="E12" s="1" t="s">
        <v>50</v>
      </c>
      <c r="F12" s="3">
        <v>43084.0</v>
      </c>
      <c r="G12" s="1">
        <v>10530.0</v>
      </c>
    </row>
    <row r="13">
      <c r="A13" s="1" t="s">
        <v>51</v>
      </c>
      <c r="B13" s="1" t="s">
        <v>52</v>
      </c>
      <c r="C13" s="1" t="s">
        <v>17</v>
      </c>
      <c r="D13" s="1">
        <v>17719.0</v>
      </c>
      <c r="E13" s="1" t="s">
        <v>53</v>
      </c>
      <c r="F13" s="3">
        <v>43021.0</v>
      </c>
      <c r="G13" s="1">
        <v>10529.0</v>
      </c>
    </row>
    <row r="14">
      <c r="A14" s="1" t="s">
        <v>54</v>
      </c>
      <c r="B14" s="1" t="s">
        <v>55</v>
      </c>
      <c r="C14" s="1" t="s">
        <v>49</v>
      </c>
      <c r="D14" s="1">
        <v>1802.0</v>
      </c>
      <c r="E14" s="1" t="s">
        <v>22</v>
      </c>
      <c r="F14" s="3">
        <v>42881.0</v>
      </c>
      <c r="G14" s="1">
        <v>10528.0</v>
      </c>
    </row>
    <row r="15">
      <c r="A15" s="1" t="s">
        <v>56</v>
      </c>
      <c r="B15" s="1" t="s">
        <v>57</v>
      </c>
      <c r="C15" s="1" t="s">
        <v>58</v>
      </c>
      <c r="D15" s="1">
        <v>30003.0</v>
      </c>
      <c r="E15" s="1" t="s">
        <v>59</v>
      </c>
      <c r="F15" s="3">
        <v>42860.0</v>
      </c>
      <c r="G15" s="1">
        <v>10527.0</v>
      </c>
    </row>
    <row r="16">
      <c r="A16" s="1" t="s">
        <v>60</v>
      </c>
      <c r="B16" s="1" t="s">
        <v>61</v>
      </c>
      <c r="C16" s="1" t="s">
        <v>62</v>
      </c>
      <c r="D16" s="1">
        <v>58302.0</v>
      </c>
      <c r="E16" s="1" t="s">
        <v>63</v>
      </c>
      <c r="F16" s="3">
        <v>42853.0</v>
      </c>
      <c r="G16" s="1">
        <v>10526.0</v>
      </c>
    </row>
    <row r="17">
      <c r="A17" s="1" t="s">
        <v>64</v>
      </c>
      <c r="B17" s="1" t="s">
        <v>65</v>
      </c>
      <c r="C17" s="1" t="s">
        <v>66</v>
      </c>
      <c r="D17" s="1">
        <v>35495.0</v>
      </c>
      <c r="E17" s="1" t="s">
        <v>67</v>
      </c>
      <c r="F17" s="3">
        <v>42797.0</v>
      </c>
      <c r="G17" s="1">
        <v>10525.0</v>
      </c>
    </row>
    <row r="18">
      <c r="A18" s="1" t="s">
        <v>68</v>
      </c>
      <c r="B18" s="1" t="s">
        <v>48</v>
      </c>
      <c r="C18" s="1" t="s">
        <v>49</v>
      </c>
      <c r="D18" s="1">
        <v>19328.0</v>
      </c>
      <c r="E18" s="1" t="s">
        <v>69</v>
      </c>
      <c r="F18" s="3">
        <v>42762.0</v>
      </c>
      <c r="G18" s="1">
        <v>10524.0</v>
      </c>
    </row>
    <row r="19">
      <c r="A19" s="1" t="s">
        <v>70</v>
      </c>
      <c r="B19" s="1" t="s">
        <v>71</v>
      </c>
      <c r="C19" s="1" t="s">
        <v>33</v>
      </c>
      <c r="D19" s="1">
        <v>34951.0</v>
      </c>
      <c r="E19" s="1" t="s">
        <v>59</v>
      </c>
      <c r="F19" s="3">
        <v>42748.0</v>
      </c>
      <c r="G19" s="1">
        <v>10523.0</v>
      </c>
    </row>
    <row r="20">
      <c r="A20" s="1" t="s">
        <v>72</v>
      </c>
      <c r="B20" s="1" t="s">
        <v>73</v>
      </c>
      <c r="C20" s="1" t="s">
        <v>74</v>
      </c>
      <c r="D20" s="1">
        <v>91.0</v>
      </c>
      <c r="E20" s="1" t="s">
        <v>75</v>
      </c>
      <c r="F20" s="3">
        <v>42636.0</v>
      </c>
      <c r="G20" s="1">
        <v>10522.0</v>
      </c>
    </row>
    <row r="21">
      <c r="A21" s="1" t="s">
        <v>76</v>
      </c>
      <c r="B21" s="1" t="s">
        <v>77</v>
      </c>
      <c r="C21" s="1" t="s">
        <v>78</v>
      </c>
      <c r="D21" s="1">
        <v>11297.0</v>
      </c>
      <c r="E21" s="1" t="s">
        <v>79</v>
      </c>
      <c r="F21" s="3">
        <v>42601.0</v>
      </c>
      <c r="G21" s="1">
        <v>10521.0</v>
      </c>
    </row>
    <row r="22">
      <c r="A22" s="1" t="s">
        <v>80</v>
      </c>
      <c r="B22" s="1" t="s">
        <v>81</v>
      </c>
      <c r="C22" s="1" t="s">
        <v>82</v>
      </c>
      <c r="D22" s="1">
        <v>35312.0</v>
      </c>
      <c r="E22" s="1" t="s">
        <v>59</v>
      </c>
      <c r="F22" s="3">
        <v>42496.0</v>
      </c>
      <c r="G22" s="1">
        <v>10520.0</v>
      </c>
    </row>
    <row r="23">
      <c r="A23" s="1" t="s">
        <v>83</v>
      </c>
      <c r="B23" s="1" t="s">
        <v>84</v>
      </c>
      <c r="C23" s="1" t="s">
        <v>85</v>
      </c>
      <c r="D23" s="1">
        <v>9956.0</v>
      </c>
      <c r="E23" s="1" t="s">
        <v>86</v>
      </c>
      <c r="F23" s="3">
        <v>42489.0</v>
      </c>
      <c r="G23" s="1">
        <v>10519.0</v>
      </c>
    </row>
    <row r="24">
      <c r="A24" s="1" t="s">
        <v>87</v>
      </c>
      <c r="B24" s="1" t="s">
        <v>57</v>
      </c>
      <c r="C24" s="1" t="s">
        <v>58</v>
      </c>
      <c r="D24" s="1">
        <v>20364.0</v>
      </c>
      <c r="E24" s="1" t="s">
        <v>59</v>
      </c>
      <c r="F24" s="3">
        <v>42440.0</v>
      </c>
      <c r="G24" s="1">
        <v>10518.0</v>
      </c>
    </row>
    <row r="25">
      <c r="A25" s="1" t="s">
        <v>88</v>
      </c>
      <c r="B25" s="1" t="s">
        <v>89</v>
      </c>
      <c r="C25" s="1" t="s">
        <v>90</v>
      </c>
      <c r="D25" s="1">
        <v>35156.0</v>
      </c>
      <c r="E25" s="1" t="s">
        <v>91</v>
      </c>
      <c r="F25" s="3">
        <v>42279.0</v>
      </c>
      <c r="G25" s="1">
        <v>10517.0</v>
      </c>
    </row>
    <row r="26">
      <c r="A26" s="1" t="s">
        <v>92</v>
      </c>
      <c r="B26" s="1" t="s">
        <v>93</v>
      </c>
      <c r="C26" s="1" t="s">
        <v>78</v>
      </c>
      <c r="D26" s="1">
        <v>35259.0</v>
      </c>
      <c r="E26" s="1" t="s">
        <v>94</v>
      </c>
      <c r="F26" s="3">
        <v>42279.0</v>
      </c>
      <c r="G26" s="1">
        <v>10516.0</v>
      </c>
    </row>
    <row r="27">
      <c r="A27" s="1" t="s">
        <v>95</v>
      </c>
      <c r="B27" s="1" t="s">
        <v>96</v>
      </c>
      <c r="C27" s="1" t="s">
        <v>97</v>
      </c>
      <c r="D27" s="1">
        <v>34112.0</v>
      </c>
      <c r="E27" s="1" t="s">
        <v>22</v>
      </c>
      <c r="F27" s="3">
        <v>42195.0</v>
      </c>
      <c r="G27" s="1">
        <v>10515.0</v>
      </c>
    </row>
    <row r="28">
      <c r="A28" s="1" t="s">
        <v>98</v>
      </c>
      <c r="B28" s="1" t="s">
        <v>48</v>
      </c>
      <c r="C28" s="1" t="s">
        <v>49</v>
      </c>
      <c r="D28" s="1">
        <v>57772.0</v>
      </c>
      <c r="E28" s="1" t="s">
        <v>99</v>
      </c>
      <c r="F28" s="3">
        <v>42132.0</v>
      </c>
      <c r="G28" s="1">
        <v>10514.0</v>
      </c>
    </row>
    <row r="29">
      <c r="A29" s="1" t="s">
        <v>100</v>
      </c>
      <c r="B29" s="1" t="s">
        <v>101</v>
      </c>
      <c r="C29" s="1" t="s">
        <v>102</v>
      </c>
      <c r="D29" s="1">
        <v>32102.0</v>
      </c>
      <c r="E29" s="1" t="s">
        <v>103</v>
      </c>
      <c r="F29" s="3">
        <v>42062.0</v>
      </c>
      <c r="G29" s="1">
        <v>10513.0</v>
      </c>
    </row>
    <row r="30">
      <c r="A30" s="1" t="s">
        <v>104</v>
      </c>
      <c r="B30" s="1" t="s">
        <v>105</v>
      </c>
      <c r="C30" s="1" t="s">
        <v>78</v>
      </c>
      <c r="D30" s="1">
        <v>33938.0</v>
      </c>
      <c r="E30" s="1" t="s">
        <v>59</v>
      </c>
      <c r="F30" s="3">
        <v>42048.0</v>
      </c>
      <c r="G30" s="1">
        <v>10512.0</v>
      </c>
    </row>
    <row r="31">
      <c r="A31" s="1" t="s">
        <v>106</v>
      </c>
      <c r="B31" s="1" t="s">
        <v>48</v>
      </c>
      <c r="C31" s="1" t="s">
        <v>49</v>
      </c>
      <c r="D31" s="1">
        <v>20290.0</v>
      </c>
      <c r="E31" s="1" t="s">
        <v>22</v>
      </c>
      <c r="F31" s="3">
        <v>42027.0</v>
      </c>
      <c r="G31" s="1">
        <v>10511.0</v>
      </c>
    </row>
    <row r="32">
      <c r="A32" s="1" t="s">
        <v>107</v>
      </c>
      <c r="B32" s="1" t="s">
        <v>108</v>
      </c>
      <c r="C32" s="1" t="s">
        <v>21</v>
      </c>
      <c r="D32" s="1">
        <v>17557.0</v>
      </c>
      <c r="E32" s="1" t="s">
        <v>60</v>
      </c>
      <c r="F32" s="3">
        <v>42020.0</v>
      </c>
      <c r="G32" s="1">
        <v>10510.0</v>
      </c>
    </row>
    <row r="33">
      <c r="A33" s="1" t="s">
        <v>109</v>
      </c>
      <c r="B33" s="1" t="s">
        <v>110</v>
      </c>
      <c r="C33" s="1" t="s">
        <v>111</v>
      </c>
      <c r="D33" s="1">
        <v>34983.0</v>
      </c>
      <c r="E33" s="1" t="s">
        <v>112</v>
      </c>
      <c r="F33" s="3">
        <v>41992.0</v>
      </c>
      <c r="G33" s="1">
        <v>10509.0</v>
      </c>
    </row>
    <row r="34">
      <c r="A34" s="1" t="s">
        <v>113</v>
      </c>
      <c r="B34" s="1" t="s">
        <v>114</v>
      </c>
      <c r="C34" s="1" t="s">
        <v>13</v>
      </c>
      <c r="D34" s="1">
        <v>34738.0</v>
      </c>
      <c r="E34" s="1" t="s">
        <v>115</v>
      </c>
      <c r="F34" s="3">
        <v>41950.0</v>
      </c>
      <c r="G34" s="1">
        <v>10508.0</v>
      </c>
    </row>
    <row r="35">
      <c r="A35" s="1" t="s">
        <v>116</v>
      </c>
      <c r="B35" s="1" t="s">
        <v>48</v>
      </c>
      <c r="C35" s="1" t="s">
        <v>49</v>
      </c>
      <c r="D35" s="1">
        <v>916.0</v>
      </c>
      <c r="E35" s="1" t="s">
        <v>69</v>
      </c>
      <c r="F35" s="3">
        <v>41936.0</v>
      </c>
      <c r="G35" s="1">
        <v>10507.0</v>
      </c>
    </row>
    <row r="36">
      <c r="A36" s="1" t="s">
        <v>117</v>
      </c>
      <c r="B36" s="1" t="s">
        <v>118</v>
      </c>
      <c r="C36" s="1" t="s">
        <v>119</v>
      </c>
      <c r="D36" s="1">
        <v>4862.0</v>
      </c>
      <c r="E36" s="1" t="s">
        <v>120</v>
      </c>
      <c r="F36" s="3">
        <v>41929.0</v>
      </c>
      <c r="G36" s="1">
        <v>10506.0</v>
      </c>
    </row>
    <row r="37">
      <c r="A37" s="1" t="s">
        <v>121</v>
      </c>
      <c r="B37" s="1" t="s">
        <v>48</v>
      </c>
      <c r="C37" s="1" t="s">
        <v>49</v>
      </c>
      <c r="D37" s="1">
        <v>28462.0</v>
      </c>
      <c r="E37" s="1" t="s">
        <v>122</v>
      </c>
      <c r="F37" s="3">
        <v>41845.0</v>
      </c>
      <c r="G37" s="1">
        <v>10505.0</v>
      </c>
    </row>
    <row r="38">
      <c r="A38" s="1" t="s">
        <v>123</v>
      </c>
      <c r="B38" s="1" t="s">
        <v>124</v>
      </c>
      <c r="C38" s="1" t="s">
        <v>78</v>
      </c>
      <c r="D38" s="1">
        <v>58125.0</v>
      </c>
      <c r="E38" s="1" t="s">
        <v>125</v>
      </c>
      <c r="F38" s="3">
        <v>41838.0</v>
      </c>
      <c r="G38" s="1">
        <v>10504.0</v>
      </c>
    </row>
    <row r="39">
      <c r="A39" s="1" t="s">
        <v>126</v>
      </c>
      <c r="B39" s="1" t="s">
        <v>127</v>
      </c>
      <c r="C39" s="1" t="s">
        <v>128</v>
      </c>
      <c r="D39" s="1">
        <v>12483.0</v>
      </c>
      <c r="E39" s="1" t="s">
        <v>129</v>
      </c>
      <c r="F39" s="3">
        <v>41817.0</v>
      </c>
      <c r="G39" s="1">
        <v>10503.0</v>
      </c>
    </row>
    <row r="40">
      <c r="A40" s="1" t="s">
        <v>130</v>
      </c>
      <c r="B40" s="1" t="s">
        <v>131</v>
      </c>
      <c r="C40" s="1" t="s">
        <v>21</v>
      </c>
      <c r="D40" s="1">
        <v>21793.0</v>
      </c>
      <c r="E40" s="1" t="s">
        <v>132</v>
      </c>
      <c r="F40" s="3">
        <v>41810.0</v>
      </c>
      <c r="G40" s="1">
        <v>10501.0</v>
      </c>
    </row>
    <row r="41">
      <c r="A41" s="1" t="s">
        <v>130</v>
      </c>
      <c r="B41" s="1" t="s">
        <v>133</v>
      </c>
      <c r="C41" s="1" t="s">
        <v>49</v>
      </c>
      <c r="D41" s="1">
        <v>10450.0</v>
      </c>
      <c r="E41" s="1" t="s">
        <v>134</v>
      </c>
      <c r="F41" s="3">
        <v>41810.0</v>
      </c>
      <c r="G41" s="1">
        <v>10502.0</v>
      </c>
    </row>
    <row r="42">
      <c r="A42" s="1" t="s">
        <v>135</v>
      </c>
      <c r="B42" s="1" t="s">
        <v>136</v>
      </c>
      <c r="C42" s="1" t="s">
        <v>119</v>
      </c>
      <c r="D42" s="1">
        <v>32368.0</v>
      </c>
      <c r="E42" s="1" t="s">
        <v>137</v>
      </c>
      <c r="F42" s="3">
        <v>41789.0</v>
      </c>
      <c r="G42" s="1">
        <v>10500.0</v>
      </c>
    </row>
    <row r="43">
      <c r="A43" s="1" t="s">
        <v>138</v>
      </c>
      <c r="B43" s="1" t="s">
        <v>139</v>
      </c>
      <c r="C43" s="1" t="s">
        <v>37</v>
      </c>
      <c r="D43" s="1">
        <v>32284.0</v>
      </c>
      <c r="E43" s="1" t="s">
        <v>22</v>
      </c>
      <c r="F43" s="3">
        <v>41782.0</v>
      </c>
      <c r="G43" s="1">
        <v>10499.0</v>
      </c>
    </row>
    <row r="44">
      <c r="A44" s="1" t="s">
        <v>140</v>
      </c>
      <c r="B44" s="1" t="s">
        <v>141</v>
      </c>
      <c r="C44" s="1" t="s">
        <v>49</v>
      </c>
      <c r="D44" s="1">
        <v>57866.0</v>
      </c>
      <c r="E44" s="1" t="s">
        <v>99</v>
      </c>
      <c r="F44" s="3">
        <v>41775.0</v>
      </c>
      <c r="G44" s="1">
        <v>10498.0</v>
      </c>
    </row>
    <row r="45">
      <c r="A45" s="1" t="s">
        <v>142</v>
      </c>
      <c r="B45" s="1" t="s">
        <v>143</v>
      </c>
      <c r="C45" s="1" t="s">
        <v>144</v>
      </c>
      <c r="D45" s="1">
        <v>15062.0</v>
      </c>
      <c r="E45" s="1" t="s">
        <v>145</v>
      </c>
      <c r="F45" s="3">
        <v>41754.0</v>
      </c>
      <c r="G45" s="1">
        <v>10497.0</v>
      </c>
    </row>
    <row r="46">
      <c r="A46" s="1" t="s">
        <v>146</v>
      </c>
      <c r="B46" s="1" t="s">
        <v>147</v>
      </c>
      <c r="C46" s="1" t="s">
        <v>82</v>
      </c>
      <c r="D46" s="1">
        <v>58531.0</v>
      </c>
      <c r="E46" s="1" t="s">
        <v>148</v>
      </c>
      <c r="F46" s="3">
        <v>41698.0</v>
      </c>
      <c r="G46" s="1">
        <v>10496.0</v>
      </c>
    </row>
    <row r="47">
      <c r="A47" s="1" t="s">
        <v>149</v>
      </c>
      <c r="B47" s="1" t="s">
        <v>150</v>
      </c>
      <c r="C47" s="1" t="s">
        <v>151</v>
      </c>
      <c r="D47" s="1">
        <v>35096.0</v>
      </c>
      <c r="E47" s="1" t="s">
        <v>152</v>
      </c>
      <c r="F47" s="3">
        <v>41698.0</v>
      </c>
      <c r="G47" s="1">
        <v>10495.0</v>
      </c>
    </row>
    <row r="48">
      <c r="A48" s="1" t="s">
        <v>153</v>
      </c>
      <c r="B48" s="1" t="s">
        <v>154</v>
      </c>
      <c r="C48" s="1" t="s">
        <v>155</v>
      </c>
      <c r="D48" s="1">
        <v>34296.0</v>
      </c>
      <c r="E48" s="1" t="s">
        <v>156</v>
      </c>
      <c r="F48" s="3">
        <v>41670.0</v>
      </c>
      <c r="G48" s="1">
        <v>10494.0</v>
      </c>
    </row>
    <row r="49">
      <c r="A49" s="1" t="s">
        <v>157</v>
      </c>
      <c r="B49" s="1" t="s">
        <v>158</v>
      </c>
      <c r="C49" s="1" t="s">
        <v>128</v>
      </c>
      <c r="D49" s="1">
        <v>17967.0</v>
      </c>
      <c r="E49" s="1" t="s">
        <v>159</v>
      </c>
      <c r="F49" s="3">
        <v>41663.0</v>
      </c>
      <c r="G49" s="1">
        <v>10493.0</v>
      </c>
    </row>
    <row r="50">
      <c r="A50" s="1" t="s">
        <v>160</v>
      </c>
      <c r="B50" s="1" t="s">
        <v>161</v>
      </c>
      <c r="C50" s="1" t="s">
        <v>49</v>
      </c>
      <c r="D50" s="1">
        <v>5732.0</v>
      </c>
      <c r="E50" s="1" t="s">
        <v>99</v>
      </c>
      <c r="F50" s="3">
        <v>41656.0</v>
      </c>
      <c r="G50" s="1">
        <v>10492.0</v>
      </c>
    </row>
    <row r="51">
      <c r="A51" s="1" t="s">
        <v>162</v>
      </c>
      <c r="B51" s="1" t="s">
        <v>163</v>
      </c>
      <c r="C51" s="1" t="s">
        <v>45</v>
      </c>
      <c r="D51" s="1">
        <v>57431.0</v>
      </c>
      <c r="E51" s="1" t="s">
        <v>164</v>
      </c>
      <c r="F51" s="3">
        <v>41621.0</v>
      </c>
      <c r="G51" s="1">
        <v>10491.0</v>
      </c>
    </row>
    <row r="52">
      <c r="A52" s="1" t="s">
        <v>165</v>
      </c>
      <c r="B52" s="1" t="s">
        <v>166</v>
      </c>
      <c r="C52" s="1" t="s">
        <v>21</v>
      </c>
      <c r="D52" s="1">
        <v>14794.0</v>
      </c>
      <c r="E52" s="1" t="s">
        <v>167</v>
      </c>
      <c r="F52" s="3">
        <v>41577.0</v>
      </c>
      <c r="G52" s="1">
        <v>10490.0</v>
      </c>
    </row>
    <row r="53">
      <c r="A53" s="1" t="s">
        <v>168</v>
      </c>
      <c r="B53" s="1" t="s">
        <v>169</v>
      </c>
      <c r="C53" s="1" t="s">
        <v>45</v>
      </c>
      <c r="D53" s="1">
        <v>14318.0</v>
      </c>
      <c r="E53" s="1" t="s">
        <v>170</v>
      </c>
      <c r="F53" s="3">
        <v>41530.0</v>
      </c>
      <c r="G53" s="1">
        <v>10488.0</v>
      </c>
    </row>
    <row r="54">
      <c r="A54" s="1" t="s">
        <v>171</v>
      </c>
      <c r="B54" s="1" t="s">
        <v>172</v>
      </c>
      <c r="C54" s="1" t="s">
        <v>173</v>
      </c>
      <c r="D54" s="1">
        <v>57041.0</v>
      </c>
      <c r="E54" s="1" t="s">
        <v>174</v>
      </c>
      <c r="F54" s="3">
        <v>41530.0</v>
      </c>
      <c r="G54" s="1">
        <v>10489.0</v>
      </c>
    </row>
    <row r="55">
      <c r="A55" s="1" t="s">
        <v>175</v>
      </c>
      <c r="B55" s="1" t="s">
        <v>176</v>
      </c>
      <c r="C55" s="1" t="s">
        <v>177</v>
      </c>
      <c r="D55" s="1">
        <v>34707.0</v>
      </c>
      <c r="E55" s="1" t="s">
        <v>178</v>
      </c>
      <c r="F55" s="3">
        <v>41509.0</v>
      </c>
      <c r="G55" s="1">
        <v>10487.0</v>
      </c>
    </row>
    <row r="56">
      <c r="A56" s="1" t="s">
        <v>179</v>
      </c>
      <c r="B56" s="1" t="s">
        <v>180</v>
      </c>
      <c r="C56" s="1" t="s">
        <v>85</v>
      </c>
      <c r="D56" s="1">
        <v>19849.0</v>
      </c>
      <c r="E56" s="1" t="s">
        <v>181</v>
      </c>
      <c r="F56" s="3">
        <v>41509.0</v>
      </c>
      <c r="G56" s="1">
        <v>10486.0</v>
      </c>
    </row>
    <row r="57">
      <c r="A57" s="1" t="s">
        <v>182</v>
      </c>
      <c r="B57" s="1" t="s">
        <v>183</v>
      </c>
      <c r="C57" s="1" t="s">
        <v>58</v>
      </c>
      <c r="D57" s="1">
        <v>35016.0</v>
      </c>
      <c r="E57" s="1" t="s">
        <v>184</v>
      </c>
      <c r="F57" s="3">
        <v>41495.0</v>
      </c>
      <c r="G57" s="1">
        <v>10485.0</v>
      </c>
    </row>
    <row r="58">
      <c r="A58" s="1" t="s">
        <v>185</v>
      </c>
      <c r="B58" s="1" t="s">
        <v>186</v>
      </c>
      <c r="C58" s="1" t="s">
        <v>21</v>
      </c>
      <c r="D58" s="1">
        <v>34943.0</v>
      </c>
      <c r="E58" s="1" t="s">
        <v>187</v>
      </c>
      <c r="F58" s="3">
        <v>41488.0</v>
      </c>
      <c r="G58" s="1">
        <v>10484.0</v>
      </c>
    </row>
    <row r="59">
      <c r="A59" s="1" t="s">
        <v>188</v>
      </c>
      <c r="B59" s="1" t="s">
        <v>189</v>
      </c>
      <c r="C59" s="1" t="s">
        <v>85</v>
      </c>
      <c r="D59" s="1">
        <v>34789.0</v>
      </c>
      <c r="E59" s="1" t="s">
        <v>190</v>
      </c>
      <c r="F59" s="3">
        <v>41432.0</v>
      </c>
      <c r="G59" s="1">
        <v>10483.0</v>
      </c>
    </row>
    <row r="60">
      <c r="A60" s="1" t="s">
        <v>191</v>
      </c>
      <c r="B60" s="1" t="s">
        <v>192</v>
      </c>
      <c r="C60" s="1" t="s">
        <v>193</v>
      </c>
      <c r="D60" s="1">
        <v>58358.0</v>
      </c>
      <c r="E60" s="1" t="s">
        <v>194</v>
      </c>
      <c r="F60" s="3">
        <v>41431.0</v>
      </c>
      <c r="G60" s="1">
        <v>10482.0</v>
      </c>
    </row>
    <row r="61">
      <c r="A61" s="1" t="s">
        <v>195</v>
      </c>
      <c r="B61" s="1" t="s">
        <v>196</v>
      </c>
      <c r="C61" s="1" t="s">
        <v>58</v>
      </c>
      <c r="D61" s="1">
        <v>35386.0</v>
      </c>
      <c r="E61" s="1" t="s">
        <v>197</v>
      </c>
      <c r="F61" s="3">
        <v>41425.0</v>
      </c>
      <c r="G61" s="1">
        <v>10478.0</v>
      </c>
    </row>
    <row r="62">
      <c r="A62" s="1" t="s">
        <v>198</v>
      </c>
      <c r="B62" s="1" t="s">
        <v>199</v>
      </c>
      <c r="C62" s="1" t="s">
        <v>177</v>
      </c>
      <c r="D62" s="1">
        <v>34527.0</v>
      </c>
      <c r="E62" s="1" t="s">
        <v>200</v>
      </c>
      <c r="F62" s="3">
        <v>41408.0</v>
      </c>
      <c r="G62" s="1">
        <v>10479.0</v>
      </c>
    </row>
    <row r="63">
      <c r="A63" s="1" t="s">
        <v>201</v>
      </c>
      <c r="B63" s="1" t="s">
        <v>202</v>
      </c>
      <c r="C63" s="1" t="s">
        <v>78</v>
      </c>
      <c r="D63" s="1">
        <v>58185.0</v>
      </c>
      <c r="E63" s="1" t="s">
        <v>203</v>
      </c>
      <c r="F63" s="3">
        <v>41404.0</v>
      </c>
      <c r="G63" s="1">
        <v>10481.0</v>
      </c>
    </row>
    <row r="64">
      <c r="A64" s="1" t="s">
        <v>204</v>
      </c>
      <c r="B64" s="1" t="s">
        <v>205</v>
      </c>
      <c r="C64" s="1" t="s">
        <v>206</v>
      </c>
      <c r="D64" s="1">
        <v>58701.0</v>
      </c>
      <c r="E64" s="1" t="s">
        <v>207</v>
      </c>
      <c r="F64" s="3">
        <v>41404.0</v>
      </c>
      <c r="G64" s="1">
        <v>10480.0</v>
      </c>
    </row>
    <row r="65">
      <c r="A65" s="1" t="s">
        <v>208</v>
      </c>
      <c r="B65" s="1" t="s">
        <v>209</v>
      </c>
      <c r="C65" s="1" t="s">
        <v>78</v>
      </c>
      <c r="D65" s="1">
        <v>21649.0</v>
      </c>
      <c r="E65" s="1" t="s">
        <v>210</v>
      </c>
      <c r="F65" s="3">
        <v>41390.0</v>
      </c>
      <c r="G65" s="1">
        <v>10476.0</v>
      </c>
    </row>
    <row r="66">
      <c r="A66" s="1" t="s">
        <v>211</v>
      </c>
      <c r="B66" s="1" t="s">
        <v>212</v>
      </c>
      <c r="C66" s="1" t="s">
        <v>206</v>
      </c>
      <c r="D66" s="1">
        <v>57158.0</v>
      </c>
      <c r="E66" s="1" t="s">
        <v>213</v>
      </c>
      <c r="F66" s="3">
        <v>41390.0</v>
      </c>
      <c r="G66" s="1">
        <v>10477.0</v>
      </c>
    </row>
    <row r="67">
      <c r="A67" s="1" t="s">
        <v>214</v>
      </c>
      <c r="B67" s="1" t="s">
        <v>215</v>
      </c>
      <c r="C67" s="1" t="s">
        <v>21</v>
      </c>
      <c r="D67" s="1">
        <v>58034.0</v>
      </c>
      <c r="E67" s="1" t="s">
        <v>167</v>
      </c>
      <c r="F67" s="3">
        <v>41383.0</v>
      </c>
      <c r="G67" s="1">
        <v>10473.0</v>
      </c>
    </row>
    <row r="68">
      <c r="A68" s="1" t="s">
        <v>216</v>
      </c>
      <c r="B68" s="1" t="s">
        <v>217</v>
      </c>
      <c r="C68" s="1" t="s">
        <v>21</v>
      </c>
      <c r="D68" s="1">
        <v>26680.0</v>
      </c>
      <c r="E68" s="1" t="s">
        <v>218</v>
      </c>
      <c r="F68" s="3">
        <v>41383.0</v>
      </c>
      <c r="G68" s="1">
        <v>10475.0</v>
      </c>
    </row>
    <row r="69">
      <c r="A69" s="1" t="s">
        <v>219</v>
      </c>
      <c r="B69" s="1" t="s">
        <v>220</v>
      </c>
      <c r="C69" s="1" t="s">
        <v>41</v>
      </c>
      <c r="D69" s="1">
        <v>29594.0</v>
      </c>
      <c r="E69" s="1" t="s">
        <v>221</v>
      </c>
      <c r="F69" s="3">
        <v>41383.0</v>
      </c>
      <c r="G69" s="1">
        <v>10474.0</v>
      </c>
    </row>
    <row r="70">
      <c r="A70" s="1" t="s">
        <v>222</v>
      </c>
      <c r="B70" s="1" t="s">
        <v>223</v>
      </c>
      <c r="C70" s="1" t="s">
        <v>177</v>
      </c>
      <c r="D70" s="1">
        <v>58066.0</v>
      </c>
      <c r="E70" s="1" t="s">
        <v>224</v>
      </c>
      <c r="F70" s="3">
        <v>41369.0</v>
      </c>
      <c r="G70" s="1">
        <v>10472.0</v>
      </c>
    </row>
    <row r="71">
      <c r="A71" s="1" t="s">
        <v>225</v>
      </c>
      <c r="B71" s="1" t="s">
        <v>226</v>
      </c>
      <c r="C71" s="1" t="s">
        <v>78</v>
      </c>
      <c r="D71" s="1">
        <v>16431.0</v>
      </c>
      <c r="E71" s="1" t="s">
        <v>227</v>
      </c>
      <c r="F71" s="3">
        <v>41341.0</v>
      </c>
      <c r="G71" s="1">
        <v>10471.0</v>
      </c>
    </row>
    <row r="72">
      <c r="A72" s="1" t="s">
        <v>228</v>
      </c>
      <c r="B72" s="1" t="s">
        <v>48</v>
      </c>
      <c r="C72" s="1" t="s">
        <v>49</v>
      </c>
      <c r="D72" s="1">
        <v>22476.0</v>
      </c>
      <c r="E72" s="1" t="s">
        <v>229</v>
      </c>
      <c r="F72" s="3">
        <v>41320.0</v>
      </c>
      <c r="G72" s="1">
        <v>10470.0</v>
      </c>
    </row>
    <row r="73">
      <c r="A73" s="1" t="s">
        <v>230</v>
      </c>
      <c r="B73" s="1" t="s">
        <v>231</v>
      </c>
      <c r="C73" s="1" t="s">
        <v>111</v>
      </c>
      <c r="D73" s="1">
        <v>57157.0</v>
      </c>
      <c r="E73" s="1" t="s">
        <v>232</v>
      </c>
      <c r="F73" s="3">
        <v>41292.0</v>
      </c>
      <c r="G73" s="1">
        <v>10469.0</v>
      </c>
    </row>
    <row r="74">
      <c r="A74" s="1" t="s">
        <v>233</v>
      </c>
      <c r="B74" s="1" t="s">
        <v>234</v>
      </c>
      <c r="C74" s="1" t="s">
        <v>90</v>
      </c>
      <c r="D74" s="1">
        <v>33997.0</v>
      </c>
      <c r="E74" s="1" t="s">
        <v>156</v>
      </c>
      <c r="F74" s="3">
        <v>41285.0</v>
      </c>
      <c r="G74" s="1">
        <v>10468.0</v>
      </c>
    </row>
    <row r="75">
      <c r="A75" s="1" t="s">
        <v>235</v>
      </c>
      <c r="B75" s="1" t="s">
        <v>236</v>
      </c>
      <c r="C75" s="1" t="s">
        <v>237</v>
      </c>
      <c r="D75" s="1">
        <v>27331.0</v>
      </c>
      <c r="E75" s="1" t="s">
        <v>238</v>
      </c>
      <c r="F75" s="3">
        <v>41257.0</v>
      </c>
      <c r="G75" s="1">
        <v>10467.0</v>
      </c>
    </row>
    <row r="76">
      <c r="A76" s="1" t="s">
        <v>239</v>
      </c>
      <c r="B76" s="1" t="s">
        <v>240</v>
      </c>
      <c r="C76" s="1" t="s">
        <v>78</v>
      </c>
      <c r="D76" s="1">
        <v>57928.0</v>
      </c>
      <c r="E76" s="1" t="s">
        <v>213</v>
      </c>
      <c r="F76" s="3">
        <v>41229.0</v>
      </c>
      <c r="G76" s="1">
        <v>10466.0</v>
      </c>
    </row>
    <row r="77">
      <c r="A77" s="1" t="s">
        <v>241</v>
      </c>
      <c r="B77" s="1" t="s">
        <v>242</v>
      </c>
      <c r="C77" s="1" t="s">
        <v>49</v>
      </c>
      <c r="D77" s="1">
        <v>3731.0</v>
      </c>
      <c r="E77" s="1" t="s">
        <v>243</v>
      </c>
      <c r="F77" s="3">
        <v>41215.0</v>
      </c>
      <c r="G77" s="1">
        <v>10464.0</v>
      </c>
    </row>
    <row r="78">
      <c r="A78" s="1" t="s">
        <v>244</v>
      </c>
      <c r="B78" s="1" t="s">
        <v>245</v>
      </c>
      <c r="C78" s="1" t="s">
        <v>21</v>
      </c>
      <c r="D78" s="1">
        <v>35009.0</v>
      </c>
      <c r="E78" s="1" t="s">
        <v>246</v>
      </c>
      <c r="F78" s="3">
        <v>41215.0</v>
      </c>
      <c r="G78" s="1">
        <v>10465.0</v>
      </c>
    </row>
    <row r="79">
      <c r="A79" s="1" t="s">
        <v>247</v>
      </c>
      <c r="B79" s="1" t="s">
        <v>141</v>
      </c>
      <c r="C79" s="1" t="s">
        <v>82</v>
      </c>
      <c r="D79" s="1">
        <v>27148.0</v>
      </c>
      <c r="E79" s="1" t="s">
        <v>174</v>
      </c>
      <c r="F79" s="3">
        <v>41208.0</v>
      </c>
      <c r="G79" s="1">
        <v>10463.0</v>
      </c>
    </row>
    <row r="80">
      <c r="A80" s="1" t="s">
        <v>248</v>
      </c>
      <c r="B80" s="1" t="s">
        <v>249</v>
      </c>
      <c r="C80" s="1" t="s">
        <v>237</v>
      </c>
      <c r="D80" s="1">
        <v>19189.0</v>
      </c>
      <c r="E80" s="1" t="s">
        <v>250</v>
      </c>
      <c r="F80" s="3">
        <v>41201.0</v>
      </c>
      <c r="G80" s="1">
        <v>10460.0</v>
      </c>
    </row>
    <row r="81">
      <c r="A81" s="1" t="s">
        <v>251</v>
      </c>
      <c r="B81" s="1" t="s">
        <v>252</v>
      </c>
      <c r="C81" s="1" t="s">
        <v>21</v>
      </c>
      <c r="D81" s="1">
        <v>28144.0</v>
      </c>
      <c r="E81" s="1" t="s">
        <v>253</v>
      </c>
      <c r="F81" s="3">
        <v>41201.0</v>
      </c>
      <c r="G81" s="1">
        <v>10461.0</v>
      </c>
    </row>
    <row r="82">
      <c r="A82" s="1" t="s">
        <v>254</v>
      </c>
      <c r="B82" s="1" t="s">
        <v>255</v>
      </c>
      <c r="C82" s="1" t="s">
        <v>21</v>
      </c>
      <c r="D82" s="1">
        <v>58073.0</v>
      </c>
      <c r="E82" s="1" t="s">
        <v>256</v>
      </c>
      <c r="F82" s="3">
        <v>41201.0</v>
      </c>
      <c r="G82" s="1">
        <v>10462.0</v>
      </c>
    </row>
    <row r="83">
      <c r="A83" s="1" t="s">
        <v>257</v>
      </c>
      <c r="B83" s="1" t="s">
        <v>258</v>
      </c>
      <c r="C83" s="1" t="s">
        <v>49</v>
      </c>
      <c r="D83" s="1">
        <v>20685.0</v>
      </c>
      <c r="E83" s="1" t="s">
        <v>259</v>
      </c>
      <c r="F83" s="3">
        <v>41180.0</v>
      </c>
      <c r="G83" s="1">
        <v>10459.0</v>
      </c>
    </row>
    <row r="84">
      <c r="A84" s="1" t="s">
        <v>260</v>
      </c>
      <c r="B84" s="1" t="s">
        <v>261</v>
      </c>
      <c r="C84" s="1" t="s">
        <v>237</v>
      </c>
      <c r="D84" s="1">
        <v>27316.0</v>
      </c>
      <c r="E84" s="1" t="s">
        <v>250</v>
      </c>
      <c r="F84" s="3">
        <v>41166.0</v>
      </c>
      <c r="G84" s="1">
        <v>10458.0</v>
      </c>
    </row>
    <row r="85">
      <c r="A85" s="1" t="s">
        <v>262</v>
      </c>
      <c r="B85" s="1" t="s">
        <v>263</v>
      </c>
      <c r="C85" s="1" t="s">
        <v>111</v>
      </c>
      <c r="D85" s="1">
        <v>35246.0</v>
      </c>
      <c r="E85" s="1" t="s">
        <v>264</v>
      </c>
      <c r="F85" s="3">
        <v>41159.0</v>
      </c>
      <c r="G85" s="1">
        <v>10457.0</v>
      </c>
    </row>
    <row r="86">
      <c r="A86" s="1" t="s">
        <v>265</v>
      </c>
      <c r="B86" s="1" t="s">
        <v>266</v>
      </c>
      <c r="C86" s="1" t="s">
        <v>49</v>
      </c>
      <c r="D86" s="1">
        <v>28243.0</v>
      </c>
      <c r="E86" s="1" t="s">
        <v>267</v>
      </c>
      <c r="F86" s="3">
        <v>41124.0</v>
      </c>
      <c r="G86" s="1">
        <v>10456.0</v>
      </c>
    </row>
    <row r="87">
      <c r="A87" s="1" t="s">
        <v>268</v>
      </c>
      <c r="B87" s="1" t="s">
        <v>269</v>
      </c>
      <c r="C87" s="1" t="s">
        <v>78</v>
      </c>
      <c r="D87" s="1">
        <v>16240.0</v>
      </c>
      <c r="E87" s="1" t="s">
        <v>253</v>
      </c>
      <c r="F87" s="3">
        <v>41117.0</v>
      </c>
      <c r="G87" s="1">
        <v>10455.0</v>
      </c>
    </row>
    <row r="88">
      <c r="A88" s="1" t="s">
        <v>270</v>
      </c>
      <c r="B88" s="1" t="s">
        <v>48</v>
      </c>
      <c r="C88" s="1" t="s">
        <v>49</v>
      </c>
      <c r="D88" s="1">
        <v>27986.0</v>
      </c>
      <c r="E88" s="1" t="s">
        <v>271</v>
      </c>
      <c r="F88" s="3">
        <v>41110.0</v>
      </c>
      <c r="G88" s="1">
        <v>10453.0</v>
      </c>
    </row>
    <row r="89">
      <c r="A89" s="1" t="s">
        <v>272</v>
      </c>
      <c r="B89" s="1" t="s">
        <v>273</v>
      </c>
      <c r="C89" s="1" t="s">
        <v>17</v>
      </c>
      <c r="D89" s="1">
        <v>1361.0</v>
      </c>
      <c r="E89" s="1" t="s">
        <v>274</v>
      </c>
      <c r="F89" s="3">
        <v>41110.0</v>
      </c>
      <c r="G89" s="1">
        <v>10452.0</v>
      </c>
    </row>
    <row r="90">
      <c r="A90" s="1" t="s">
        <v>275</v>
      </c>
      <c r="B90" s="1" t="s">
        <v>276</v>
      </c>
      <c r="C90" s="1" t="s">
        <v>78</v>
      </c>
      <c r="D90" s="1">
        <v>32711.0</v>
      </c>
      <c r="E90" s="1" t="s">
        <v>125</v>
      </c>
      <c r="F90" s="3">
        <v>41110.0</v>
      </c>
      <c r="G90" s="1">
        <v>10450.0</v>
      </c>
    </row>
    <row r="91">
      <c r="A91" s="1" t="s">
        <v>277</v>
      </c>
      <c r="B91" s="1" t="s">
        <v>278</v>
      </c>
      <c r="C91" s="1" t="s">
        <v>78</v>
      </c>
      <c r="D91" s="1">
        <v>57847.0</v>
      </c>
      <c r="E91" s="1" t="s">
        <v>125</v>
      </c>
      <c r="F91" s="3">
        <v>41110.0</v>
      </c>
      <c r="G91" s="1">
        <v>10451.0</v>
      </c>
    </row>
    <row r="92">
      <c r="A92" s="1" t="s">
        <v>279</v>
      </c>
      <c r="B92" s="1" t="s">
        <v>280</v>
      </c>
      <c r="C92" s="1" t="s">
        <v>21</v>
      </c>
      <c r="D92" s="1">
        <v>57096.0</v>
      </c>
      <c r="E92" s="1" t="s">
        <v>281</v>
      </c>
      <c r="F92" s="3">
        <v>41110.0</v>
      </c>
      <c r="G92" s="1">
        <v>10454.0</v>
      </c>
    </row>
    <row r="93">
      <c r="A93" s="1" t="s">
        <v>282</v>
      </c>
      <c r="B93" s="1" t="s">
        <v>283</v>
      </c>
      <c r="C93" s="1" t="s">
        <v>237</v>
      </c>
      <c r="D93" s="1">
        <v>1056.0</v>
      </c>
      <c r="E93" s="1" t="s">
        <v>284</v>
      </c>
      <c r="F93" s="3">
        <v>41103.0</v>
      </c>
      <c r="G93" s="1">
        <v>10449.0</v>
      </c>
    </row>
    <row r="94">
      <c r="A94" s="1" t="s">
        <v>285</v>
      </c>
      <c r="B94" s="1" t="s">
        <v>286</v>
      </c>
      <c r="C94" s="1" t="s">
        <v>78</v>
      </c>
      <c r="D94" s="1">
        <v>19498.0</v>
      </c>
      <c r="E94" s="1" t="s">
        <v>287</v>
      </c>
      <c r="F94" s="3">
        <v>41096.0</v>
      </c>
      <c r="G94" s="1">
        <v>10448.0</v>
      </c>
    </row>
    <row r="95">
      <c r="A95" s="1" t="s">
        <v>288</v>
      </c>
      <c r="B95" s="1" t="s">
        <v>289</v>
      </c>
      <c r="C95" s="1" t="s">
        <v>85</v>
      </c>
      <c r="D95" s="1">
        <v>1690.0</v>
      </c>
      <c r="E95" s="1" t="s">
        <v>290</v>
      </c>
      <c r="F95" s="3">
        <v>41075.0</v>
      </c>
      <c r="G95" s="1">
        <v>10447.0</v>
      </c>
    </row>
    <row r="96">
      <c r="A96" s="1" t="s">
        <v>291</v>
      </c>
      <c r="B96" s="1" t="s">
        <v>292</v>
      </c>
      <c r="C96" s="1" t="s">
        <v>78</v>
      </c>
      <c r="D96" s="1">
        <v>35299.0</v>
      </c>
      <c r="E96" s="1" t="s">
        <v>94</v>
      </c>
      <c r="F96" s="3">
        <v>41075.0</v>
      </c>
      <c r="G96" s="1">
        <v>10446.0</v>
      </c>
    </row>
    <row r="97">
      <c r="A97" s="1" t="s">
        <v>293</v>
      </c>
      <c r="B97" s="1" t="s">
        <v>294</v>
      </c>
      <c r="C97" s="1" t="s">
        <v>21</v>
      </c>
      <c r="D97" s="1">
        <v>27405.0</v>
      </c>
      <c r="E97" s="1" t="s">
        <v>295</v>
      </c>
      <c r="F97" s="3">
        <v>41075.0</v>
      </c>
      <c r="G97" s="1">
        <v>10445.0</v>
      </c>
    </row>
    <row r="98">
      <c r="A98" s="1" t="s">
        <v>296</v>
      </c>
      <c r="B98" s="1" t="s">
        <v>297</v>
      </c>
      <c r="C98" s="1" t="s">
        <v>206</v>
      </c>
      <c r="D98" s="1">
        <v>34515.0</v>
      </c>
      <c r="E98" s="1" t="s">
        <v>298</v>
      </c>
      <c r="F98" s="3">
        <v>41068.0</v>
      </c>
      <c r="G98" s="1">
        <v>10444.0</v>
      </c>
    </row>
    <row r="99">
      <c r="A99" s="1" t="s">
        <v>299</v>
      </c>
      <c r="B99" s="1" t="s">
        <v>300</v>
      </c>
      <c r="C99" s="1" t="s">
        <v>49</v>
      </c>
      <c r="D99" s="1">
        <v>9257.0</v>
      </c>
      <c r="E99" s="1" t="s">
        <v>301</v>
      </c>
      <c r="F99" s="3">
        <v>41068.0</v>
      </c>
      <c r="G99" s="1">
        <v>10442.0</v>
      </c>
    </row>
    <row r="100">
      <c r="A100" s="1" t="s">
        <v>302</v>
      </c>
      <c r="B100" s="1" t="s">
        <v>303</v>
      </c>
      <c r="C100" s="1" t="s">
        <v>144</v>
      </c>
      <c r="D100" s="1">
        <v>35372.0</v>
      </c>
      <c r="E100" s="1" t="s">
        <v>304</v>
      </c>
      <c r="F100" s="3">
        <v>41068.0</v>
      </c>
      <c r="G100" s="1">
        <v>10441.0</v>
      </c>
    </row>
    <row r="101">
      <c r="A101" s="1" t="s">
        <v>305</v>
      </c>
      <c r="B101" s="1" t="s">
        <v>306</v>
      </c>
      <c r="C101" s="1" t="s">
        <v>128</v>
      </c>
      <c r="D101" s="1">
        <v>416.0</v>
      </c>
      <c r="E101" s="1" t="s">
        <v>307</v>
      </c>
      <c r="F101" s="3">
        <v>41068.0</v>
      </c>
      <c r="G101" s="1">
        <v>10443.0</v>
      </c>
    </row>
    <row r="102">
      <c r="A102" s="1" t="s">
        <v>308</v>
      </c>
      <c r="B102" s="1" t="s">
        <v>309</v>
      </c>
      <c r="C102" s="1" t="s">
        <v>310</v>
      </c>
      <c r="D102" s="1">
        <v>35224.0</v>
      </c>
      <c r="E102" s="1" t="s">
        <v>311</v>
      </c>
      <c r="F102" s="3">
        <v>41047.0</v>
      </c>
      <c r="G102" s="1">
        <v>10440.0</v>
      </c>
    </row>
    <row r="103">
      <c r="A103" s="1" t="s">
        <v>312</v>
      </c>
      <c r="B103" s="1" t="s">
        <v>313</v>
      </c>
      <c r="C103" s="1" t="s">
        <v>21</v>
      </c>
      <c r="D103" s="1">
        <v>23156.0</v>
      </c>
      <c r="E103" s="1" t="s">
        <v>314</v>
      </c>
      <c r="F103" s="3">
        <v>41033.0</v>
      </c>
      <c r="G103" s="1">
        <v>10439.0</v>
      </c>
    </row>
    <row r="104">
      <c r="A104" s="1" t="s">
        <v>315</v>
      </c>
      <c r="B104" s="1" t="s">
        <v>114</v>
      </c>
      <c r="C104" s="1" t="s">
        <v>13</v>
      </c>
      <c r="D104" s="1">
        <v>23632.0</v>
      </c>
      <c r="E104" s="1" t="s">
        <v>316</v>
      </c>
      <c r="F104" s="3">
        <v>41026.0</v>
      </c>
      <c r="G104" s="1">
        <v>10437.0</v>
      </c>
    </row>
    <row r="105">
      <c r="A105" s="1" t="s">
        <v>317</v>
      </c>
      <c r="B105" s="1" t="s">
        <v>318</v>
      </c>
      <c r="C105" s="1" t="s">
        <v>144</v>
      </c>
      <c r="D105" s="1">
        <v>32503.0</v>
      </c>
      <c r="E105" s="1" t="s">
        <v>219</v>
      </c>
      <c r="F105" s="3">
        <v>41026.0</v>
      </c>
      <c r="G105" s="1">
        <v>10438.0</v>
      </c>
    </row>
    <row r="106">
      <c r="A106" s="1" t="s">
        <v>319</v>
      </c>
      <c r="B106" s="1" t="s">
        <v>320</v>
      </c>
      <c r="C106" s="1" t="s">
        <v>111</v>
      </c>
      <c r="D106" s="1">
        <v>31495.0</v>
      </c>
      <c r="E106" s="1" t="s">
        <v>134</v>
      </c>
      <c r="F106" s="3">
        <v>41026.0</v>
      </c>
      <c r="G106" s="1">
        <v>10436.0</v>
      </c>
    </row>
    <row r="107">
      <c r="A107" s="1" t="s">
        <v>321</v>
      </c>
      <c r="B107" s="1" t="s">
        <v>322</v>
      </c>
      <c r="C107" s="1" t="s">
        <v>119</v>
      </c>
      <c r="D107" s="1">
        <v>57766.0</v>
      </c>
      <c r="E107" s="1" t="s">
        <v>323</v>
      </c>
      <c r="F107" s="3">
        <v>41026.0</v>
      </c>
      <c r="G107" s="1">
        <v>10435.0</v>
      </c>
    </row>
    <row r="108">
      <c r="A108" s="1" t="s">
        <v>324</v>
      </c>
      <c r="B108" s="1" t="s">
        <v>325</v>
      </c>
      <c r="C108" s="1" t="s">
        <v>119</v>
      </c>
      <c r="D108" s="1">
        <v>26759.0</v>
      </c>
      <c r="E108" s="1" t="s">
        <v>174</v>
      </c>
      <c r="F108" s="3">
        <v>41026.0</v>
      </c>
      <c r="G108" s="1">
        <v>10434.0</v>
      </c>
    </row>
    <row r="109">
      <c r="A109" s="1" t="s">
        <v>326</v>
      </c>
      <c r="B109" s="1" t="s">
        <v>327</v>
      </c>
      <c r="C109" s="1" t="s">
        <v>33</v>
      </c>
      <c r="D109" s="1">
        <v>35527.0</v>
      </c>
      <c r="E109" s="1" t="s">
        <v>328</v>
      </c>
      <c r="F109" s="3">
        <v>41019.0</v>
      </c>
      <c r="G109" s="1">
        <v>10433.0</v>
      </c>
    </row>
    <row r="110">
      <c r="A110" s="1" t="s">
        <v>94</v>
      </c>
      <c r="B110" s="1" t="s">
        <v>329</v>
      </c>
      <c r="C110" s="1" t="s">
        <v>330</v>
      </c>
      <c r="D110" s="1">
        <v>33883.0</v>
      </c>
      <c r="E110" s="1" t="s">
        <v>331</v>
      </c>
      <c r="F110" s="3">
        <v>40998.0</v>
      </c>
      <c r="G110" s="1">
        <v>10432.0</v>
      </c>
    </row>
    <row r="111">
      <c r="A111" s="1" t="s">
        <v>95</v>
      </c>
      <c r="B111" s="1" t="s">
        <v>332</v>
      </c>
      <c r="C111" s="1" t="s">
        <v>49</v>
      </c>
      <c r="D111" s="1">
        <v>35419.0</v>
      </c>
      <c r="E111" s="1" t="s">
        <v>333</v>
      </c>
      <c r="F111" s="3">
        <v>40991.0</v>
      </c>
      <c r="G111" s="1">
        <v>10431.0</v>
      </c>
    </row>
    <row r="112">
      <c r="A112" s="1" t="s">
        <v>334</v>
      </c>
      <c r="B112" s="1" t="s">
        <v>335</v>
      </c>
      <c r="C112" s="1" t="s">
        <v>78</v>
      </c>
      <c r="D112" s="1">
        <v>58068.0</v>
      </c>
      <c r="E112" s="1" t="s">
        <v>336</v>
      </c>
      <c r="F112" s="3">
        <v>40991.0</v>
      </c>
      <c r="G112" s="1">
        <v>10430.0</v>
      </c>
    </row>
    <row r="113">
      <c r="A113" s="1" t="s">
        <v>337</v>
      </c>
      <c r="B113" s="1" t="s">
        <v>48</v>
      </c>
      <c r="C113" s="1" t="s">
        <v>49</v>
      </c>
      <c r="D113" s="1">
        <v>57597.0</v>
      </c>
      <c r="E113" s="1" t="s">
        <v>174</v>
      </c>
      <c r="F113" s="3">
        <v>40977.0</v>
      </c>
      <c r="G113" s="1">
        <v>10429.0</v>
      </c>
    </row>
    <row r="114">
      <c r="A114" s="1" t="s">
        <v>338</v>
      </c>
      <c r="B114" s="1" t="s">
        <v>339</v>
      </c>
      <c r="C114" s="1" t="s">
        <v>78</v>
      </c>
      <c r="D114" s="1">
        <v>34046.0</v>
      </c>
      <c r="E114" s="1" t="s">
        <v>340</v>
      </c>
      <c r="F114" s="3">
        <v>40970.0</v>
      </c>
      <c r="G114" s="1">
        <v>10428.0</v>
      </c>
    </row>
    <row r="115">
      <c r="A115" s="1" t="s">
        <v>341</v>
      </c>
      <c r="B115" s="1" t="s">
        <v>342</v>
      </c>
      <c r="C115" s="1" t="s">
        <v>111</v>
      </c>
      <c r="D115" s="1">
        <v>29178.0</v>
      </c>
      <c r="E115" s="1" t="s">
        <v>174</v>
      </c>
      <c r="F115" s="3">
        <v>40963.0</v>
      </c>
      <c r="G115" s="1">
        <v>10427.0</v>
      </c>
    </row>
    <row r="116">
      <c r="A116" s="1" t="s">
        <v>343</v>
      </c>
      <c r="B116" s="1" t="s">
        <v>344</v>
      </c>
      <c r="C116" s="1" t="s">
        <v>78</v>
      </c>
      <c r="D116" s="1">
        <v>5687.0</v>
      </c>
      <c r="E116" s="1" t="s">
        <v>287</v>
      </c>
      <c r="F116" s="3">
        <v>40963.0</v>
      </c>
      <c r="G116" s="1">
        <v>10426.0</v>
      </c>
    </row>
    <row r="117">
      <c r="A117" s="1" t="s">
        <v>345</v>
      </c>
      <c r="B117" s="1" t="s">
        <v>346</v>
      </c>
      <c r="C117" s="1" t="s">
        <v>347</v>
      </c>
      <c r="D117" s="1">
        <v>29761.0</v>
      </c>
      <c r="E117" s="1" t="s">
        <v>348</v>
      </c>
      <c r="F117" s="3">
        <v>40949.0</v>
      </c>
      <c r="G117" s="1">
        <v>10425.0</v>
      </c>
    </row>
    <row r="118">
      <c r="A118" s="1" t="s">
        <v>349</v>
      </c>
      <c r="B118" s="1" t="s">
        <v>350</v>
      </c>
      <c r="C118" s="1" t="s">
        <v>49</v>
      </c>
      <c r="D118" s="1">
        <v>23187.0</v>
      </c>
      <c r="E118" s="1" t="s">
        <v>351</v>
      </c>
      <c r="F118" s="3">
        <v>40949.0</v>
      </c>
      <c r="G118" s="1">
        <v>10424.0</v>
      </c>
    </row>
    <row r="119">
      <c r="A119" s="1" t="s">
        <v>352</v>
      </c>
      <c r="B119" s="1" t="s">
        <v>353</v>
      </c>
      <c r="C119" s="1" t="s">
        <v>85</v>
      </c>
      <c r="D119" s="1">
        <v>19869.0</v>
      </c>
      <c r="E119" s="1" t="s">
        <v>354</v>
      </c>
      <c r="F119" s="3">
        <v>40935.0</v>
      </c>
      <c r="G119" s="1">
        <v>10420.0</v>
      </c>
    </row>
    <row r="120">
      <c r="A120" s="1" t="s">
        <v>355</v>
      </c>
      <c r="B120" s="1" t="s">
        <v>356</v>
      </c>
      <c r="C120" s="1" t="s">
        <v>111</v>
      </c>
      <c r="D120" s="1">
        <v>34823.0</v>
      </c>
      <c r="E120" s="1" t="s">
        <v>357</v>
      </c>
      <c r="F120" s="3">
        <v>40935.0</v>
      </c>
      <c r="G120" s="1">
        <v>10422.0</v>
      </c>
    </row>
    <row r="121">
      <c r="A121" s="1" t="s">
        <v>358</v>
      </c>
      <c r="B121" s="1" t="s">
        <v>359</v>
      </c>
      <c r="C121" s="1" t="s">
        <v>85</v>
      </c>
      <c r="D121" s="1">
        <v>35296.0</v>
      </c>
      <c r="E121" s="1" t="s">
        <v>264</v>
      </c>
      <c r="F121" s="3">
        <v>40935.0</v>
      </c>
      <c r="G121" s="1">
        <v>10423.0</v>
      </c>
    </row>
    <row r="122">
      <c r="A122" s="1" t="s">
        <v>360</v>
      </c>
      <c r="B122" s="1" t="s">
        <v>361</v>
      </c>
      <c r="C122" s="1" t="s">
        <v>21</v>
      </c>
      <c r="D122" s="1">
        <v>16579.0</v>
      </c>
      <c r="E122" s="1" t="s">
        <v>362</v>
      </c>
      <c r="F122" s="3">
        <v>40935.0</v>
      </c>
      <c r="G122" s="1">
        <v>10421.0</v>
      </c>
    </row>
    <row r="123">
      <c r="A123" s="1" t="s">
        <v>363</v>
      </c>
      <c r="B123" s="1" t="s">
        <v>364</v>
      </c>
      <c r="C123" s="1" t="s">
        <v>82</v>
      </c>
      <c r="D123" s="1">
        <v>31581.0</v>
      </c>
      <c r="E123" s="1" t="s">
        <v>207</v>
      </c>
      <c r="F123" s="3">
        <v>40928.0</v>
      </c>
      <c r="G123" s="1">
        <v>10417.0</v>
      </c>
    </row>
    <row r="124">
      <c r="A124" s="1" t="s">
        <v>23</v>
      </c>
      <c r="B124" s="1" t="s">
        <v>365</v>
      </c>
      <c r="C124" s="1" t="s">
        <v>78</v>
      </c>
      <c r="D124" s="1">
        <v>19252.0</v>
      </c>
      <c r="E124" s="1" t="s">
        <v>210</v>
      </c>
      <c r="F124" s="3">
        <v>40928.0</v>
      </c>
      <c r="G124" s="1">
        <v>10419.0</v>
      </c>
    </row>
    <row r="125">
      <c r="A125" s="1" t="s">
        <v>366</v>
      </c>
      <c r="B125" s="1" t="s">
        <v>367</v>
      </c>
      <c r="C125" s="1" t="s">
        <v>21</v>
      </c>
      <c r="D125" s="1">
        <v>57186.0</v>
      </c>
      <c r="E125" s="1" t="s">
        <v>362</v>
      </c>
      <c r="F125" s="3">
        <v>40928.0</v>
      </c>
      <c r="G125" s="1">
        <v>10418.0</v>
      </c>
    </row>
    <row r="126">
      <c r="A126" s="1" t="s">
        <v>368</v>
      </c>
      <c r="B126" s="1" t="s">
        <v>176</v>
      </c>
      <c r="C126" s="1" t="s">
        <v>177</v>
      </c>
      <c r="D126" s="1">
        <v>57917.0</v>
      </c>
      <c r="E126" s="1" t="s">
        <v>369</v>
      </c>
      <c r="F126" s="3">
        <v>40893.0</v>
      </c>
      <c r="G126" s="1">
        <v>10416.0</v>
      </c>
    </row>
    <row r="127">
      <c r="A127" s="1" t="s">
        <v>370</v>
      </c>
      <c r="B127" s="1" t="s">
        <v>108</v>
      </c>
      <c r="C127" s="1" t="s">
        <v>21</v>
      </c>
      <c r="D127" s="1">
        <v>58343.0</v>
      </c>
      <c r="E127" s="1" t="s">
        <v>371</v>
      </c>
      <c r="F127" s="3">
        <v>40893.0</v>
      </c>
      <c r="G127" s="1">
        <v>10415.0</v>
      </c>
    </row>
    <row r="128">
      <c r="A128" s="1" t="s">
        <v>372</v>
      </c>
      <c r="B128" s="1" t="s">
        <v>373</v>
      </c>
      <c r="C128" s="1" t="s">
        <v>62</v>
      </c>
      <c r="D128" s="1">
        <v>19657.0</v>
      </c>
      <c r="E128" s="1" t="s">
        <v>60</v>
      </c>
      <c r="F128" s="3">
        <v>40865.0</v>
      </c>
      <c r="G128" s="1">
        <v>10413.0</v>
      </c>
    </row>
    <row r="129">
      <c r="A129" s="1" t="s">
        <v>374</v>
      </c>
      <c r="B129" s="1" t="s">
        <v>375</v>
      </c>
      <c r="C129" s="1" t="s">
        <v>376</v>
      </c>
      <c r="D129" s="1">
        <v>14194.0</v>
      </c>
      <c r="E129" s="1" t="s">
        <v>377</v>
      </c>
      <c r="F129" s="3">
        <v>40865.0</v>
      </c>
      <c r="G129" s="1">
        <v>10414.0</v>
      </c>
    </row>
    <row r="130">
      <c r="A130" s="1" t="s">
        <v>378</v>
      </c>
      <c r="B130" s="1" t="s">
        <v>379</v>
      </c>
      <c r="C130" s="1" t="s">
        <v>78</v>
      </c>
      <c r="D130" s="1">
        <v>57860.0</v>
      </c>
      <c r="E130" s="1" t="s">
        <v>380</v>
      </c>
      <c r="F130" s="3">
        <v>40857.0</v>
      </c>
      <c r="G130" s="1">
        <v>10412.0</v>
      </c>
    </row>
    <row r="131">
      <c r="A131" s="1" t="s">
        <v>381</v>
      </c>
      <c r="B131" s="1" t="s">
        <v>382</v>
      </c>
      <c r="C131" s="1" t="s">
        <v>66</v>
      </c>
      <c r="D131" s="1">
        <v>57087.0</v>
      </c>
      <c r="E131" s="1" t="s">
        <v>67</v>
      </c>
      <c r="F131" s="3">
        <v>40851.0</v>
      </c>
      <c r="G131" s="1">
        <v>10411.0</v>
      </c>
    </row>
    <row r="132">
      <c r="A132" s="1" t="s">
        <v>383</v>
      </c>
      <c r="B132" s="1" t="s">
        <v>384</v>
      </c>
      <c r="C132" s="1" t="s">
        <v>29</v>
      </c>
      <c r="D132" s="1">
        <v>19397.0</v>
      </c>
      <c r="E132" s="1" t="s">
        <v>95</v>
      </c>
      <c r="F132" s="3">
        <v>40851.0</v>
      </c>
      <c r="G132" s="1">
        <v>10410.0</v>
      </c>
    </row>
    <row r="133">
      <c r="A133" s="1" t="s">
        <v>385</v>
      </c>
      <c r="B133" s="1" t="s">
        <v>386</v>
      </c>
      <c r="C133" s="1" t="s">
        <v>49</v>
      </c>
      <c r="D133" s="1">
        <v>57759.0</v>
      </c>
      <c r="E133" s="1" t="s">
        <v>333</v>
      </c>
      <c r="F133" s="3">
        <v>40844.0</v>
      </c>
      <c r="G133" s="1">
        <v>10409.0</v>
      </c>
    </row>
    <row r="134">
      <c r="A134" s="1" t="s">
        <v>387</v>
      </c>
      <c r="B134" s="1" t="s">
        <v>388</v>
      </c>
      <c r="C134" s="1" t="s">
        <v>97</v>
      </c>
      <c r="D134" s="1">
        <v>21132.0</v>
      </c>
      <c r="E134" s="1" t="s">
        <v>389</v>
      </c>
      <c r="F134" s="3">
        <v>40837.0</v>
      </c>
      <c r="G134" s="1">
        <v>10405.0</v>
      </c>
    </row>
    <row r="135">
      <c r="A135" s="1" t="s">
        <v>390</v>
      </c>
      <c r="B135" s="1" t="s">
        <v>391</v>
      </c>
      <c r="C135" s="1" t="s">
        <v>78</v>
      </c>
      <c r="D135" s="1">
        <v>57036.0</v>
      </c>
      <c r="E135" s="1" t="s">
        <v>392</v>
      </c>
      <c r="F135" s="3">
        <v>40837.0</v>
      </c>
      <c r="G135" s="1">
        <v>10406.0</v>
      </c>
    </row>
    <row r="136">
      <c r="A136" s="1" t="s">
        <v>393</v>
      </c>
      <c r="B136" s="1" t="s">
        <v>394</v>
      </c>
      <c r="C136" s="1" t="s">
        <v>78</v>
      </c>
      <c r="D136" s="1">
        <v>34392.0</v>
      </c>
      <c r="E136" s="1" t="s">
        <v>94</v>
      </c>
      <c r="F136" s="3">
        <v>40837.0</v>
      </c>
      <c r="G136" s="1">
        <v>10407.0</v>
      </c>
    </row>
    <row r="137">
      <c r="A137" s="1" t="s">
        <v>395</v>
      </c>
      <c r="B137" s="1" t="s">
        <v>396</v>
      </c>
      <c r="C137" s="1" t="s">
        <v>21</v>
      </c>
      <c r="D137" s="1">
        <v>57537.0</v>
      </c>
      <c r="E137" s="1" t="s">
        <v>397</v>
      </c>
      <c r="F137" s="3">
        <v>40837.0</v>
      </c>
      <c r="G137" s="1">
        <v>10408.0</v>
      </c>
    </row>
    <row r="138">
      <c r="A138" s="1" t="s">
        <v>398</v>
      </c>
      <c r="B138" s="1" t="s">
        <v>399</v>
      </c>
      <c r="C138" s="1" t="s">
        <v>49</v>
      </c>
      <c r="D138" s="1">
        <v>35395.0</v>
      </c>
      <c r="E138" s="1" t="s">
        <v>400</v>
      </c>
      <c r="F138" s="3">
        <v>40830.0</v>
      </c>
      <c r="G138" s="1">
        <v>10402.0</v>
      </c>
    </row>
    <row r="139">
      <c r="A139" s="1" t="s">
        <v>301</v>
      </c>
      <c r="B139" s="1" t="s">
        <v>401</v>
      </c>
      <c r="C139" s="1" t="s">
        <v>33</v>
      </c>
      <c r="D139" s="1">
        <v>58046.0</v>
      </c>
      <c r="E139" s="1" t="s">
        <v>402</v>
      </c>
      <c r="F139" s="3">
        <v>40830.0</v>
      </c>
      <c r="G139" s="1">
        <v>10403.0</v>
      </c>
    </row>
    <row r="140">
      <c r="A140" s="1" t="s">
        <v>403</v>
      </c>
      <c r="B140" s="1" t="s">
        <v>205</v>
      </c>
      <c r="C140" s="1" t="s">
        <v>206</v>
      </c>
      <c r="D140" s="1">
        <v>32347.0</v>
      </c>
      <c r="E140" s="1" t="s">
        <v>304</v>
      </c>
      <c r="F140" s="3">
        <v>40830.0</v>
      </c>
      <c r="G140" s="1">
        <v>10401.0</v>
      </c>
    </row>
    <row r="141">
      <c r="A141" s="1" t="s">
        <v>404</v>
      </c>
      <c r="B141" s="1" t="s">
        <v>405</v>
      </c>
      <c r="C141" s="1" t="s">
        <v>78</v>
      </c>
      <c r="D141" s="1">
        <v>57256.0</v>
      </c>
      <c r="E141" s="1" t="s">
        <v>392</v>
      </c>
      <c r="F141" s="3">
        <v>40830.0</v>
      </c>
      <c r="G141" s="1">
        <v>10404.0</v>
      </c>
    </row>
    <row r="142">
      <c r="A142" s="1" t="s">
        <v>406</v>
      </c>
      <c r="B142" s="1" t="s">
        <v>407</v>
      </c>
      <c r="C142" s="1" t="s">
        <v>237</v>
      </c>
      <c r="D142" s="1">
        <v>20115.0</v>
      </c>
      <c r="E142" s="1" t="s">
        <v>134</v>
      </c>
      <c r="F142" s="3">
        <v>40823.0</v>
      </c>
      <c r="G142" s="1">
        <v>10400.0</v>
      </c>
    </row>
    <row r="143">
      <c r="A143" s="1" t="s">
        <v>408</v>
      </c>
      <c r="B143" s="1" t="s">
        <v>409</v>
      </c>
      <c r="C143" s="1" t="s">
        <v>111</v>
      </c>
      <c r="D143" s="1">
        <v>10216.0</v>
      </c>
      <c r="E143" s="1" t="s">
        <v>410</v>
      </c>
      <c r="F143" s="3">
        <v>40823.0</v>
      </c>
      <c r="G143" s="1">
        <v>10399.0</v>
      </c>
    </row>
    <row r="144">
      <c r="A144" s="1" t="s">
        <v>411</v>
      </c>
      <c r="B144" s="1" t="s">
        <v>412</v>
      </c>
      <c r="C144" s="1" t="s">
        <v>45</v>
      </c>
      <c r="D144" s="1">
        <v>33513.0</v>
      </c>
      <c r="E144" s="1" t="s">
        <v>413</v>
      </c>
      <c r="F144" s="3">
        <v>40816.0</v>
      </c>
      <c r="G144" s="1">
        <v>10398.0</v>
      </c>
    </row>
    <row r="145">
      <c r="A145" s="1" t="s">
        <v>414</v>
      </c>
      <c r="B145" s="1" t="s">
        <v>415</v>
      </c>
      <c r="C145" s="1" t="s">
        <v>13</v>
      </c>
      <c r="D145" s="1">
        <v>33983.0</v>
      </c>
      <c r="E145" s="1" t="s">
        <v>416</v>
      </c>
      <c r="F145" s="3">
        <v>40809.0</v>
      </c>
      <c r="G145" s="1">
        <v>10397.0</v>
      </c>
    </row>
    <row r="146">
      <c r="A146" s="1" t="s">
        <v>417</v>
      </c>
      <c r="B146" s="1" t="s">
        <v>418</v>
      </c>
      <c r="C146" s="1" t="s">
        <v>151</v>
      </c>
      <c r="D146" s="1">
        <v>20408.0</v>
      </c>
      <c r="E146" s="1" t="s">
        <v>419</v>
      </c>
      <c r="F146" s="3">
        <v>40809.0</v>
      </c>
      <c r="G146" s="1">
        <v>10396.0</v>
      </c>
    </row>
    <row r="147">
      <c r="A147" s="1" t="s">
        <v>420</v>
      </c>
      <c r="B147" s="1" t="s">
        <v>421</v>
      </c>
      <c r="C147" s="1" t="s">
        <v>21</v>
      </c>
      <c r="D147" s="1">
        <v>25155.0</v>
      </c>
      <c r="E147" s="1" t="s">
        <v>422</v>
      </c>
      <c r="F147" s="3">
        <v>40795.0</v>
      </c>
      <c r="G147" s="1">
        <v>10395.0</v>
      </c>
    </row>
    <row r="148">
      <c r="A148" s="1" t="s">
        <v>423</v>
      </c>
      <c r="B148" s="1" t="s">
        <v>276</v>
      </c>
      <c r="C148" s="1" t="s">
        <v>78</v>
      </c>
      <c r="D148" s="1">
        <v>58226.0</v>
      </c>
      <c r="E148" s="1" t="s">
        <v>424</v>
      </c>
      <c r="F148" s="3">
        <v>40788.0</v>
      </c>
      <c r="G148" s="1">
        <v>10393.0</v>
      </c>
    </row>
    <row r="149">
      <c r="A149" s="1" t="s">
        <v>425</v>
      </c>
      <c r="B149" s="1" t="s">
        <v>426</v>
      </c>
      <c r="C149" s="1" t="s">
        <v>78</v>
      </c>
      <c r="D149" s="1">
        <v>58273.0</v>
      </c>
      <c r="E149" s="1" t="s">
        <v>424</v>
      </c>
      <c r="F149" s="3">
        <v>40788.0</v>
      </c>
      <c r="G149" s="1">
        <v>10394.0</v>
      </c>
    </row>
    <row r="150">
      <c r="A150" s="1" t="s">
        <v>148</v>
      </c>
      <c r="B150" s="1" t="s">
        <v>427</v>
      </c>
      <c r="C150" s="1" t="s">
        <v>49</v>
      </c>
      <c r="D150" s="1">
        <v>57212.0</v>
      </c>
      <c r="E150" s="1" t="s">
        <v>428</v>
      </c>
      <c r="F150" s="3">
        <v>40774.0</v>
      </c>
      <c r="G150" s="1">
        <v>10390.0</v>
      </c>
    </row>
    <row r="151">
      <c r="A151" s="1" t="s">
        <v>429</v>
      </c>
      <c r="B151" s="1" t="s">
        <v>430</v>
      </c>
      <c r="C151" s="1" t="s">
        <v>78</v>
      </c>
      <c r="D151" s="1">
        <v>57239.0</v>
      </c>
      <c r="E151" s="1" t="s">
        <v>431</v>
      </c>
      <c r="F151" s="3">
        <v>40774.0</v>
      </c>
      <c r="G151" s="1">
        <v>10391.0</v>
      </c>
    </row>
    <row r="152">
      <c r="A152" s="1" t="s">
        <v>432</v>
      </c>
      <c r="B152" s="1" t="s">
        <v>433</v>
      </c>
      <c r="C152" s="1" t="s">
        <v>21</v>
      </c>
      <c r="D152" s="1">
        <v>35356.0</v>
      </c>
      <c r="E152" s="1" t="s">
        <v>434</v>
      </c>
      <c r="F152" s="3">
        <v>40774.0</v>
      </c>
      <c r="G152" s="1">
        <v>10392.0</v>
      </c>
    </row>
    <row r="153">
      <c r="A153" s="1" t="s">
        <v>435</v>
      </c>
      <c r="B153" s="1" t="s">
        <v>436</v>
      </c>
      <c r="C153" s="1" t="s">
        <v>82</v>
      </c>
      <c r="D153" s="1">
        <v>34130.0</v>
      </c>
      <c r="E153" s="1" t="s">
        <v>207</v>
      </c>
      <c r="F153" s="3">
        <v>40773.0</v>
      </c>
      <c r="G153" s="1">
        <v>10389.0</v>
      </c>
    </row>
    <row r="154">
      <c r="A154" s="1" t="s">
        <v>437</v>
      </c>
      <c r="B154" s="1" t="s">
        <v>438</v>
      </c>
      <c r="C154" s="1" t="s">
        <v>17</v>
      </c>
      <c r="D154" s="1">
        <v>4744.0</v>
      </c>
      <c r="E154" s="1" t="s">
        <v>439</v>
      </c>
      <c r="F154" s="3">
        <v>40767.0</v>
      </c>
      <c r="G154" s="1">
        <v>10388.0</v>
      </c>
    </row>
    <row r="155">
      <c r="A155" s="1" t="s">
        <v>440</v>
      </c>
      <c r="B155" s="1" t="s">
        <v>441</v>
      </c>
      <c r="C155" s="1" t="s">
        <v>90</v>
      </c>
      <c r="D155" s="1">
        <v>22528.0</v>
      </c>
      <c r="E155" s="1" t="s">
        <v>442</v>
      </c>
      <c r="F155" s="3">
        <v>40760.0</v>
      </c>
      <c r="G155" s="1">
        <v>10387.0</v>
      </c>
    </row>
    <row r="156">
      <c r="A156" s="1" t="s">
        <v>443</v>
      </c>
      <c r="B156" s="1" t="s">
        <v>444</v>
      </c>
      <c r="C156" s="1" t="s">
        <v>49</v>
      </c>
      <c r="D156" s="1">
        <v>22637.0</v>
      </c>
      <c r="E156" s="1" t="s">
        <v>243</v>
      </c>
      <c r="F156" s="3">
        <v>40760.0</v>
      </c>
      <c r="G156" s="1">
        <v>10386.0</v>
      </c>
    </row>
    <row r="157">
      <c r="A157" s="1" t="s">
        <v>445</v>
      </c>
      <c r="B157" s="1" t="s">
        <v>446</v>
      </c>
      <c r="C157" s="1" t="s">
        <v>347</v>
      </c>
      <c r="D157" s="1">
        <v>4392.0</v>
      </c>
      <c r="E157" s="1" t="s">
        <v>447</v>
      </c>
      <c r="F157" s="3">
        <v>40753.0</v>
      </c>
      <c r="G157" s="1">
        <v>10384.0</v>
      </c>
    </row>
    <row r="158">
      <c r="A158" s="1" t="s">
        <v>448</v>
      </c>
      <c r="B158" s="1" t="s">
        <v>449</v>
      </c>
      <c r="C158" s="1" t="s">
        <v>144</v>
      </c>
      <c r="D158" s="1">
        <v>58222.0</v>
      </c>
      <c r="E158" s="1" t="s">
        <v>450</v>
      </c>
      <c r="F158" s="3">
        <v>40753.0</v>
      </c>
      <c r="G158" s="1">
        <v>10383.0</v>
      </c>
    </row>
    <row r="159">
      <c r="A159" s="1" t="s">
        <v>451</v>
      </c>
      <c r="B159" s="1" t="s">
        <v>452</v>
      </c>
      <c r="C159" s="1" t="s">
        <v>151</v>
      </c>
      <c r="D159" s="1">
        <v>58283.0</v>
      </c>
      <c r="E159" s="1" t="s">
        <v>453</v>
      </c>
      <c r="F159" s="3">
        <v>40753.0</v>
      </c>
      <c r="G159" s="1">
        <v>10385.0</v>
      </c>
    </row>
    <row r="160">
      <c r="A160" s="1" t="s">
        <v>454</v>
      </c>
      <c r="B160" s="1" t="s">
        <v>455</v>
      </c>
      <c r="C160" s="1" t="s">
        <v>97</v>
      </c>
      <c r="D160" s="1">
        <v>2994.0</v>
      </c>
      <c r="E160" s="1" t="s">
        <v>389</v>
      </c>
      <c r="F160" s="3">
        <v>40746.0</v>
      </c>
      <c r="G160" s="1">
        <v>10380.0</v>
      </c>
    </row>
    <row r="161">
      <c r="A161" s="1" t="s">
        <v>456</v>
      </c>
      <c r="B161" s="1" t="s">
        <v>457</v>
      </c>
      <c r="C161" s="1" t="s">
        <v>21</v>
      </c>
      <c r="D161" s="1">
        <v>35244.0</v>
      </c>
      <c r="E161" s="1" t="s">
        <v>458</v>
      </c>
      <c r="F161" s="3">
        <v>40746.0</v>
      </c>
      <c r="G161" s="1">
        <v>10381.0</v>
      </c>
    </row>
    <row r="162">
      <c r="A162" s="1" t="s">
        <v>459</v>
      </c>
      <c r="B162" s="1" t="s">
        <v>460</v>
      </c>
      <c r="C162" s="1" t="s">
        <v>21</v>
      </c>
      <c r="D162" s="1">
        <v>58056.0</v>
      </c>
      <c r="E162" s="1" t="s">
        <v>458</v>
      </c>
      <c r="F162" s="3">
        <v>40746.0</v>
      </c>
      <c r="G162" s="1">
        <v>10382.0</v>
      </c>
    </row>
    <row r="163">
      <c r="A163" s="1" t="s">
        <v>371</v>
      </c>
      <c r="B163" s="1" t="s">
        <v>461</v>
      </c>
      <c r="C163" s="1" t="s">
        <v>177</v>
      </c>
      <c r="D163" s="1">
        <v>57442.0</v>
      </c>
      <c r="E163" s="1" t="s">
        <v>462</v>
      </c>
      <c r="F163" s="3">
        <v>40739.0</v>
      </c>
      <c r="G163" s="1">
        <v>10379.0</v>
      </c>
    </row>
    <row r="164">
      <c r="A164" s="1" t="s">
        <v>463</v>
      </c>
      <c r="B164" s="1" t="s">
        <v>464</v>
      </c>
      <c r="C164" s="1" t="s">
        <v>21</v>
      </c>
      <c r="D164" s="1">
        <v>34870.0</v>
      </c>
      <c r="E164" s="1" t="s">
        <v>465</v>
      </c>
      <c r="F164" s="3">
        <v>40739.0</v>
      </c>
      <c r="G164" s="1">
        <v>10376.0</v>
      </c>
    </row>
    <row r="165">
      <c r="A165" s="1" t="s">
        <v>466</v>
      </c>
      <c r="B165" s="1" t="s">
        <v>365</v>
      </c>
      <c r="C165" s="1" t="s">
        <v>78</v>
      </c>
      <c r="D165" s="1">
        <v>19554.0</v>
      </c>
      <c r="E165" s="1" t="s">
        <v>287</v>
      </c>
      <c r="F165" s="3">
        <v>40739.0</v>
      </c>
      <c r="G165" s="1">
        <v>10377.0</v>
      </c>
    </row>
    <row r="166">
      <c r="A166" s="1" t="s">
        <v>467</v>
      </c>
      <c r="B166" s="1" t="s">
        <v>105</v>
      </c>
      <c r="C166" s="1" t="s">
        <v>78</v>
      </c>
      <c r="D166" s="1">
        <v>58238.0</v>
      </c>
      <c r="E166" s="1" t="s">
        <v>287</v>
      </c>
      <c r="F166" s="3">
        <v>40739.0</v>
      </c>
      <c r="G166" s="1">
        <v>10378.0</v>
      </c>
    </row>
    <row r="167">
      <c r="A167" s="1" t="s">
        <v>7</v>
      </c>
      <c r="B167" s="1" t="s">
        <v>468</v>
      </c>
      <c r="C167" s="1" t="s">
        <v>97</v>
      </c>
      <c r="D167" s="1">
        <v>57835.0</v>
      </c>
      <c r="E167" s="1" t="s">
        <v>469</v>
      </c>
      <c r="F167" s="3">
        <v>40732.0</v>
      </c>
      <c r="G167" s="1">
        <v>10375.0</v>
      </c>
    </row>
    <row r="168">
      <c r="A168" s="1" t="s">
        <v>470</v>
      </c>
      <c r="B168" s="1" t="s">
        <v>471</v>
      </c>
      <c r="C168" s="1" t="s">
        <v>97</v>
      </c>
      <c r="D168" s="1">
        <v>34522.0</v>
      </c>
      <c r="E168" s="1" t="s">
        <v>59</v>
      </c>
      <c r="F168" s="3">
        <v>40732.0</v>
      </c>
      <c r="G168" s="1">
        <v>10373.0</v>
      </c>
    </row>
    <row r="169">
      <c r="A169" s="1" t="s">
        <v>472</v>
      </c>
      <c r="B169" s="1" t="s">
        <v>48</v>
      </c>
      <c r="C169" s="1" t="s">
        <v>49</v>
      </c>
      <c r="D169" s="1">
        <v>27935.0</v>
      </c>
      <c r="E169" s="1" t="s">
        <v>473</v>
      </c>
      <c r="F169" s="3">
        <v>40732.0</v>
      </c>
      <c r="G169" s="1">
        <v>10374.0</v>
      </c>
    </row>
    <row r="170">
      <c r="A170" s="1" t="s">
        <v>474</v>
      </c>
      <c r="B170" s="1" t="s">
        <v>475</v>
      </c>
      <c r="C170" s="1" t="s">
        <v>78</v>
      </c>
      <c r="D170" s="1">
        <v>57593.0</v>
      </c>
      <c r="E170" s="1" t="s">
        <v>476</v>
      </c>
      <c r="F170" s="3">
        <v>40718.0</v>
      </c>
      <c r="G170" s="1">
        <v>10372.0</v>
      </c>
    </row>
    <row r="171">
      <c r="A171" s="1" t="s">
        <v>477</v>
      </c>
      <c r="B171" s="1" t="s">
        <v>478</v>
      </c>
      <c r="C171" s="1" t="s">
        <v>21</v>
      </c>
      <c r="D171" s="1">
        <v>27583.0</v>
      </c>
      <c r="E171" s="1" t="s">
        <v>479</v>
      </c>
      <c r="F171" s="3">
        <v>40711.0</v>
      </c>
      <c r="G171" s="1">
        <v>10370.0</v>
      </c>
    </row>
    <row r="172">
      <c r="A172" s="1" t="s">
        <v>480</v>
      </c>
      <c r="B172" s="1" t="s">
        <v>481</v>
      </c>
      <c r="C172" s="1" t="s">
        <v>78</v>
      </c>
      <c r="D172" s="1">
        <v>19237.0</v>
      </c>
      <c r="E172" s="1" t="s">
        <v>210</v>
      </c>
      <c r="F172" s="3">
        <v>40711.0</v>
      </c>
      <c r="G172" s="1">
        <v>10371.0</v>
      </c>
    </row>
    <row r="173">
      <c r="A173" s="1" t="s">
        <v>482</v>
      </c>
      <c r="B173" s="1" t="s">
        <v>303</v>
      </c>
      <c r="C173" s="1" t="s">
        <v>144</v>
      </c>
      <c r="D173" s="1">
        <v>58420.0</v>
      </c>
      <c r="E173" s="1" t="s">
        <v>483</v>
      </c>
      <c r="F173" s="3">
        <v>40697.0</v>
      </c>
      <c r="G173" s="1">
        <v>10369.0</v>
      </c>
    </row>
    <row r="174">
      <c r="A174" s="1" t="s">
        <v>484</v>
      </c>
      <c r="B174" s="1" t="s">
        <v>485</v>
      </c>
      <c r="C174" s="1" t="s">
        <v>90</v>
      </c>
      <c r="D174" s="1">
        <v>23626.0</v>
      </c>
      <c r="E174" s="1" t="s">
        <v>442</v>
      </c>
      <c r="F174" s="3">
        <v>40690.0</v>
      </c>
      <c r="G174" s="1">
        <v>10368.0</v>
      </c>
    </row>
    <row r="175">
      <c r="A175" s="1" t="s">
        <v>371</v>
      </c>
      <c r="B175" s="1" t="s">
        <v>486</v>
      </c>
      <c r="C175" s="1" t="s">
        <v>90</v>
      </c>
      <c r="D175" s="1">
        <v>513.0</v>
      </c>
      <c r="E175" s="1" t="s">
        <v>442</v>
      </c>
      <c r="F175" s="3">
        <v>40683.0</v>
      </c>
      <c r="G175" s="1">
        <v>10367.0</v>
      </c>
    </row>
    <row r="176">
      <c r="A176" s="1" t="s">
        <v>487</v>
      </c>
      <c r="B176" s="1" t="s">
        <v>359</v>
      </c>
      <c r="C176" s="1" t="s">
        <v>78</v>
      </c>
      <c r="D176" s="1">
        <v>57647.0</v>
      </c>
      <c r="E176" s="1" t="s">
        <v>213</v>
      </c>
      <c r="F176" s="3">
        <v>40683.0</v>
      </c>
      <c r="G176" s="1">
        <v>10366.0</v>
      </c>
    </row>
    <row r="177">
      <c r="A177" s="1" t="s">
        <v>488</v>
      </c>
      <c r="B177" s="1" t="s">
        <v>489</v>
      </c>
      <c r="C177" s="1" t="s">
        <v>78</v>
      </c>
      <c r="D177" s="1">
        <v>57213.0</v>
      </c>
      <c r="E177" s="1" t="s">
        <v>213</v>
      </c>
      <c r="F177" s="3">
        <v>40683.0</v>
      </c>
      <c r="G177" s="1">
        <v>10365.0</v>
      </c>
    </row>
    <row r="178">
      <c r="A178" s="1" t="s">
        <v>490</v>
      </c>
      <c r="B178" s="1" t="s">
        <v>491</v>
      </c>
      <c r="C178" s="1" t="s">
        <v>21</v>
      </c>
      <c r="D178" s="1">
        <v>34898.0</v>
      </c>
      <c r="E178" s="1" t="s">
        <v>492</v>
      </c>
      <c r="F178" s="3">
        <v>40669.0</v>
      </c>
      <c r="G178" s="1">
        <v>10364.0</v>
      </c>
    </row>
    <row r="179">
      <c r="A179" s="1" t="s">
        <v>493</v>
      </c>
      <c r="B179" s="1" t="s">
        <v>494</v>
      </c>
      <c r="C179" s="1" t="s">
        <v>330</v>
      </c>
      <c r="D179" s="1">
        <v>34234.0</v>
      </c>
      <c r="E179" s="1" t="s">
        <v>495</v>
      </c>
      <c r="F179" s="3">
        <v>40662.0</v>
      </c>
      <c r="G179" s="1">
        <v>10359.0</v>
      </c>
    </row>
    <row r="180">
      <c r="A180" s="1" t="s">
        <v>496</v>
      </c>
      <c r="B180" s="1" t="s">
        <v>202</v>
      </c>
      <c r="C180" s="1" t="s">
        <v>78</v>
      </c>
      <c r="D180" s="1">
        <v>19797.0</v>
      </c>
      <c r="E180" s="1" t="s">
        <v>497</v>
      </c>
      <c r="F180" s="3">
        <v>40662.0</v>
      </c>
      <c r="G180" s="1">
        <v>10363.0</v>
      </c>
    </row>
    <row r="181">
      <c r="A181" s="1" t="s">
        <v>498</v>
      </c>
      <c r="B181" s="1" t="s">
        <v>499</v>
      </c>
      <c r="C181" s="1" t="s">
        <v>78</v>
      </c>
      <c r="D181" s="1">
        <v>58539.0</v>
      </c>
      <c r="E181" s="1" t="s">
        <v>497</v>
      </c>
      <c r="F181" s="3">
        <v>40662.0</v>
      </c>
      <c r="G181" s="1">
        <v>10361.0</v>
      </c>
    </row>
    <row r="182">
      <c r="A182" s="1" t="s">
        <v>500</v>
      </c>
      <c r="B182" s="1" t="s">
        <v>501</v>
      </c>
      <c r="C182" s="1" t="s">
        <v>21</v>
      </c>
      <c r="D182" s="1">
        <v>57625.0</v>
      </c>
      <c r="E182" s="1" t="s">
        <v>492</v>
      </c>
      <c r="F182" s="3">
        <v>40662.0</v>
      </c>
      <c r="G182" s="1">
        <v>10360.0</v>
      </c>
    </row>
    <row r="183">
      <c r="A183" s="1" t="s">
        <v>502</v>
      </c>
      <c r="B183" s="1" t="s">
        <v>503</v>
      </c>
      <c r="C183" s="1" t="s">
        <v>21</v>
      </c>
      <c r="D183" s="1">
        <v>26297.0</v>
      </c>
      <c r="E183" s="1" t="s">
        <v>492</v>
      </c>
      <c r="F183" s="3">
        <v>40662.0</v>
      </c>
      <c r="G183" s="1">
        <v>10362.0</v>
      </c>
    </row>
    <row r="184">
      <c r="A184" s="1" t="s">
        <v>504</v>
      </c>
      <c r="B184" s="1" t="s">
        <v>505</v>
      </c>
      <c r="C184" s="1" t="s">
        <v>506</v>
      </c>
      <c r="D184" s="1">
        <v>14273.0</v>
      </c>
      <c r="E184" s="1" t="s">
        <v>507</v>
      </c>
      <c r="F184" s="3">
        <v>40648.0</v>
      </c>
      <c r="G184" s="1">
        <v>10354.0</v>
      </c>
    </row>
    <row r="185">
      <c r="A185" s="1" t="s">
        <v>508</v>
      </c>
      <c r="B185" s="1" t="s">
        <v>509</v>
      </c>
      <c r="C185" s="1" t="s">
        <v>111</v>
      </c>
      <c r="D185" s="1">
        <v>24099.0</v>
      </c>
      <c r="E185" s="1" t="s">
        <v>410</v>
      </c>
      <c r="F185" s="3">
        <v>40648.0</v>
      </c>
      <c r="G185" s="1">
        <v>10357.0</v>
      </c>
    </row>
    <row r="186">
      <c r="A186" s="1" t="s">
        <v>510</v>
      </c>
      <c r="B186" s="1" t="s">
        <v>511</v>
      </c>
      <c r="C186" s="1" t="s">
        <v>310</v>
      </c>
      <c r="D186" s="1">
        <v>17750.0</v>
      </c>
      <c r="E186" s="1" t="s">
        <v>512</v>
      </c>
      <c r="F186" s="3">
        <v>40648.0</v>
      </c>
      <c r="G186" s="1">
        <v>10358.0</v>
      </c>
    </row>
    <row r="187">
      <c r="A187" s="1" t="s">
        <v>513</v>
      </c>
      <c r="B187" s="1" t="s">
        <v>511</v>
      </c>
      <c r="C187" s="1" t="s">
        <v>310</v>
      </c>
      <c r="D187" s="1">
        <v>19794.0</v>
      </c>
      <c r="E187" s="1" t="s">
        <v>514</v>
      </c>
      <c r="F187" s="3">
        <v>40648.0</v>
      </c>
      <c r="G187" s="1">
        <v>10356.0</v>
      </c>
    </row>
    <row r="188">
      <c r="A188" s="1" t="s">
        <v>515</v>
      </c>
      <c r="B188" s="1" t="s">
        <v>516</v>
      </c>
      <c r="C188" s="1" t="s">
        <v>78</v>
      </c>
      <c r="D188" s="1">
        <v>57705.0</v>
      </c>
      <c r="E188" s="1" t="s">
        <v>517</v>
      </c>
      <c r="F188" s="3">
        <v>40648.0</v>
      </c>
      <c r="G188" s="1">
        <v>10355.0</v>
      </c>
    </row>
    <row r="189">
      <c r="A189" s="1" t="s">
        <v>518</v>
      </c>
      <c r="B189" s="1" t="s">
        <v>519</v>
      </c>
      <c r="C189" s="1" t="s">
        <v>78</v>
      </c>
      <c r="D189" s="1">
        <v>21495.0</v>
      </c>
      <c r="E189" s="1" t="s">
        <v>210</v>
      </c>
      <c r="F189" s="3">
        <v>40648.0</v>
      </c>
      <c r="G189" s="1">
        <v>10353.0</v>
      </c>
    </row>
    <row r="190">
      <c r="A190" s="1" t="s">
        <v>520</v>
      </c>
      <c r="B190" s="1" t="s">
        <v>521</v>
      </c>
      <c r="C190" s="1" t="s">
        <v>193</v>
      </c>
      <c r="D190" s="1">
        <v>35418.0</v>
      </c>
      <c r="E190" s="1" t="s">
        <v>522</v>
      </c>
      <c r="F190" s="3">
        <v>40641.0</v>
      </c>
      <c r="G190" s="1">
        <v>10351.0</v>
      </c>
    </row>
    <row r="191">
      <c r="A191" s="1" t="s">
        <v>523</v>
      </c>
      <c r="B191" s="1" t="s">
        <v>524</v>
      </c>
      <c r="C191" s="1" t="s">
        <v>49</v>
      </c>
      <c r="D191" s="1">
        <v>10086.0</v>
      </c>
      <c r="E191" s="1" t="s">
        <v>243</v>
      </c>
      <c r="F191" s="3">
        <v>40641.0</v>
      </c>
      <c r="G191" s="1">
        <v>10352.0</v>
      </c>
    </row>
    <row r="192">
      <c r="A192" s="1" t="s">
        <v>525</v>
      </c>
      <c r="B192" s="1" t="s">
        <v>526</v>
      </c>
      <c r="C192" s="1" t="s">
        <v>49</v>
      </c>
      <c r="D192" s="1">
        <v>34292.0</v>
      </c>
      <c r="E192" s="1" t="s">
        <v>527</v>
      </c>
      <c r="F192" s="3">
        <v>40627.0</v>
      </c>
      <c r="G192" s="1">
        <v>10350.0</v>
      </c>
    </row>
    <row r="193">
      <c r="A193" s="1" t="s">
        <v>528</v>
      </c>
      <c r="B193" s="1" t="s">
        <v>57</v>
      </c>
      <c r="C193" s="1" t="s">
        <v>58</v>
      </c>
      <c r="D193" s="1">
        <v>34818.0</v>
      </c>
      <c r="E193" s="1" t="s">
        <v>68</v>
      </c>
      <c r="F193" s="3">
        <v>40613.0</v>
      </c>
      <c r="G193" s="1">
        <v>10348.0</v>
      </c>
    </row>
    <row r="194">
      <c r="A194" s="1" t="s">
        <v>529</v>
      </c>
      <c r="B194" s="1" t="s">
        <v>530</v>
      </c>
      <c r="C194" s="1" t="s">
        <v>128</v>
      </c>
      <c r="D194" s="1">
        <v>4077.0</v>
      </c>
      <c r="E194" s="1" t="s">
        <v>531</v>
      </c>
      <c r="F194" s="3">
        <v>40613.0</v>
      </c>
      <c r="G194" s="1">
        <v>10349.0</v>
      </c>
    </row>
    <row r="195">
      <c r="A195" s="1" t="s">
        <v>532</v>
      </c>
      <c r="B195" s="1" t="s">
        <v>533</v>
      </c>
      <c r="C195" s="1" t="s">
        <v>49</v>
      </c>
      <c r="D195" s="1">
        <v>34187.0</v>
      </c>
      <c r="E195" s="1" t="s">
        <v>301</v>
      </c>
      <c r="F195" s="3">
        <v>40599.0</v>
      </c>
      <c r="G195" s="1">
        <v>10347.0</v>
      </c>
    </row>
    <row r="196">
      <c r="A196" s="1" t="s">
        <v>534</v>
      </c>
      <c r="B196" s="1" t="s">
        <v>535</v>
      </c>
      <c r="C196" s="1" t="s">
        <v>13</v>
      </c>
      <c r="D196" s="1">
        <v>34783.0</v>
      </c>
      <c r="E196" s="1" t="s">
        <v>536</v>
      </c>
      <c r="F196" s="3">
        <v>40592.0</v>
      </c>
      <c r="G196" s="1">
        <v>10346.0</v>
      </c>
    </row>
    <row r="197">
      <c r="A197" s="1" t="s">
        <v>537</v>
      </c>
      <c r="B197" s="1" t="s">
        <v>538</v>
      </c>
      <c r="C197" s="1" t="s">
        <v>13</v>
      </c>
      <c r="D197" s="1">
        <v>57855.0</v>
      </c>
      <c r="E197" s="1" t="s">
        <v>539</v>
      </c>
      <c r="F197" s="3">
        <v>40592.0</v>
      </c>
      <c r="G197" s="1">
        <v>10343.0</v>
      </c>
    </row>
    <row r="198">
      <c r="A198" s="1" t="s">
        <v>540</v>
      </c>
      <c r="B198" s="1" t="s">
        <v>541</v>
      </c>
      <c r="C198" s="1" t="s">
        <v>78</v>
      </c>
      <c r="D198" s="1">
        <v>34601.0</v>
      </c>
      <c r="E198" s="1" t="s">
        <v>431</v>
      </c>
      <c r="F198" s="3">
        <v>40592.0</v>
      </c>
      <c r="G198" s="1">
        <v>10344.0</v>
      </c>
    </row>
    <row r="199">
      <c r="A199" s="1" t="s">
        <v>542</v>
      </c>
      <c r="B199" s="1" t="s">
        <v>543</v>
      </c>
      <c r="C199" s="1" t="s">
        <v>78</v>
      </c>
      <c r="D199" s="1">
        <v>151.0</v>
      </c>
      <c r="E199" s="1" t="s">
        <v>450</v>
      </c>
      <c r="F199" s="3">
        <v>40592.0</v>
      </c>
      <c r="G199" s="1">
        <v>10345.0</v>
      </c>
    </row>
    <row r="200">
      <c r="A200" s="1" t="s">
        <v>544</v>
      </c>
      <c r="B200" s="1" t="s">
        <v>545</v>
      </c>
      <c r="C200" s="1" t="s">
        <v>13</v>
      </c>
      <c r="D200" s="1">
        <v>34692.0</v>
      </c>
      <c r="E200" s="1" t="s">
        <v>316</v>
      </c>
      <c r="F200" s="3">
        <v>40585.0</v>
      </c>
      <c r="G200" s="1">
        <v>10340.0</v>
      </c>
    </row>
    <row r="201">
      <c r="A201" s="1" t="s">
        <v>546</v>
      </c>
      <c r="B201" s="1" t="s">
        <v>547</v>
      </c>
      <c r="C201" s="1" t="s">
        <v>58</v>
      </c>
      <c r="D201" s="1">
        <v>13272.0</v>
      </c>
      <c r="E201" s="1" t="s">
        <v>548</v>
      </c>
      <c r="F201" s="3">
        <v>40585.0</v>
      </c>
      <c r="G201" s="1">
        <v>10339.0</v>
      </c>
    </row>
    <row r="202">
      <c r="A202" s="1" t="s">
        <v>549</v>
      </c>
      <c r="B202" s="1" t="s">
        <v>550</v>
      </c>
      <c r="C202" s="1" t="s">
        <v>330</v>
      </c>
      <c r="D202" s="1">
        <v>14939.0</v>
      </c>
      <c r="E202" s="1" t="s">
        <v>551</v>
      </c>
      <c r="F202" s="3">
        <v>40585.0</v>
      </c>
      <c r="G202" s="1">
        <v>10341.0</v>
      </c>
    </row>
    <row r="203">
      <c r="A203" s="1" t="s">
        <v>552</v>
      </c>
      <c r="B203" s="1" t="s">
        <v>553</v>
      </c>
      <c r="C203" s="1" t="s">
        <v>21</v>
      </c>
      <c r="D203" s="1">
        <v>35478.0</v>
      </c>
      <c r="E203" s="1" t="s">
        <v>465</v>
      </c>
      <c r="F203" s="3">
        <v>40585.0</v>
      </c>
      <c r="G203" s="1">
        <v>10342.0</v>
      </c>
    </row>
    <row r="204">
      <c r="A204" s="1" t="s">
        <v>554</v>
      </c>
      <c r="B204" s="1" t="s">
        <v>48</v>
      </c>
      <c r="C204" s="1" t="s">
        <v>49</v>
      </c>
      <c r="D204" s="1">
        <v>57948.0</v>
      </c>
      <c r="E204" s="1" t="s">
        <v>473</v>
      </c>
      <c r="F204" s="3">
        <v>40578.0</v>
      </c>
      <c r="G204" s="1">
        <v>10337.0</v>
      </c>
    </row>
    <row r="205">
      <c r="A205" s="1" t="s">
        <v>555</v>
      </c>
      <c r="B205" s="1" t="s">
        <v>556</v>
      </c>
      <c r="C205" s="1" t="s">
        <v>78</v>
      </c>
      <c r="D205" s="1">
        <v>35242.0</v>
      </c>
      <c r="E205" s="1" t="s">
        <v>557</v>
      </c>
      <c r="F205" s="3">
        <v>40578.0</v>
      </c>
      <c r="G205" s="1">
        <v>10338.0</v>
      </c>
    </row>
    <row r="206">
      <c r="A206" s="1" t="s">
        <v>558</v>
      </c>
      <c r="B206" s="1" t="s">
        <v>559</v>
      </c>
      <c r="C206" s="1" t="s">
        <v>78</v>
      </c>
      <c r="D206" s="1">
        <v>57432.0</v>
      </c>
      <c r="E206" s="1" t="s">
        <v>560</v>
      </c>
      <c r="F206" s="3">
        <v>40578.0</v>
      </c>
      <c r="G206" s="1">
        <v>10336.0</v>
      </c>
    </row>
    <row r="207">
      <c r="A207" s="1" t="s">
        <v>298</v>
      </c>
      <c r="B207" s="1" t="s">
        <v>561</v>
      </c>
      <c r="C207" s="1" t="s">
        <v>562</v>
      </c>
      <c r="D207" s="1">
        <v>12261.0</v>
      </c>
      <c r="E207" s="1" t="s">
        <v>354</v>
      </c>
      <c r="F207" s="3">
        <v>40571.0</v>
      </c>
      <c r="G207" s="1">
        <v>10333.0</v>
      </c>
    </row>
    <row r="208">
      <c r="A208" s="1" t="s">
        <v>563</v>
      </c>
      <c r="B208" s="1" t="s">
        <v>564</v>
      </c>
      <c r="C208" s="1" t="s">
        <v>97</v>
      </c>
      <c r="D208" s="1">
        <v>57646.0</v>
      </c>
      <c r="E208" s="1" t="s">
        <v>174</v>
      </c>
      <c r="F208" s="3">
        <v>40571.0</v>
      </c>
      <c r="G208" s="1">
        <v>10334.0</v>
      </c>
    </row>
    <row r="209">
      <c r="A209" s="1" t="s">
        <v>565</v>
      </c>
      <c r="B209" s="1" t="s">
        <v>566</v>
      </c>
      <c r="C209" s="1" t="s">
        <v>58</v>
      </c>
      <c r="D209" s="1">
        <v>5328.0</v>
      </c>
      <c r="E209" s="1" t="s">
        <v>567</v>
      </c>
      <c r="F209" s="3">
        <v>40571.0</v>
      </c>
      <c r="G209" s="1">
        <v>10332.0</v>
      </c>
    </row>
    <row r="210">
      <c r="A210" s="1" t="s">
        <v>23</v>
      </c>
      <c r="B210" s="1" t="s">
        <v>568</v>
      </c>
      <c r="C210" s="1" t="s">
        <v>128</v>
      </c>
      <c r="D210" s="1">
        <v>2303.0</v>
      </c>
      <c r="E210" s="1" t="s">
        <v>569</v>
      </c>
      <c r="F210" s="3">
        <v>40571.0</v>
      </c>
      <c r="G210" s="1">
        <v>10335.0</v>
      </c>
    </row>
    <row r="211">
      <c r="A211" s="1" t="s">
        <v>570</v>
      </c>
      <c r="B211" s="1" t="s">
        <v>96</v>
      </c>
      <c r="C211" s="1" t="s">
        <v>97</v>
      </c>
      <c r="D211" s="1">
        <v>31293.0</v>
      </c>
      <c r="E211" s="1" t="s">
        <v>59</v>
      </c>
      <c r="F211" s="3">
        <v>40564.0</v>
      </c>
      <c r="G211" s="1">
        <v>10331.0</v>
      </c>
    </row>
    <row r="212">
      <c r="A212" s="1" t="s">
        <v>571</v>
      </c>
      <c r="B212" s="1" t="s">
        <v>205</v>
      </c>
      <c r="C212" s="1" t="s">
        <v>206</v>
      </c>
      <c r="D212" s="1">
        <v>34516.0</v>
      </c>
      <c r="E212" s="1" t="s">
        <v>572</v>
      </c>
      <c r="F212" s="3">
        <v>40564.0</v>
      </c>
      <c r="G212" s="1">
        <v>10330.0</v>
      </c>
    </row>
    <row r="213">
      <c r="A213" s="1" t="s">
        <v>573</v>
      </c>
      <c r="B213" s="1" t="s">
        <v>574</v>
      </c>
      <c r="C213" s="1" t="s">
        <v>144</v>
      </c>
      <c r="D213" s="1">
        <v>57868.0</v>
      </c>
      <c r="E213" s="1" t="s">
        <v>213</v>
      </c>
      <c r="F213" s="3">
        <v>40564.0</v>
      </c>
      <c r="G213" s="1">
        <v>10328.0</v>
      </c>
    </row>
    <row r="214">
      <c r="A214" s="1" t="s">
        <v>575</v>
      </c>
      <c r="B214" s="1" t="s">
        <v>576</v>
      </c>
      <c r="C214" s="1" t="s">
        <v>78</v>
      </c>
      <c r="D214" s="1">
        <v>19758.0</v>
      </c>
      <c r="E214" s="1" t="s">
        <v>174</v>
      </c>
      <c r="F214" s="3">
        <v>40564.0</v>
      </c>
      <c r="G214" s="1">
        <v>10329.0</v>
      </c>
    </row>
    <row r="215">
      <c r="A215" s="1" t="s">
        <v>577</v>
      </c>
      <c r="B215" s="1" t="s">
        <v>578</v>
      </c>
      <c r="C215" s="1" t="s">
        <v>78</v>
      </c>
      <c r="D215" s="1">
        <v>57440.0</v>
      </c>
      <c r="E215" s="1" t="s">
        <v>497</v>
      </c>
      <c r="F215" s="3">
        <v>40557.0</v>
      </c>
      <c r="G215" s="1">
        <v>10327.0</v>
      </c>
    </row>
    <row r="216">
      <c r="A216" s="1" t="s">
        <v>528</v>
      </c>
      <c r="B216" s="1" t="s">
        <v>199</v>
      </c>
      <c r="C216" s="1" t="s">
        <v>177</v>
      </c>
      <c r="D216" s="1">
        <v>57820.0</v>
      </c>
      <c r="E216" s="1" t="s">
        <v>439</v>
      </c>
      <c r="F216" s="3">
        <v>40550.0</v>
      </c>
      <c r="G216" s="1">
        <v>10326.0</v>
      </c>
    </row>
    <row r="217">
      <c r="A217" s="1" t="s">
        <v>579</v>
      </c>
      <c r="B217" s="1" t="s">
        <v>580</v>
      </c>
      <c r="C217" s="1" t="s">
        <v>21</v>
      </c>
      <c r="D217" s="1">
        <v>34965.0</v>
      </c>
      <c r="E217" s="1" t="s">
        <v>581</v>
      </c>
      <c r="F217" s="3">
        <v>40550.0</v>
      </c>
      <c r="G217" s="1">
        <v>10325.0</v>
      </c>
    </row>
    <row r="218">
      <c r="A218" s="1" t="s">
        <v>582</v>
      </c>
      <c r="B218" s="1" t="s">
        <v>583</v>
      </c>
      <c r="C218" s="1" t="s">
        <v>111</v>
      </c>
      <c r="D218" s="1">
        <v>23306.0</v>
      </c>
      <c r="E218" s="1" t="s">
        <v>584</v>
      </c>
      <c r="F218" s="3">
        <v>40529.0</v>
      </c>
      <c r="G218" s="1">
        <v>10321.0</v>
      </c>
    </row>
    <row r="219">
      <c r="A219" s="1" t="s">
        <v>581</v>
      </c>
      <c r="B219" s="1" t="s">
        <v>585</v>
      </c>
      <c r="C219" s="1" t="s">
        <v>74</v>
      </c>
      <c r="D219" s="1">
        <v>58052.0</v>
      </c>
      <c r="E219" s="1" t="s">
        <v>586</v>
      </c>
      <c r="F219" s="3">
        <v>40529.0</v>
      </c>
      <c r="G219" s="1">
        <v>10322.0</v>
      </c>
    </row>
    <row r="220">
      <c r="A220" s="1" t="s">
        <v>587</v>
      </c>
      <c r="B220" s="1" t="s">
        <v>105</v>
      </c>
      <c r="C220" s="1" t="s">
        <v>78</v>
      </c>
      <c r="D220" s="1">
        <v>35065.0</v>
      </c>
      <c r="E220" s="1" t="s">
        <v>392</v>
      </c>
      <c r="F220" s="3">
        <v>40529.0</v>
      </c>
      <c r="G220" s="1">
        <v>10323.0</v>
      </c>
    </row>
    <row r="221">
      <c r="A221" s="1" t="s">
        <v>588</v>
      </c>
      <c r="B221" s="1" t="s">
        <v>589</v>
      </c>
      <c r="C221" s="1" t="s">
        <v>78</v>
      </c>
      <c r="D221" s="1">
        <v>58495.0</v>
      </c>
      <c r="E221" s="1" t="s">
        <v>590</v>
      </c>
      <c r="F221" s="3">
        <v>40529.0</v>
      </c>
      <c r="G221" s="1">
        <v>10319.0</v>
      </c>
    </row>
    <row r="222">
      <c r="A222" s="1" t="s">
        <v>591</v>
      </c>
      <c r="B222" s="1" t="s">
        <v>592</v>
      </c>
      <c r="C222" s="1" t="s">
        <v>78</v>
      </c>
      <c r="D222" s="1">
        <v>34578.0</v>
      </c>
      <c r="E222" s="1" t="s">
        <v>497</v>
      </c>
      <c r="F222" s="3">
        <v>40529.0</v>
      </c>
      <c r="G222" s="1">
        <v>10320.0</v>
      </c>
    </row>
    <row r="223">
      <c r="A223" s="1" t="s">
        <v>593</v>
      </c>
      <c r="B223" s="1" t="s">
        <v>594</v>
      </c>
      <c r="C223" s="1" t="s">
        <v>21</v>
      </c>
      <c r="D223" s="1">
        <v>19040.0</v>
      </c>
      <c r="E223" s="1" t="s">
        <v>397</v>
      </c>
      <c r="F223" s="3">
        <v>40529.0</v>
      </c>
      <c r="G223" s="1">
        <v>10324.0</v>
      </c>
    </row>
    <row r="224">
      <c r="A224" s="1" t="s">
        <v>595</v>
      </c>
      <c r="B224" s="1" t="s">
        <v>596</v>
      </c>
      <c r="C224" s="1" t="s">
        <v>82</v>
      </c>
      <c r="D224" s="1">
        <v>35561.0</v>
      </c>
      <c r="E224" s="1" t="s">
        <v>597</v>
      </c>
      <c r="F224" s="3">
        <v>40522.0</v>
      </c>
      <c r="G224" s="1">
        <v>10317.0</v>
      </c>
    </row>
    <row r="225">
      <c r="A225" s="1" t="s">
        <v>598</v>
      </c>
      <c r="B225" s="1" t="s">
        <v>599</v>
      </c>
      <c r="C225" s="1" t="s">
        <v>330</v>
      </c>
      <c r="D225" s="1">
        <v>34673.0</v>
      </c>
      <c r="E225" s="1" t="s">
        <v>600</v>
      </c>
      <c r="F225" s="3">
        <v>40522.0</v>
      </c>
      <c r="G225" s="1">
        <v>10318.0</v>
      </c>
    </row>
    <row r="226">
      <c r="A226" s="1" t="s">
        <v>601</v>
      </c>
      <c r="B226" s="1" t="s">
        <v>486</v>
      </c>
      <c r="C226" s="1" t="s">
        <v>58</v>
      </c>
      <c r="D226" s="1">
        <v>5287.0</v>
      </c>
      <c r="E226" s="1" t="s">
        <v>551</v>
      </c>
      <c r="F226" s="3">
        <v>40501.0</v>
      </c>
      <c r="G226" s="1">
        <v>10315.0</v>
      </c>
    </row>
    <row r="227">
      <c r="A227" s="1" t="s">
        <v>602</v>
      </c>
      <c r="B227" s="1" t="s">
        <v>603</v>
      </c>
      <c r="C227" s="1" t="s">
        <v>82</v>
      </c>
      <c r="D227" s="1">
        <v>35078.0</v>
      </c>
      <c r="E227" s="1" t="s">
        <v>604</v>
      </c>
      <c r="F227" s="3">
        <v>40501.0</v>
      </c>
      <c r="G227" s="1">
        <v>10314.0</v>
      </c>
    </row>
    <row r="228">
      <c r="A228" s="1" t="s">
        <v>605</v>
      </c>
      <c r="B228" s="1" t="s">
        <v>606</v>
      </c>
      <c r="C228" s="1" t="s">
        <v>21</v>
      </c>
      <c r="D228" s="1">
        <v>20340.0</v>
      </c>
      <c r="E228" s="1" t="s">
        <v>246</v>
      </c>
      <c r="F228" s="3">
        <v>40501.0</v>
      </c>
      <c r="G228" s="1">
        <v>10316.0</v>
      </c>
    </row>
    <row r="229">
      <c r="A229" s="1" t="s">
        <v>607</v>
      </c>
      <c r="B229" s="1" t="s">
        <v>199</v>
      </c>
      <c r="C229" s="1" t="s">
        <v>177</v>
      </c>
      <c r="D229" s="1">
        <v>35463.0</v>
      </c>
      <c r="E229" s="1" t="s">
        <v>336</v>
      </c>
      <c r="F229" s="3">
        <v>40494.0</v>
      </c>
      <c r="G229" s="1">
        <v>10311.0</v>
      </c>
    </row>
    <row r="230">
      <c r="A230" s="1" t="s">
        <v>608</v>
      </c>
      <c r="B230" s="1" t="s">
        <v>609</v>
      </c>
      <c r="C230" s="1" t="s">
        <v>78</v>
      </c>
      <c r="D230" s="1">
        <v>14580.0</v>
      </c>
      <c r="E230" s="1" t="s">
        <v>287</v>
      </c>
      <c r="F230" s="3">
        <v>40494.0</v>
      </c>
      <c r="G230" s="1">
        <v>10312.0</v>
      </c>
    </row>
    <row r="231">
      <c r="A231" s="1" t="s">
        <v>610</v>
      </c>
      <c r="B231" s="1" t="s">
        <v>611</v>
      </c>
      <c r="C231" s="1" t="s">
        <v>78</v>
      </c>
      <c r="D231" s="1">
        <v>57831.0</v>
      </c>
      <c r="E231" s="1" t="s">
        <v>287</v>
      </c>
      <c r="F231" s="3">
        <v>40494.0</v>
      </c>
      <c r="G231" s="1">
        <v>10313.0</v>
      </c>
    </row>
    <row r="232">
      <c r="A232" s="1" t="s">
        <v>612</v>
      </c>
      <c r="B232" s="1" t="s">
        <v>613</v>
      </c>
      <c r="C232" s="1" t="s">
        <v>13</v>
      </c>
      <c r="D232" s="1">
        <v>57885.0</v>
      </c>
      <c r="E232" s="1" t="s">
        <v>614</v>
      </c>
      <c r="F232" s="3">
        <v>40487.0</v>
      </c>
      <c r="G232" s="1">
        <v>10307.0</v>
      </c>
    </row>
    <row r="233">
      <c r="A233" s="1" t="s">
        <v>615</v>
      </c>
      <c r="B233" s="1" t="s">
        <v>616</v>
      </c>
      <c r="C233" s="1" t="s">
        <v>90</v>
      </c>
      <c r="D233" s="1">
        <v>34411.0</v>
      </c>
      <c r="E233" s="1" t="s">
        <v>617</v>
      </c>
      <c r="F233" s="3">
        <v>40487.0</v>
      </c>
      <c r="G233" s="1">
        <v>10309.0</v>
      </c>
    </row>
    <row r="234">
      <c r="A234" s="1" t="s">
        <v>618</v>
      </c>
      <c r="B234" s="1" t="s">
        <v>619</v>
      </c>
      <c r="C234" s="1" t="s">
        <v>13</v>
      </c>
      <c r="D234" s="1">
        <v>58087.0</v>
      </c>
      <c r="E234" s="1" t="s">
        <v>536</v>
      </c>
      <c r="F234" s="3">
        <v>40487.0</v>
      </c>
      <c r="G234" s="1">
        <v>10310.0</v>
      </c>
    </row>
    <row r="235">
      <c r="A235" s="1" t="s">
        <v>620</v>
      </c>
      <c r="B235" s="1" t="s">
        <v>621</v>
      </c>
      <c r="C235" s="1" t="s">
        <v>119</v>
      </c>
      <c r="D235" s="1">
        <v>31263.0</v>
      </c>
      <c r="E235" s="1" t="s">
        <v>622</v>
      </c>
      <c r="F235" s="3">
        <v>40487.0</v>
      </c>
      <c r="G235" s="1">
        <v>10308.0</v>
      </c>
    </row>
    <row r="236">
      <c r="A236" s="1" t="s">
        <v>623</v>
      </c>
      <c r="B236" s="1" t="s">
        <v>199</v>
      </c>
      <c r="C236" s="1" t="s">
        <v>177</v>
      </c>
      <c r="D236" s="1">
        <v>32582.0</v>
      </c>
      <c r="E236" s="1" t="s">
        <v>174</v>
      </c>
      <c r="F236" s="3">
        <v>40473.0</v>
      </c>
      <c r="G236" s="1">
        <v>10306.0</v>
      </c>
    </row>
    <row r="237">
      <c r="A237" s="1" t="s">
        <v>624</v>
      </c>
      <c r="B237" s="1" t="s">
        <v>625</v>
      </c>
      <c r="C237" s="1" t="s">
        <v>17</v>
      </c>
      <c r="D237" s="1">
        <v>22173.0</v>
      </c>
      <c r="E237" s="1" t="s">
        <v>626</v>
      </c>
      <c r="F237" s="3">
        <v>40473.0</v>
      </c>
      <c r="G237" s="1">
        <v>10302.0</v>
      </c>
    </row>
    <row r="238">
      <c r="A238" s="1" t="s">
        <v>627</v>
      </c>
      <c r="B238" s="1" t="s">
        <v>628</v>
      </c>
      <c r="C238" s="1" t="s">
        <v>49</v>
      </c>
      <c r="D238" s="1">
        <v>16089.0</v>
      </c>
      <c r="E238" s="1" t="s">
        <v>68</v>
      </c>
      <c r="F238" s="3">
        <v>40473.0</v>
      </c>
      <c r="G238" s="1">
        <v>10301.0</v>
      </c>
    </row>
    <row r="239">
      <c r="A239" s="1" t="s">
        <v>629</v>
      </c>
      <c r="B239" s="1" t="s">
        <v>630</v>
      </c>
      <c r="C239" s="1" t="s">
        <v>78</v>
      </c>
      <c r="D239" s="1">
        <v>2119.0</v>
      </c>
      <c r="E239" s="1" t="s">
        <v>79</v>
      </c>
      <c r="F239" s="3">
        <v>40473.0</v>
      </c>
      <c r="G239" s="1">
        <v>10304.0</v>
      </c>
    </row>
    <row r="240">
      <c r="A240" s="1" t="s">
        <v>631</v>
      </c>
      <c r="B240" s="1" t="s">
        <v>632</v>
      </c>
      <c r="C240" s="1" t="s">
        <v>78</v>
      </c>
      <c r="D240" s="1">
        <v>33904.0</v>
      </c>
      <c r="E240" s="1" t="s">
        <v>633</v>
      </c>
      <c r="F240" s="3">
        <v>40473.0</v>
      </c>
      <c r="G240" s="1">
        <v>10305.0</v>
      </c>
    </row>
    <row r="241">
      <c r="A241" s="1" t="s">
        <v>634</v>
      </c>
      <c r="B241" s="1" t="s">
        <v>478</v>
      </c>
      <c r="C241" s="1" t="s">
        <v>21</v>
      </c>
      <c r="D241" s="1">
        <v>32251.0</v>
      </c>
      <c r="E241" s="1" t="s">
        <v>635</v>
      </c>
      <c r="F241" s="3">
        <v>40473.0</v>
      </c>
      <c r="G241" s="1">
        <v>10303.0</v>
      </c>
    </row>
    <row r="242">
      <c r="A242" s="1" t="s">
        <v>636</v>
      </c>
      <c r="B242" s="1" t="s">
        <v>361</v>
      </c>
      <c r="C242" s="1" t="s">
        <v>21</v>
      </c>
      <c r="D242" s="1">
        <v>27573.0</v>
      </c>
      <c r="E242" s="1" t="s">
        <v>287</v>
      </c>
      <c r="F242" s="3">
        <v>40473.0</v>
      </c>
      <c r="G242" s="1">
        <v>10300.0</v>
      </c>
    </row>
    <row r="243">
      <c r="A243" s="1" t="s">
        <v>95</v>
      </c>
      <c r="B243" s="1" t="s">
        <v>637</v>
      </c>
      <c r="C243" s="1" t="s">
        <v>237</v>
      </c>
      <c r="D243" s="1">
        <v>34016.0</v>
      </c>
      <c r="E243" s="1" t="s">
        <v>638</v>
      </c>
      <c r="F243" s="3">
        <v>40466.0</v>
      </c>
      <c r="G243" s="1">
        <v>10297.0</v>
      </c>
    </row>
    <row r="244">
      <c r="A244" s="1" t="s">
        <v>639</v>
      </c>
      <c r="B244" s="1" t="s">
        <v>640</v>
      </c>
      <c r="C244" s="1" t="s">
        <v>237</v>
      </c>
      <c r="D244" s="1">
        <v>58205.0</v>
      </c>
      <c r="E244" s="1" t="s">
        <v>641</v>
      </c>
      <c r="F244" s="3">
        <v>40466.0</v>
      </c>
      <c r="G244" s="1">
        <v>10299.0</v>
      </c>
    </row>
    <row r="245">
      <c r="A245" s="1" t="s">
        <v>642</v>
      </c>
      <c r="B245" s="1" t="s">
        <v>438</v>
      </c>
      <c r="C245" s="1" t="s">
        <v>17</v>
      </c>
      <c r="D245" s="1">
        <v>30898.0</v>
      </c>
      <c r="E245" s="1" t="s">
        <v>250</v>
      </c>
      <c r="F245" s="3">
        <v>40466.0</v>
      </c>
      <c r="G245" s="1">
        <v>10298.0</v>
      </c>
    </row>
    <row r="246">
      <c r="A246" s="1" t="s">
        <v>643</v>
      </c>
      <c r="B246" s="1" t="s">
        <v>644</v>
      </c>
      <c r="C246" s="1" t="s">
        <v>90</v>
      </c>
      <c r="D246" s="1">
        <v>35250.0</v>
      </c>
      <c r="E246" s="1" t="s">
        <v>645</v>
      </c>
      <c r="F246" s="3">
        <v>40452.0</v>
      </c>
      <c r="G246" s="1">
        <v>10295.0</v>
      </c>
    </row>
    <row r="247">
      <c r="A247" s="1" t="s">
        <v>646</v>
      </c>
      <c r="B247" s="1" t="s">
        <v>647</v>
      </c>
      <c r="C247" s="1" t="s">
        <v>21</v>
      </c>
      <c r="D247" s="1">
        <v>21777.0</v>
      </c>
      <c r="E247" s="1" t="s">
        <v>246</v>
      </c>
      <c r="F247" s="3">
        <v>40452.0</v>
      </c>
      <c r="G247" s="1">
        <v>10296.0</v>
      </c>
    </row>
    <row r="248">
      <c r="A248" s="1" t="s">
        <v>648</v>
      </c>
      <c r="B248" s="1" t="s">
        <v>649</v>
      </c>
      <c r="C248" s="1" t="s">
        <v>90</v>
      </c>
      <c r="D248" s="1">
        <v>35053.0</v>
      </c>
      <c r="E248" s="1" t="s">
        <v>650</v>
      </c>
      <c r="F248" s="3">
        <v>40445.0</v>
      </c>
      <c r="G248" s="1">
        <v>10294.0</v>
      </c>
    </row>
    <row r="249">
      <c r="A249" s="1" t="s">
        <v>651</v>
      </c>
      <c r="B249" s="1" t="s">
        <v>652</v>
      </c>
      <c r="C249" s="1" t="s">
        <v>21</v>
      </c>
      <c r="D249" s="1">
        <v>58308.0</v>
      </c>
      <c r="E249" s="1" t="s">
        <v>581</v>
      </c>
      <c r="F249" s="3">
        <v>40445.0</v>
      </c>
      <c r="G249" s="1">
        <v>10293.0</v>
      </c>
    </row>
    <row r="250">
      <c r="A250" s="1" t="s">
        <v>653</v>
      </c>
      <c r="B250" s="1" t="s">
        <v>654</v>
      </c>
      <c r="C250" s="1" t="s">
        <v>58</v>
      </c>
      <c r="D250" s="1">
        <v>28612.0</v>
      </c>
      <c r="E250" s="1" t="s">
        <v>197</v>
      </c>
      <c r="F250" s="3">
        <v>40438.0</v>
      </c>
      <c r="G250" s="1">
        <v>10291.0</v>
      </c>
    </row>
    <row r="251">
      <c r="A251" s="1" t="s">
        <v>655</v>
      </c>
      <c r="B251" s="1" t="s">
        <v>656</v>
      </c>
      <c r="C251" s="1" t="s">
        <v>37</v>
      </c>
      <c r="D251" s="1">
        <v>27808.0</v>
      </c>
      <c r="E251" s="1" t="s">
        <v>657</v>
      </c>
      <c r="F251" s="3">
        <v>40438.0</v>
      </c>
      <c r="G251" s="1">
        <v>10288.0</v>
      </c>
    </row>
    <row r="252">
      <c r="A252" s="1" t="s">
        <v>658</v>
      </c>
      <c r="B252" s="1" t="s">
        <v>659</v>
      </c>
      <c r="C252" s="1" t="s">
        <v>78</v>
      </c>
      <c r="D252" s="1">
        <v>182.0</v>
      </c>
      <c r="E252" s="1" t="s">
        <v>125</v>
      </c>
      <c r="F252" s="3">
        <v>40438.0</v>
      </c>
      <c r="G252" s="1">
        <v>10292.0</v>
      </c>
    </row>
    <row r="253">
      <c r="A253" s="1" t="s">
        <v>660</v>
      </c>
      <c r="B253" s="1" t="s">
        <v>209</v>
      </c>
      <c r="C253" s="1" t="s">
        <v>78</v>
      </c>
      <c r="D253" s="1">
        <v>57448.0</v>
      </c>
      <c r="E253" s="1" t="s">
        <v>125</v>
      </c>
      <c r="F253" s="3">
        <v>40438.0</v>
      </c>
      <c r="G253" s="1">
        <v>10289.0</v>
      </c>
    </row>
    <row r="254">
      <c r="A254" s="1" t="s">
        <v>661</v>
      </c>
      <c r="B254" s="1" t="s">
        <v>662</v>
      </c>
      <c r="C254" s="1" t="s">
        <v>78</v>
      </c>
      <c r="D254" s="1">
        <v>58197.0</v>
      </c>
      <c r="E254" s="1" t="s">
        <v>125</v>
      </c>
      <c r="F254" s="3">
        <v>40438.0</v>
      </c>
      <c r="G254" s="1">
        <v>10287.0</v>
      </c>
    </row>
    <row r="255">
      <c r="A255" s="1" t="s">
        <v>663</v>
      </c>
      <c r="B255" s="1" t="s">
        <v>664</v>
      </c>
      <c r="C255" s="1" t="s">
        <v>33</v>
      </c>
      <c r="D255" s="1">
        <v>57107.0</v>
      </c>
      <c r="E255" s="1" t="s">
        <v>665</v>
      </c>
      <c r="F255" s="3">
        <v>40438.0</v>
      </c>
      <c r="G255" s="1">
        <v>10290.0</v>
      </c>
    </row>
    <row r="256">
      <c r="A256" s="1" t="s">
        <v>666</v>
      </c>
      <c r="B256" s="1" t="s">
        <v>667</v>
      </c>
      <c r="C256" s="1" t="s">
        <v>21</v>
      </c>
      <c r="D256" s="1">
        <v>35061.0</v>
      </c>
      <c r="E256" s="1" t="s">
        <v>497</v>
      </c>
      <c r="F256" s="3">
        <v>40431.0</v>
      </c>
      <c r="G256" s="1">
        <v>10286.0</v>
      </c>
    </row>
    <row r="257">
      <c r="A257" s="1" t="s">
        <v>668</v>
      </c>
      <c r="B257" s="1" t="s">
        <v>669</v>
      </c>
      <c r="C257" s="1" t="s">
        <v>13</v>
      </c>
      <c r="D257" s="1">
        <v>27259.0</v>
      </c>
      <c r="E257" s="1" t="s">
        <v>670</v>
      </c>
      <c r="F257" s="3">
        <v>40410.0</v>
      </c>
      <c r="G257" s="1">
        <v>10285.0</v>
      </c>
    </row>
    <row r="258">
      <c r="A258" s="1" t="s">
        <v>671</v>
      </c>
      <c r="B258" s="1" t="s">
        <v>672</v>
      </c>
      <c r="C258" s="1" t="s">
        <v>13</v>
      </c>
      <c r="D258" s="1">
        <v>32165.0</v>
      </c>
      <c r="E258" s="1" t="s">
        <v>673</v>
      </c>
      <c r="F258" s="3">
        <v>40410.0</v>
      </c>
      <c r="G258" s="1">
        <v>10282.0</v>
      </c>
    </row>
    <row r="259">
      <c r="A259" s="1" t="s">
        <v>674</v>
      </c>
      <c r="B259" s="1" t="s">
        <v>675</v>
      </c>
      <c r="C259" s="1" t="s">
        <v>13</v>
      </c>
      <c r="D259" s="1">
        <v>33219.0</v>
      </c>
      <c r="E259" s="1" t="s">
        <v>676</v>
      </c>
      <c r="F259" s="3">
        <v>40410.0</v>
      </c>
      <c r="G259" s="1">
        <v>10278.0</v>
      </c>
    </row>
    <row r="260">
      <c r="A260" s="1" t="s">
        <v>677</v>
      </c>
      <c r="B260" s="1" t="s">
        <v>678</v>
      </c>
      <c r="C260" s="1" t="s">
        <v>13</v>
      </c>
      <c r="D260" s="1">
        <v>27090.0</v>
      </c>
      <c r="E260" s="1" t="s">
        <v>676</v>
      </c>
      <c r="F260" s="3">
        <v>40410.0</v>
      </c>
      <c r="G260" s="1">
        <v>10283.0</v>
      </c>
    </row>
    <row r="261">
      <c r="A261" s="1" t="s">
        <v>679</v>
      </c>
      <c r="B261" s="1" t="s">
        <v>48</v>
      </c>
      <c r="C261" s="1" t="s">
        <v>49</v>
      </c>
      <c r="D261" s="1">
        <v>15640.0</v>
      </c>
      <c r="E261" s="1" t="s">
        <v>680</v>
      </c>
      <c r="F261" s="3">
        <v>40410.0</v>
      </c>
      <c r="G261" s="1">
        <v>10284.0</v>
      </c>
    </row>
    <row r="262">
      <c r="A262" s="1" t="s">
        <v>681</v>
      </c>
      <c r="B262" s="1" t="s">
        <v>682</v>
      </c>
      <c r="C262" s="1" t="s">
        <v>151</v>
      </c>
      <c r="D262" s="1">
        <v>31623.0</v>
      </c>
      <c r="E262" s="1" t="s">
        <v>683</v>
      </c>
      <c r="F262" s="3">
        <v>40410.0</v>
      </c>
      <c r="G262" s="1">
        <v>10280.0</v>
      </c>
    </row>
    <row r="263">
      <c r="A263" s="1" t="s">
        <v>684</v>
      </c>
      <c r="B263" s="1" t="s">
        <v>685</v>
      </c>
      <c r="C263" s="1" t="s">
        <v>21</v>
      </c>
      <c r="D263" s="1">
        <v>27344.0</v>
      </c>
      <c r="E263" s="1" t="s">
        <v>362</v>
      </c>
      <c r="F263" s="3">
        <v>40410.0</v>
      </c>
      <c r="G263" s="1">
        <v>10281.0</v>
      </c>
    </row>
    <row r="264">
      <c r="A264" s="1" t="s">
        <v>686</v>
      </c>
      <c r="B264" s="1" t="s">
        <v>687</v>
      </c>
      <c r="C264" s="1" t="s">
        <v>21</v>
      </c>
      <c r="D264" s="1">
        <v>25266.0</v>
      </c>
      <c r="E264" s="1" t="s">
        <v>362</v>
      </c>
      <c r="F264" s="3">
        <v>40410.0</v>
      </c>
      <c r="G264" s="1">
        <v>10279.0</v>
      </c>
    </row>
    <row r="265">
      <c r="A265" s="1" t="s">
        <v>688</v>
      </c>
      <c r="B265" s="1" t="s">
        <v>689</v>
      </c>
      <c r="C265" s="1" t="s">
        <v>49</v>
      </c>
      <c r="D265" s="1">
        <v>17599.0</v>
      </c>
      <c r="E265" s="1" t="s">
        <v>267</v>
      </c>
      <c r="F265" s="3">
        <v>40403.0</v>
      </c>
      <c r="G265" s="1">
        <v>10277.0</v>
      </c>
    </row>
    <row r="266">
      <c r="A266" s="1" t="s">
        <v>690</v>
      </c>
      <c r="B266" s="1" t="s">
        <v>48</v>
      </c>
      <c r="C266" s="1" t="s">
        <v>49</v>
      </c>
      <c r="D266" s="1">
        <v>34231.0</v>
      </c>
      <c r="E266" s="1" t="s">
        <v>473</v>
      </c>
      <c r="F266" s="3">
        <v>40396.0</v>
      </c>
      <c r="G266" s="1">
        <v>10276.0</v>
      </c>
    </row>
    <row r="267">
      <c r="A267" s="1" t="s">
        <v>691</v>
      </c>
      <c r="B267" s="1" t="s">
        <v>692</v>
      </c>
      <c r="C267" s="1" t="s">
        <v>693</v>
      </c>
      <c r="D267" s="1">
        <v>31964.0</v>
      </c>
      <c r="E267" s="1" t="s">
        <v>694</v>
      </c>
      <c r="F267" s="3">
        <v>40389.0</v>
      </c>
      <c r="G267" s="1">
        <v>10273.0</v>
      </c>
    </row>
    <row r="268">
      <c r="A268" s="1" t="s">
        <v>695</v>
      </c>
      <c r="B268" s="1" t="s">
        <v>89</v>
      </c>
      <c r="C268" s="1" t="s">
        <v>90</v>
      </c>
      <c r="D268" s="1">
        <v>22643.0</v>
      </c>
      <c r="E268" s="1" t="s">
        <v>617</v>
      </c>
      <c r="F268" s="3">
        <v>40389.0</v>
      </c>
      <c r="G268" s="1">
        <v>10275.0</v>
      </c>
    </row>
    <row r="269">
      <c r="A269" s="1" t="s">
        <v>696</v>
      </c>
      <c r="B269" s="1" t="s">
        <v>697</v>
      </c>
      <c r="C269" s="1" t="s">
        <v>21</v>
      </c>
      <c r="D269" s="1">
        <v>9619.0</v>
      </c>
      <c r="E269" s="1" t="s">
        <v>246</v>
      </c>
      <c r="F269" s="3">
        <v>40389.0</v>
      </c>
      <c r="G269" s="1">
        <v>10272.0</v>
      </c>
    </row>
    <row r="270">
      <c r="A270" s="1" t="s">
        <v>698</v>
      </c>
      <c r="B270" s="1" t="s">
        <v>699</v>
      </c>
      <c r="C270" s="1" t="s">
        <v>21</v>
      </c>
      <c r="D270" s="1">
        <v>57669.0</v>
      </c>
      <c r="E270" s="1" t="s">
        <v>246</v>
      </c>
      <c r="F270" s="3">
        <v>40389.0</v>
      </c>
      <c r="G270" s="1">
        <v>10271.0</v>
      </c>
    </row>
    <row r="271">
      <c r="A271" s="1" t="s">
        <v>700</v>
      </c>
      <c r="B271" s="1" t="s">
        <v>701</v>
      </c>
      <c r="C271" s="1" t="s">
        <v>78</v>
      </c>
      <c r="D271" s="1">
        <v>57658.0</v>
      </c>
      <c r="E271" s="1" t="s">
        <v>392</v>
      </c>
      <c r="F271" s="3">
        <v>40389.0</v>
      </c>
      <c r="G271" s="1">
        <v>10274.0</v>
      </c>
    </row>
    <row r="272">
      <c r="A272" s="1" t="s">
        <v>702</v>
      </c>
      <c r="B272" s="1" t="s">
        <v>703</v>
      </c>
      <c r="C272" s="1" t="s">
        <v>693</v>
      </c>
      <c r="D272" s="1">
        <v>23181.0</v>
      </c>
      <c r="E272" s="1" t="s">
        <v>704</v>
      </c>
      <c r="F272" s="3">
        <v>40382.0</v>
      </c>
      <c r="G272" s="1">
        <v>10266.0</v>
      </c>
    </row>
    <row r="273">
      <c r="A273" s="1" t="s">
        <v>705</v>
      </c>
      <c r="B273" s="1" t="s">
        <v>521</v>
      </c>
      <c r="C273" s="1" t="s">
        <v>193</v>
      </c>
      <c r="D273" s="1">
        <v>35434.0</v>
      </c>
      <c r="E273" s="1" t="s">
        <v>194</v>
      </c>
      <c r="F273" s="3">
        <v>40382.0</v>
      </c>
      <c r="G273" s="1">
        <v>10267.0</v>
      </c>
    </row>
    <row r="274">
      <c r="A274" s="1" t="s">
        <v>706</v>
      </c>
      <c r="B274" s="1" t="s">
        <v>707</v>
      </c>
      <c r="C274" s="1" t="s">
        <v>111</v>
      </c>
      <c r="D274" s="1">
        <v>34486.0</v>
      </c>
      <c r="E274" s="1" t="s">
        <v>708</v>
      </c>
      <c r="F274" s="3">
        <v>40382.0</v>
      </c>
      <c r="G274" s="1">
        <v>10264.0</v>
      </c>
    </row>
    <row r="275">
      <c r="A275" s="1" t="s">
        <v>709</v>
      </c>
      <c r="B275" s="1" t="s">
        <v>710</v>
      </c>
      <c r="C275" s="1" t="s">
        <v>17</v>
      </c>
      <c r="D275" s="1">
        <v>10506.0</v>
      </c>
      <c r="E275" s="1" t="s">
        <v>711</v>
      </c>
      <c r="F275" s="3">
        <v>40382.0</v>
      </c>
      <c r="G275" s="1">
        <v>10269.0</v>
      </c>
    </row>
    <row r="276">
      <c r="A276" s="1" t="s">
        <v>712</v>
      </c>
      <c r="B276" s="1" t="s">
        <v>713</v>
      </c>
      <c r="C276" s="1" t="s">
        <v>144</v>
      </c>
      <c r="D276" s="1">
        <v>17837.0</v>
      </c>
      <c r="E276" s="1" t="s">
        <v>483</v>
      </c>
      <c r="F276" s="3">
        <v>40382.0</v>
      </c>
      <c r="G276" s="1">
        <v>10270.0</v>
      </c>
    </row>
    <row r="277">
      <c r="A277" s="1" t="s">
        <v>714</v>
      </c>
      <c r="B277" s="1" t="s">
        <v>269</v>
      </c>
      <c r="C277" s="1" t="s">
        <v>78</v>
      </c>
      <c r="D277" s="1">
        <v>27559.0</v>
      </c>
      <c r="E277" s="1" t="s">
        <v>560</v>
      </c>
      <c r="F277" s="3">
        <v>40382.0</v>
      </c>
      <c r="G277" s="1">
        <v>10265.0</v>
      </c>
    </row>
    <row r="278">
      <c r="A278" s="1" t="s">
        <v>715</v>
      </c>
      <c r="B278" s="1" t="s">
        <v>716</v>
      </c>
      <c r="C278" s="1" t="s">
        <v>21</v>
      </c>
      <c r="D278" s="1">
        <v>32536.0</v>
      </c>
      <c r="E278" s="1" t="s">
        <v>717</v>
      </c>
      <c r="F278" s="3">
        <v>40382.0</v>
      </c>
      <c r="G278" s="1">
        <v>10268.0</v>
      </c>
    </row>
    <row r="279">
      <c r="A279" s="1" t="s">
        <v>718</v>
      </c>
      <c r="B279" s="1" t="s">
        <v>719</v>
      </c>
      <c r="C279" s="1" t="s">
        <v>330</v>
      </c>
      <c r="D279" s="1">
        <v>28136.0</v>
      </c>
      <c r="E279" s="1" t="s">
        <v>720</v>
      </c>
      <c r="F279" s="3">
        <v>40375.0</v>
      </c>
      <c r="G279" s="1">
        <v>10258.0</v>
      </c>
    </row>
    <row r="280">
      <c r="A280" s="1" t="s">
        <v>721</v>
      </c>
      <c r="B280" s="1" t="s">
        <v>722</v>
      </c>
      <c r="C280" s="1" t="s">
        <v>21</v>
      </c>
      <c r="D280" s="1">
        <v>28864.0</v>
      </c>
      <c r="E280" s="1" t="s">
        <v>362</v>
      </c>
      <c r="F280" s="3">
        <v>40375.0</v>
      </c>
      <c r="G280" s="1">
        <v>10260.0</v>
      </c>
    </row>
    <row r="281">
      <c r="A281" s="1" t="s">
        <v>723</v>
      </c>
      <c r="B281" s="1" t="s">
        <v>724</v>
      </c>
      <c r="C281" s="1" t="s">
        <v>21</v>
      </c>
      <c r="D281" s="1">
        <v>32280.0</v>
      </c>
      <c r="E281" s="1" t="s">
        <v>725</v>
      </c>
      <c r="F281" s="3">
        <v>40375.0</v>
      </c>
      <c r="G281" s="1">
        <v>10261.0</v>
      </c>
    </row>
    <row r="282">
      <c r="A282" s="1" t="s">
        <v>726</v>
      </c>
      <c r="B282" s="1" t="s">
        <v>727</v>
      </c>
      <c r="C282" s="1" t="s">
        <v>21</v>
      </c>
      <c r="D282" s="1">
        <v>25172.0</v>
      </c>
      <c r="E282" s="1" t="s">
        <v>725</v>
      </c>
      <c r="F282" s="3">
        <v>40375.0</v>
      </c>
      <c r="G282" s="1">
        <v>10259.0</v>
      </c>
    </row>
    <row r="283">
      <c r="A283" s="1" t="s">
        <v>728</v>
      </c>
      <c r="B283" s="1" t="s">
        <v>729</v>
      </c>
      <c r="C283" s="1" t="s">
        <v>144</v>
      </c>
      <c r="D283" s="1">
        <v>35383.0</v>
      </c>
      <c r="E283" s="1" t="s">
        <v>725</v>
      </c>
      <c r="F283" s="3">
        <v>40375.0</v>
      </c>
      <c r="G283" s="1">
        <v>10263.0</v>
      </c>
    </row>
    <row r="284">
      <c r="A284" s="1" t="s">
        <v>730</v>
      </c>
      <c r="B284" s="1" t="s">
        <v>731</v>
      </c>
      <c r="C284" s="1" t="s">
        <v>144</v>
      </c>
      <c r="D284" s="1">
        <v>32571.0</v>
      </c>
      <c r="E284" s="1" t="s">
        <v>497</v>
      </c>
      <c r="F284" s="3">
        <v>40375.0</v>
      </c>
      <c r="G284" s="1">
        <v>10262.0</v>
      </c>
    </row>
    <row r="285">
      <c r="A285" s="1" t="s">
        <v>732</v>
      </c>
      <c r="B285" s="1" t="s">
        <v>733</v>
      </c>
      <c r="C285" s="1" t="s">
        <v>128</v>
      </c>
      <c r="D285" s="1">
        <v>11636.0</v>
      </c>
      <c r="E285" s="1" t="s">
        <v>734</v>
      </c>
      <c r="F285" s="3">
        <v>40368.0</v>
      </c>
      <c r="G285" s="1">
        <v>10256.0</v>
      </c>
    </row>
    <row r="286">
      <c r="A286" s="1" t="s">
        <v>735</v>
      </c>
      <c r="B286" s="1" t="s">
        <v>736</v>
      </c>
      <c r="C286" s="1" t="s">
        <v>9</v>
      </c>
      <c r="D286" s="1">
        <v>58072.0</v>
      </c>
      <c r="E286" s="1" t="s">
        <v>737</v>
      </c>
      <c r="F286" s="3">
        <v>40368.0</v>
      </c>
      <c r="G286" s="1">
        <v>10254.0</v>
      </c>
    </row>
    <row r="287">
      <c r="A287" s="1" t="s">
        <v>738</v>
      </c>
      <c r="B287" s="1" t="s">
        <v>739</v>
      </c>
      <c r="C287" s="1" t="s">
        <v>119</v>
      </c>
      <c r="D287" s="1">
        <v>32456.0</v>
      </c>
      <c r="E287" s="1" t="s">
        <v>174</v>
      </c>
      <c r="F287" s="3">
        <v>40368.0</v>
      </c>
      <c r="G287" s="1">
        <v>10257.0</v>
      </c>
    </row>
    <row r="288">
      <c r="A288" s="1" t="s">
        <v>740</v>
      </c>
      <c r="B288" s="1" t="s">
        <v>739</v>
      </c>
      <c r="C288" s="1" t="s">
        <v>119</v>
      </c>
      <c r="D288" s="1">
        <v>35462.0</v>
      </c>
      <c r="E288" s="1" t="s">
        <v>137</v>
      </c>
      <c r="F288" s="3">
        <v>40368.0</v>
      </c>
      <c r="G288" s="1">
        <v>10255.0</v>
      </c>
    </row>
    <row r="289">
      <c r="A289" s="1" t="s">
        <v>741</v>
      </c>
      <c r="B289" s="1" t="s">
        <v>742</v>
      </c>
      <c r="C289" s="1" t="s">
        <v>562</v>
      </c>
      <c r="D289" s="1">
        <v>35279.0</v>
      </c>
      <c r="E289" s="1" t="s">
        <v>743</v>
      </c>
      <c r="F289" s="3">
        <v>40354.0</v>
      </c>
      <c r="G289" s="1">
        <v>10252.0</v>
      </c>
    </row>
    <row r="290">
      <c r="A290" s="1" t="s">
        <v>744</v>
      </c>
      <c r="B290" s="1" t="s">
        <v>745</v>
      </c>
      <c r="C290" s="1" t="s">
        <v>78</v>
      </c>
      <c r="D290" s="1">
        <v>34152.0</v>
      </c>
      <c r="E290" s="1" t="s">
        <v>746</v>
      </c>
      <c r="F290" s="3">
        <v>40354.0</v>
      </c>
      <c r="G290" s="1">
        <v>10251.0</v>
      </c>
    </row>
    <row r="291">
      <c r="A291" s="1" t="s">
        <v>747</v>
      </c>
      <c r="B291" s="1" t="s">
        <v>748</v>
      </c>
      <c r="C291" s="1" t="s">
        <v>21</v>
      </c>
      <c r="D291" s="1">
        <v>26563.0</v>
      </c>
      <c r="E291" s="1" t="s">
        <v>465</v>
      </c>
      <c r="F291" s="3">
        <v>40354.0</v>
      </c>
      <c r="G291" s="1">
        <v>10253.0</v>
      </c>
    </row>
    <row r="292">
      <c r="A292" s="1" t="s">
        <v>749</v>
      </c>
      <c r="B292" s="1" t="s">
        <v>750</v>
      </c>
      <c r="C292" s="1" t="s">
        <v>193</v>
      </c>
      <c r="D292" s="1">
        <v>57110.0</v>
      </c>
      <c r="E292" s="1" t="s">
        <v>751</v>
      </c>
      <c r="F292" s="3">
        <v>40347.0</v>
      </c>
      <c r="G292" s="1">
        <v>10250.0</v>
      </c>
    </row>
    <row r="293">
      <c r="A293" s="1" t="s">
        <v>752</v>
      </c>
      <c r="B293" s="1" t="s">
        <v>753</v>
      </c>
      <c r="C293" s="1" t="s">
        <v>90</v>
      </c>
      <c r="D293" s="1">
        <v>32955.0</v>
      </c>
      <c r="E293" s="1" t="s">
        <v>754</v>
      </c>
      <c r="F293" s="3">
        <v>40340.0</v>
      </c>
      <c r="G293" s="1">
        <v>10249.0</v>
      </c>
    </row>
    <row r="294">
      <c r="A294" s="1" t="s">
        <v>755</v>
      </c>
      <c r="B294" s="1" t="s">
        <v>756</v>
      </c>
      <c r="C294" s="1" t="s">
        <v>29</v>
      </c>
      <c r="D294" s="1">
        <v>29341.0</v>
      </c>
      <c r="E294" s="1" t="s">
        <v>757</v>
      </c>
      <c r="F294" s="3">
        <v>40333.0</v>
      </c>
      <c r="G294" s="1">
        <v>10248.0</v>
      </c>
    </row>
    <row r="295">
      <c r="A295" s="1" t="s">
        <v>758</v>
      </c>
      <c r="B295" s="1" t="s">
        <v>759</v>
      </c>
      <c r="C295" s="1" t="s">
        <v>49</v>
      </c>
      <c r="D295" s="1">
        <v>31813.0</v>
      </c>
      <c r="E295" s="1" t="s">
        <v>174</v>
      </c>
      <c r="F295" s="3">
        <v>40333.0</v>
      </c>
      <c r="G295" s="1">
        <v>10246.0</v>
      </c>
    </row>
    <row r="296">
      <c r="A296" s="1" t="s">
        <v>744</v>
      </c>
      <c r="B296" s="1" t="s">
        <v>760</v>
      </c>
      <c r="C296" s="1" t="s">
        <v>506</v>
      </c>
      <c r="D296" s="1">
        <v>15814.0</v>
      </c>
      <c r="E296" s="1" t="s">
        <v>761</v>
      </c>
      <c r="F296" s="3">
        <v>40333.0</v>
      </c>
      <c r="G296" s="1">
        <v>10247.0</v>
      </c>
    </row>
    <row r="297">
      <c r="A297" s="1" t="s">
        <v>762</v>
      </c>
      <c r="B297" s="1" t="s">
        <v>521</v>
      </c>
      <c r="C297" s="1" t="s">
        <v>193</v>
      </c>
      <c r="D297" s="1">
        <v>34785.0</v>
      </c>
      <c r="E297" s="1" t="s">
        <v>522</v>
      </c>
      <c r="F297" s="3">
        <v>40326.0</v>
      </c>
      <c r="G297" s="1">
        <v>10245.0</v>
      </c>
    </row>
    <row r="298">
      <c r="A298" s="1" t="s">
        <v>763</v>
      </c>
      <c r="B298" s="1" t="s">
        <v>764</v>
      </c>
      <c r="C298" s="1" t="s">
        <v>13</v>
      </c>
      <c r="D298" s="1">
        <v>57315.0</v>
      </c>
      <c r="E298" s="1" t="s">
        <v>416</v>
      </c>
      <c r="F298" s="3">
        <v>40326.0</v>
      </c>
      <c r="G298" s="1">
        <v>10244.0</v>
      </c>
    </row>
    <row r="299">
      <c r="A299" s="1" t="s">
        <v>765</v>
      </c>
      <c r="B299" s="1" t="s">
        <v>478</v>
      </c>
      <c r="C299" s="1" t="s">
        <v>21</v>
      </c>
      <c r="D299" s="1">
        <v>57814.0</v>
      </c>
      <c r="E299" s="1" t="s">
        <v>766</v>
      </c>
      <c r="F299" s="3">
        <v>40326.0</v>
      </c>
      <c r="G299" s="1">
        <v>10243.0</v>
      </c>
    </row>
    <row r="300">
      <c r="A300" s="1" t="s">
        <v>767</v>
      </c>
      <c r="B300" s="1" t="s">
        <v>280</v>
      </c>
      <c r="C300" s="1" t="s">
        <v>21</v>
      </c>
      <c r="D300" s="1">
        <v>35106.0</v>
      </c>
      <c r="E300" s="1" t="s">
        <v>766</v>
      </c>
      <c r="F300" s="3">
        <v>40326.0</v>
      </c>
      <c r="G300" s="1">
        <v>10242.0</v>
      </c>
    </row>
    <row r="301">
      <c r="A301" s="1" t="s">
        <v>768</v>
      </c>
      <c r="B301" s="1" t="s">
        <v>131</v>
      </c>
      <c r="C301" s="1" t="s">
        <v>21</v>
      </c>
      <c r="D301" s="1">
        <v>57360.0</v>
      </c>
      <c r="E301" s="1" t="s">
        <v>766</v>
      </c>
      <c r="F301" s="3">
        <v>40326.0</v>
      </c>
      <c r="G301" s="1">
        <v>10241.0</v>
      </c>
    </row>
    <row r="302">
      <c r="A302" s="1" t="s">
        <v>769</v>
      </c>
      <c r="B302" s="1" t="s">
        <v>770</v>
      </c>
      <c r="C302" s="1" t="s">
        <v>111</v>
      </c>
      <c r="D302" s="1">
        <v>57735.0</v>
      </c>
      <c r="E302" s="1" t="s">
        <v>771</v>
      </c>
      <c r="F302" s="3">
        <v>40319.0</v>
      </c>
      <c r="G302" s="1">
        <v>10240.0</v>
      </c>
    </row>
    <row r="303">
      <c r="A303" s="1" t="s">
        <v>772</v>
      </c>
      <c r="B303" s="1" t="s">
        <v>773</v>
      </c>
      <c r="C303" s="1" t="s">
        <v>49</v>
      </c>
      <c r="D303" s="1">
        <v>18117.0</v>
      </c>
      <c r="E303" s="1" t="s">
        <v>774</v>
      </c>
      <c r="F303" s="3">
        <v>40312.0</v>
      </c>
      <c r="G303" s="1">
        <v>10236.0</v>
      </c>
    </row>
    <row r="304">
      <c r="A304" s="1" t="s">
        <v>775</v>
      </c>
      <c r="B304" s="1" t="s">
        <v>541</v>
      </c>
      <c r="C304" s="1" t="s">
        <v>237</v>
      </c>
      <c r="D304" s="1">
        <v>34255.0</v>
      </c>
      <c r="E304" s="1" t="s">
        <v>250</v>
      </c>
      <c r="F304" s="3">
        <v>40312.0</v>
      </c>
      <c r="G304" s="1">
        <v>10239.0</v>
      </c>
    </row>
    <row r="305">
      <c r="A305" s="1" t="s">
        <v>776</v>
      </c>
      <c r="B305" s="1" t="s">
        <v>777</v>
      </c>
      <c r="C305" s="1" t="s">
        <v>330</v>
      </c>
      <c r="D305" s="1">
        <v>35586.0</v>
      </c>
      <c r="E305" s="1" t="s">
        <v>778</v>
      </c>
      <c r="F305" s="3">
        <v>40312.0</v>
      </c>
      <c r="G305" s="1">
        <v>10237.0</v>
      </c>
    </row>
    <row r="306">
      <c r="A306" s="1" t="s">
        <v>779</v>
      </c>
      <c r="B306" s="1" t="s">
        <v>780</v>
      </c>
      <c r="C306" s="1" t="s">
        <v>78</v>
      </c>
      <c r="D306" s="1">
        <v>35114.0</v>
      </c>
      <c r="E306" s="1" t="s">
        <v>287</v>
      </c>
      <c r="F306" s="3">
        <v>40312.0</v>
      </c>
      <c r="G306" s="1">
        <v>10238.0</v>
      </c>
    </row>
    <row r="307">
      <c r="A307" s="1" t="s">
        <v>781</v>
      </c>
      <c r="B307" s="1" t="s">
        <v>782</v>
      </c>
      <c r="C307" s="1" t="s">
        <v>13</v>
      </c>
      <c r="D307" s="1">
        <v>35517.0</v>
      </c>
      <c r="E307" s="1" t="s">
        <v>522</v>
      </c>
      <c r="F307" s="3">
        <v>40305.0</v>
      </c>
      <c r="G307" s="1">
        <v>10232.0</v>
      </c>
    </row>
    <row r="308">
      <c r="A308" s="1" t="s">
        <v>783</v>
      </c>
      <c r="B308" s="1" t="s">
        <v>784</v>
      </c>
      <c r="C308" s="1" t="s">
        <v>177</v>
      </c>
      <c r="D308" s="1">
        <v>57697.0</v>
      </c>
      <c r="E308" s="1" t="s">
        <v>785</v>
      </c>
      <c r="F308" s="3">
        <v>40305.0</v>
      </c>
      <c r="G308" s="1">
        <v>10235.0</v>
      </c>
    </row>
    <row r="309">
      <c r="A309" s="1" t="s">
        <v>786</v>
      </c>
      <c r="B309" s="1" t="s">
        <v>787</v>
      </c>
      <c r="C309" s="1" t="s">
        <v>111</v>
      </c>
      <c r="D309" s="1">
        <v>16476.0</v>
      </c>
      <c r="E309" s="1" t="s">
        <v>788</v>
      </c>
      <c r="F309" s="3">
        <v>40305.0</v>
      </c>
      <c r="G309" s="1">
        <v>10233.0</v>
      </c>
    </row>
    <row r="310">
      <c r="A310" s="1" t="s">
        <v>789</v>
      </c>
      <c r="B310" s="1" t="s">
        <v>790</v>
      </c>
      <c r="C310" s="1" t="s">
        <v>21</v>
      </c>
      <c r="D310" s="1">
        <v>14246.0</v>
      </c>
      <c r="E310" s="1" t="s">
        <v>167</v>
      </c>
      <c r="F310" s="3">
        <v>40305.0</v>
      </c>
      <c r="G310" s="1">
        <v>10234.0</v>
      </c>
    </row>
    <row r="311">
      <c r="A311" s="1" t="s">
        <v>225</v>
      </c>
      <c r="B311" s="1" t="s">
        <v>791</v>
      </c>
      <c r="C311" s="1" t="s">
        <v>90</v>
      </c>
      <c r="D311" s="1">
        <v>22710.0</v>
      </c>
      <c r="E311" s="1" t="s">
        <v>792</v>
      </c>
      <c r="F311" s="3">
        <v>40298.0</v>
      </c>
      <c r="G311" s="1">
        <v>10228.0</v>
      </c>
    </row>
    <row r="312">
      <c r="A312" s="1" t="s">
        <v>793</v>
      </c>
      <c r="B312" s="1" t="s">
        <v>794</v>
      </c>
      <c r="C312" s="1" t="s">
        <v>237</v>
      </c>
      <c r="D312" s="1">
        <v>17792.0</v>
      </c>
      <c r="E312" s="1" t="s">
        <v>795</v>
      </c>
      <c r="F312" s="3">
        <v>40298.0</v>
      </c>
      <c r="G312" s="1">
        <v>10225.0</v>
      </c>
    </row>
    <row r="313">
      <c r="A313" s="1" t="s">
        <v>796</v>
      </c>
      <c r="B313" s="1" t="s">
        <v>797</v>
      </c>
      <c r="C313" s="1" t="s">
        <v>237</v>
      </c>
      <c r="D313" s="1">
        <v>58362.0</v>
      </c>
      <c r="E313" s="1" t="s">
        <v>798</v>
      </c>
      <c r="F313" s="3">
        <v>40298.0</v>
      </c>
      <c r="G313" s="1">
        <v>10227.0</v>
      </c>
    </row>
    <row r="314">
      <c r="A314" s="1" t="s">
        <v>799</v>
      </c>
      <c r="B314" s="1" t="s">
        <v>800</v>
      </c>
      <c r="C314" s="1" t="s">
        <v>330</v>
      </c>
      <c r="D314" s="1">
        <v>30005.0</v>
      </c>
      <c r="E314" s="1" t="s">
        <v>551</v>
      </c>
      <c r="F314" s="3">
        <v>40298.0</v>
      </c>
      <c r="G314" s="1">
        <v>10226.0</v>
      </c>
    </row>
    <row r="315">
      <c r="A315" s="1" t="s">
        <v>801</v>
      </c>
      <c r="B315" s="1" t="s">
        <v>802</v>
      </c>
      <c r="C315" s="1" t="s">
        <v>102</v>
      </c>
      <c r="D315" s="1">
        <v>31027.0</v>
      </c>
      <c r="E315" s="1" t="s">
        <v>103</v>
      </c>
      <c r="F315" s="3">
        <v>40298.0</v>
      </c>
      <c r="G315" s="1">
        <v>10231.0</v>
      </c>
    </row>
    <row r="316">
      <c r="A316" s="1" t="s">
        <v>803</v>
      </c>
      <c r="B316" s="1" t="s">
        <v>804</v>
      </c>
      <c r="C316" s="1" t="s">
        <v>102</v>
      </c>
      <c r="D316" s="1">
        <v>32185.0</v>
      </c>
      <c r="E316" s="1" t="s">
        <v>805</v>
      </c>
      <c r="F316" s="3">
        <v>40298.0</v>
      </c>
      <c r="G316" s="1">
        <v>10230.0</v>
      </c>
    </row>
    <row r="317">
      <c r="A317" s="1" t="s">
        <v>806</v>
      </c>
      <c r="B317" s="1" t="s">
        <v>101</v>
      </c>
      <c r="C317" s="1" t="s">
        <v>102</v>
      </c>
      <c r="D317" s="1">
        <v>27150.0</v>
      </c>
      <c r="E317" s="1" t="s">
        <v>807</v>
      </c>
      <c r="F317" s="3">
        <v>40298.0</v>
      </c>
      <c r="G317" s="1">
        <v>10229.0</v>
      </c>
    </row>
    <row r="318">
      <c r="A318" s="1" t="s">
        <v>808</v>
      </c>
      <c r="B318" s="1" t="s">
        <v>809</v>
      </c>
      <c r="C318" s="1" t="s">
        <v>49</v>
      </c>
      <c r="D318" s="1">
        <v>58429.0</v>
      </c>
      <c r="E318" s="1" t="s">
        <v>810</v>
      </c>
      <c r="F318" s="3">
        <v>40291.0</v>
      </c>
      <c r="G318" s="1">
        <v>10224.0</v>
      </c>
    </row>
    <row r="319">
      <c r="A319" s="1" t="s">
        <v>811</v>
      </c>
      <c r="B319" s="1" t="s">
        <v>812</v>
      </c>
      <c r="C319" s="1" t="s">
        <v>49</v>
      </c>
      <c r="D319" s="1">
        <v>10888.0</v>
      </c>
      <c r="E319" s="1" t="s">
        <v>267</v>
      </c>
      <c r="F319" s="3">
        <v>40291.0</v>
      </c>
      <c r="G319" s="1">
        <v>10223.0</v>
      </c>
    </row>
    <row r="320">
      <c r="A320" s="1" t="s">
        <v>813</v>
      </c>
      <c r="B320" s="1" t="s">
        <v>48</v>
      </c>
      <c r="C320" s="1" t="s">
        <v>49</v>
      </c>
      <c r="D320" s="1">
        <v>30600.0</v>
      </c>
      <c r="E320" s="1" t="s">
        <v>473</v>
      </c>
      <c r="F320" s="3">
        <v>40291.0</v>
      </c>
      <c r="G320" s="1">
        <v>10221.0</v>
      </c>
    </row>
    <row r="321">
      <c r="A321" s="1" t="s">
        <v>737</v>
      </c>
      <c r="B321" s="1" t="s">
        <v>48</v>
      </c>
      <c r="C321" s="1" t="s">
        <v>49</v>
      </c>
      <c r="D321" s="1">
        <v>34821.0</v>
      </c>
      <c r="E321" s="1" t="s">
        <v>814</v>
      </c>
      <c r="F321" s="3">
        <v>40291.0</v>
      </c>
      <c r="G321" s="1">
        <v>10222.0</v>
      </c>
    </row>
    <row r="322">
      <c r="A322" s="1" t="s">
        <v>815</v>
      </c>
      <c r="B322" s="1" t="s">
        <v>48</v>
      </c>
      <c r="C322" s="1" t="s">
        <v>49</v>
      </c>
      <c r="D322" s="1">
        <v>34658.0</v>
      </c>
      <c r="E322" s="1" t="s">
        <v>99</v>
      </c>
      <c r="F322" s="3">
        <v>40291.0</v>
      </c>
      <c r="G322" s="1">
        <v>10220.0</v>
      </c>
    </row>
    <row r="323">
      <c r="A323" s="1" t="s">
        <v>816</v>
      </c>
      <c r="B323" s="1" t="s">
        <v>48</v>
      </c>
      <c r="C323" s="1" t="s">
        <v>49</v>
      </c>
      <c r="D323" s="1">
        <v>22853.0</v>
      </c>
      <c r="E323" s="1" t="s">
        <v>814</v>
      </c>
      <c r="F323" s="3">
        <v>40291.0</v>
      </c>
      <c r="G323" s="1">
        <v>10219.0</v>
      </c>
    </row>
    <row r="324">
      <c r="A324" s="1" t="s">
        <v>817</v>
      </c>
      <c r="B324" s="1" t="s">
        <v>818</v>
      </c>
      <c r="C324" s="1" t="s">
        <v>49</v>
      </c>
      <c r="D324" s="1">
        <v>3735.0</v>
      </c>
      <c r="E324" s="1" t="s">
        <v>819</v>
      </c>
      <c r="F324" s="3">
        <v>40291.0</v>
      </c>
      <c r="G324" s="1">
        <v>10218.0</v>
      </c>
    </row>
    <row r="325">
      <c r="A325" s="1" t="s">
        <v>820</v>
      </c>
      <c r="B325" s="1" t="s">
        <v>821</v>
      </c>
      <c r="C325" s="1" t="s">
        <v>90</v>
      </c>
      <c r="D325" s="1">
        <v>21521.0</v>
      </c>
      <c r="E325" s="1" t="s">
        <v>650</v>
      </c>
      <c r="F325" s="3">
        <v>40284.0</v>
      </c>
      <c r="G325" s="1">
        <v>10212.0</v>
      </c>
    </row>
    <row r="326">
      <c r="A326" s="1" t="s">
        <v>822</v>
      </c>
      <c r="B326" s="1" t="s">
        <v>823</v>
      </c>
      <c r="C326" s="1" t="s">
        <v>13</v>
      </c>
      <c r="D326" s="1">
        <v>33493.0</v>
      </c>
      <c r="E326" s="1" t="s">
        <v>792</v>
      </c>
      <c r="F326" s="3">
        <v>40284.0</v>
      </c>
      <c r="G326" s="1">
        <v>10217.0</v>
      </c>
    </row>
    <row r="327">
      <c r="A327" s="1" t="s">
        <v>824</v>
      </c>
      <c r="B327" s="1" t="s">
        <v>825</v>
      </c>
      <c r="C327" s="1" t="s">
        <v>13</v>
      </c>
      <c r="D327" s="1">
        <v>23876.0</v>
      </c>
      <c r="E327" s="1" t="s">
        <v>826</v>
      </c>
      <c r="F327" s="3">
        <v>40284.0</v>
      </c>
      <c r="G327" s="1">
        <v>10214.0</v>
      </c>
    </row>
    <row r="328">
      <c r="A328" s="1" t="s">
        <v>827</v>
      </c>
      <c r="B328" s="1" t="s">
        <v>828</v>
      </c>
      <c r="C328" s="1" t="s">
        <v>829</v>
      </c>
      <c r="D328" s="1">
        <v>26619.0</v>
      </c>
      <c r="E328" s="1" t="s">
        <v>830</v>
      </c>
      <c r="F328" s="3">
        <v>40284.0</v>
      </c>
      <c r="G328" s="1">
        <v>10211.0</v>
      </c>
    </row>
    <row r="329">
      <c r="A329" s="1" t="s">
        <v>831</v>
      </c>
      <c r="B329" s="1" t="s">
        <v>832</v>
      </c>
      <c r="C329" s="1" t="s">
        <v>21</v>
      </c>
      <c r="D329" s="1">
        <v>24067.0</v>
      </c>
      <c r="E329" s="1" t="s">
        <v>833</v>
      </c>
      <c r="F329" s="3">
        <v>40284.0</v>
      </c>
      <c r="G329" s="1">
        <v>10216.0</v>
      </c>
    </row>
    <row r="330">
      <c r="A330" s="1" t="s">
        <v>834</v>
      </c>
      <c r="B330" s="1" t="s">
        <v>835</v>
      </c>
      <c r="C330" s="1" t="s">
        <v>21</v>
      </c>
      <c r="D330" s="1">
        <v>57724.0</v>
      </c>
      <c r="E330" s="1" t="s">
        <v>833</v>
      </c>
      <c r="F330" s="3">
        <v>40284.0</v>
      </c>
      <c r="G330" s="1">
        <v>10210.0</v>
      </c>
    </row>
    <row r="331">
      <c r="A331" s="1" t="s">
        <v>836</v>
      </c>
      <c r="B331" s="1" t="s">
        <v>294</v>
      </c>
      <c r="C331" s="1" t="s">
        <v>21</v>
      </c>
      <c r="D331" s="1">
        <v>28886.0</v>
      </c>
      <c r="E331" s="1" t="s">
        <v>833</v>
      </c>
      <c r="F331" s="3">
        <v>40284.0</v>
      </c>
      <c r="G331" s="1">
        <v>10213.0</v>
      </c>
    </row>
    <row r="332">
      <c r="A332" s="1" t="s">
        <v>837</v>
      </c>
      <c r="B332" s="1" t="s">
        <v>838</v>
      </c>
      <c r="C332" s="1" t="s">
        <v>330</v>
      </c>
      <c r="D332" s="1">
        <v>34878.0</v>
      </c>
      <c r="E332" s="1" t="s">
        <v>174</v>
      </c>
      <c r="F332" s="3">
        <v>40284.0</v>
      </c>
      <c r="G332" s="1">
        <v>10215.0</v>
      </c>
    </row>
    <row r="333">
      <c r="A333" s="1" t="s">
        <v>839</v>
      </c>
      <c r="B333" s="1" t="s">
        <v>840</v>
      </c>
      <c r="C333" s="1" t="s">
        <v>144</v>
      </c>
      <c r="D333" s="1">
        <v>34242.0</v>
      </c>
      <c r="E333" s="1" t="s">
        <v>304</v>
      </c>
      <c r="F333" s="3">
        <v>40277.0</v>
      </c>
      <c r="G333" s="1">
        <v>10209.0</v>
      </c>
    </row>
    <row r="334">
      <c r="A334" s="1" t="s">
        <v>841</v>
      </c>
      <c r="B334" s="1" t="s">
        <v>176</v>
      </c>
      <c r="C334" s="1" t="s">
        <v>177</v>
      </c>
      <c r="D334" s="1">
        <v>57060.0</v>
      </c>
      <c r="E334" s="1" t="s">
        <v>842</v>
      </c>
      <c r="F334" s="3">
        <v>40263.0</v>
      </c>
      <c r="G334" s="1">
        <v>10205.0</v>
      </c>
    </row>
    <row r="335">
      <c r="A335" s="1" t="s">
        <v>843</v>
      </c>
      <c r="B335" s="1" t="s">
        <v>519</v>
      </c>
      <c r="C335" s="1" t="s">
        <v>78</v>
      </c>
      <c r="D335" s="1">
        <v>34678.0</v>
      </c>
      <c r="E335" s="1" t="s">
        <v>497</v>
      </c>
      <c r="F335" s="3">
        <v>40263.0</v>
      </c>
      <c r="G335" s="1">
        <v>10208.0</v>
      </c>
    </row>
    <row r="336">
      <c r="A336" s="1" t="s">
        <v>844</v>
      </c>
      <c r="B336" s="1" t="s">
        <v>845</v>
      </c>
      <c r="C336" s="1" t="s">
        <v>21</v>
      </c>
      <c r="D336" s="1">
        <v>34684.0</v>
      </c>
      <c r="E336" s="1" t="s">
        <v>246</v>
      </c>
      <c r="F336" s="3">
        <v>40263.0</v>
      </c>
      <c r="G336" s="1">
        <v>10206.0</v>
      </c>
    </row>
    <row r="337">
      <c r="A337" s="1" t="s">
        <v>846</v>
      </c>
      <c r="B337" s="1" t="s">
        <v>847</v>
      </c>
      <c r="C337" s="1" t="s">
        <v>78</v>
      </c>
      <c r="D337" s="1">
        <v>57399.0</v>
      </c>
      <c r="E337" s="1" t="s">
        <v>422</v>
      </c>
      <c r="F337" s="3">
        <v>40263.0</v>
      </c>
      <c r="G337" s="1">
        <v>10207.0</v>
      </c>
    </row>
    <row r="338">
      <c r="A338" s="1" t="s">
        <v>848</v>
      </c>
      <c r="B338" s="1" t="s">
        <v>849</v>
      </c>
      <c r="C338" s="1" t="s">
        <v>111</v>
      </c>
      <c r="D338" s="1">
        <v>8221.0</v>
      </c>
      <c r="E338" s="1" t="s">
        <v>850</v>
      </c>
      <c r="F338" s="3">
        <v>40256.0</v>
      </c>
      <c r="G338" s="1">
        <v>10203.0</v>
      </c>
    </row>
    <row r="339">
      <c r="A339" s="1" t="s">
        <v>851</v>
      </c>
      <c r="B339" s="1" t="s">
        <v>852</v>
      </c>
      <c r="C339" s="1" t="s">
        <v>310</v>
      </c>
      <c r="D339" s="1">
        <v>24957.0</v>
      </c>
      <c r="E339" s="1" t="s">
        <v>853</v>
      </c>
      <c r="F339" s="3">
        <v>40256.0</v>
      </c>
      <c r="G339" s="1">
        <v>10204.0</v>
      </c>
    </row>
    <row r="340">
      <c r="A340" s="1" t="s">
        <v>854</v>
      </c>
      <c r="B340" s="1" t="s">
        <v>855</v>
      </c>
      <c r="C340" s="1" t="s">
        <v>78</v>
      </c>
      <c r="D340" s="1">
        <v>10054.0</v>
      </c>
      <c r="E340" s="1" t="s">
        <v>517</v>
      </c>
      <c r="F340" s="3">
        <v>40256.0</v>
      </c>
      <c r="G340" s="1">
        <v>10202.0</v>
      </c>
    </row>
    <row r="341">
      <c r="A341" s="1" t="s">
        <v>856</v>
      </c>
      <c r="B341" s="1" t="s">
        <v>662</v>
      </c>
      <c r="C341" s="1" t="s">
        <v>78</v>
      </c>
      <c r="D341" s="1">
        <v>33989.0</v>
      </c>
      <c r="E341" s="1" t="s">
        <v>125</v>
      </c>
      <c r="F341" s="3">
        <v>40256.0</v>
      </c>
      <c r="G341" s="1">
        <v>10199.0</v>
      </c>
    </row>
    <row r="342">
      <c r="A342" s="1" t="s">
        <v>857</v>
      </c>
      <c r="B342" s="1" t="s">
        <v>858</v>
      </c>
      <c r="C342" s="1" t="s">
        <v>66</v>
      </c>
      <c r="D342" s="1">
        <v>33535.0</v>
      </c>
      <c r="E342" s="1" t="s">
        <v>174</v>
      </c>
      <c r="F342" s="3">
        <v>40256.0</v>
      </c>
      <c r="G342" s="1">
        <v>10200.0</v>
      </c>
    </row>
    <row r="343">
      <c r="A343" s="1" t="s">
        <v>859</v>
      </c>
      <c r="B343" s="1" t="s">
        <v>860</v>
      </c>
      <c r="C343" s="1" t="s">
        <v>78</v>
      </c>
      <c r="D343" s="1">
        <v>58104.0</v>
      </c>
      <c r="E343" s="1" t="s">
        <v>861</v>
      </c>
      <c r="F343" s="3">
        <v>40256.0</v>
      </c>
      <c r="G343" s="1">
        <v>10198.0</v>
      </c>
    </row>
    <row r="344">
      <c r="A344" s="1" t="s">
        <v>862</v>
      </c>
      <c r="B344" s="1" t="s">
        <v>863</v>
      </c>
      <c r="C344" s="1" t="s">
        <v>37</v>
      </c>
      <c r="D344" s="1">
        <v>18806.0</v>
      </c>
      <c r="E344" s="1" t="s">
        <v>864</v>
      </c>
      <c r="F344" s="3">
        <v>40256.0</v>
      </c>
      <c r="G344" s="1">
        <v>10201.0</v>
      </c>
    </row>
    <row r="345">
      <c r="A345" s="1" t="s">
        <v>865</v>
      </c>
      <c r="B345" s="1" t="s">
        <v>866</v>
      </c>
      <c r="C345" s="1" t="s">
        <v>62</v>
      </c>
      <c r="D345" s="1">
        <v>29561.0</v>
      </c>
      <c r="E345" s="1" t="s">
        <v>867</v>
      </c>
      <c r="F345" s="3">
        <v>40249.0</v>
      </c>
      <c r="G345" s="1">
        <v>10196.0</v>
      </c>
    </row>
    <row r="346">
      <c r="A346" s="1" t="s">
        <v>868</v>
      </c>
      <c r="B346" s="1" t="s">
        <v>580</v>
      </c>
      <c r="C346" s="1" t="s">
        <v>21</v>
      </c>
      <c r="D346" s="1">
        <v>58182.0</v>
      </c>
      <c r="E346" s="1" t="s">
        <v>246</v>
      </c>
      <c r="F346" s="3">
        <v>40249.0</v>
      </c>
      <c r="G346" s="1">
        <v>10197.0</v>
      </c>
    </row>
    <row r="347">
      <c r="A347" s="1" t="s">
        <v>496</v>
      </c>
      <c r="B347" s="1" t="s">
        <v>8</v>
      </c>
      <c r="C347" s="1" t="s">
        <v>9</v>
      </c>
      <c r="D347" s="1">
        <v>27096.0</v>
      </c>
      <c r="E347" s="1" t="s">
        <v>869</v>
      </c>
      <c r="F347" s="3">
        <v>40249.0</v>
      </c>
      <c r="G347" s="1">
        <v>10195.0</v>
      </c>
    </row>
    <row r="348">
      <c r="A348" s="1" t="s">
        <v>870</v>
      </c>
      <c r="B348" s="1" t="s">
        <v>8</v>
      </c>
      <c r="C348" s="1" t="s">
        <v>9</v>
      </c>
      <c r="D348" s="1">
        <v>58071.0</v>
      </c>
      <c r="E348" s="1" t="s">
        <v>869</v>
      </c>
      <c r="F348" s="3">
        <v>40248.0</v>
      </c>
      <c r="G348" s="1">
        <v>10194.0</v>
      </c>
    </row>
    <row r="349">
      <c r="A349" s="1" t="s">
        <v>246</v>
      </c>
      <c r="B349" s="1" t="s">
        <v>871</v>
      </c>
      <c r="C349" s="1" t="s">
        <v>66</v>
      </c>
      <c r="D349" s="1">
        <v>34430.0</v>
      </c>
      <c r="E349" s="1" t="s">
        <v>174</v>
      </c>
      <c r="F349" s="3">
        <v>40242.0</v>
      </c>
      <c r="G349" s="1">
        <v>10193.0</v>
      </c>
    </row>
    <row r="350">
      <c r="A350" s="1" t="s">
        <v>872</v>
      </c>
      <c r="B350" s="1" t="s">
        <v>873</v>
      </c>
      <c r="C350" s="1" t="s">
        <v>119</v>
      </c>
      <c r="D350" s="1">
        <v>34976.0</v>
      </c>
      <c r="E350" s="1" t="s">
        <v>174</v>
      </c>
      <c r="F350" s="3">
        <v>40242.0</v>
      </c>
      <c r="G350" s="1">
        <v>10190.0</v>
      </c>
    </row>
    <row r="351">
      <c r="A351" s="1" t="s">
        <v>874</v>
      </c>
      <c r="B351" s="1" t="s">
        <v>875</v>
      </c>
      <c r="C351" s="1" t="s">
        <v>49</v>
      </c>
      <c r="D351" s="1">
        <v>9268.0</v>
      </c>
      <c r="E351" s="1" t="s">
        <v>243</v>
      </c>
      <c r="F351" s="3">
        <v>40242.0</v>
      </c>
      <c r="G351" s="1">
        <v>10191.0</v>
      </c>
    </row>
    <row r="352">
      <c r="A352" s="1" t="s">
        <v>876</v>
      </c>
      <c r="B352" s="1" t="s">
        <v>877</v>
      </c>
      <c r="C352" s="1" t="s">
        <v>21</v>
      </c>
      <c r="D352" s="1">
        <v>27126.0</v>
      </c>
      <c r="E352" s="1" t="s">
        <v>59</v>
      </c>
      <c r="F352" s="3">
        <v>40242.0</v>
      </c>
      <c r="G352" s="1">
        <v>10192.0</v>
      </c>
    </row>
    <row r="353">
      <c r="A353" s="1" t="s">
        <v>878</v>
      </c>
      <c r="B353" s="1" t="s">
        <v>616</v>
      </c>
      <c r="C353" s="1" t="s">
        <v>90</v>
      </c>
      <c r="D353" s="1">
        <v>38129.0</v>
      </c>
      <c r="E353" s="1" t="s">
        <v>751</v>
      </c>
      <c r="F353" s="3">
        <v>40235.0</v>
      </c>
      <c r="G353" s="1">
        <v>10189.0</v>
      </c>
    </row>
    <row r="354">
      <c r="A354" s="1" t="s">
        <v>879</v>
      </c>
      <c r="B354" s="1" t="s">
        <v>880</v>
      </c>
      <c r="C354" s="1" t="s">
        <v>193</v>
      </c>
      <c r="D354" s="1">
        <v>58352.0</v>
      </c>
      <c r="E354" s="1" t="s">
        <v>881</v>
      </c>
      <c r="F354" s="3">
        <v>40235.0</v>
      </c>
      <c r="G354" s="1">
        <v>10188.0</v>
      </c>
    </row>
    <row r="355">
      <c r="A355" s="1" t="s">
        <v>882</v>
      </c>
      <c r="B355" s="1" t="s">
        <v>883</v>
      </c>
      <c r="C355" s="1" t="s">
        <v>13</v>
      </c>
      <c r="D355" s="1">
        <v>32423.0</v>
      </c>
      <c r="E355" s="1" t="s">
        <v>884</v>
      </c>
      <c r="F355" s="3">
        <v>40228.0</v>
      </c>
      <c r="G355" s="1">
        <v>10185.0</v>
      </c>
    </row>
    <row r="356">
      <c r="A356" s="1" t="s">
        <v>885</v>
      </c>
      <c r="B356" s="1" t="s">
        <v>886</v>
      </c>
      <c r="C356" s="1" t="s">
        <v>49</v>
      </c>
      <c r="D356" s="1">
        <v>29952.0</v>
      </c>
      <c r="E356" s="1" t="s">
        <v>774</v>
      </c>
      <c r="F356" s="3">
        <v>40228.0</v>
      </c>
      <c r="G356" s="1">
        <v>10184.0</v>
      </c>
    </row>
    <row r="357">
      <c r="A357" s="1" t="s">
        <v>887</v>
      </c>
      <c r="B357" s="1" t="s">
        <v>888</v>
      </c>
      <c r="C357" s="1" t="s">
        <v>45</v>
      </c>
      <c r="D357" s="1">
        <v>3287.0</v>
      </c>
      <c r="E357" s="1" t="s">
        <v>582</v>
      </c>
      <c r="F357" s="3">
        <v>40228.0</v>
      </c>
      <c r="G357" s="1">
        <v>10186.0</v>
      </c>
    </row>
    <row r="358">
      <c r="A358" s="1" t="s">
        <v>889</v>
      </c>
      <c r="B358" s="1" t="s">
        <v>890</v>
      </c>
      <c r="C358" s="1" t="s">
        <v>21</v>
      </c>
      <c r="D358" s="1">
        <v>57586.0</v>
      </c>
      <c r="E358" s="1" t="s">
        <v>891</v>
      </c>
      <c r="F358" s="3">
        <v>40228.0</v>
      </c>
      <c r="G358" s="1">
        <v>10187.0</v>
      </c>
    </row>
    <row r="359">
      <c r="A359" s="1" t="s">
        <v>892</v>
      </c>
      <c r="B359" s="1" t="s">
        <v>893</v>
      </c>
      <c r="C359" s="1" t="s">
        <v>111</v>
      </c>
      <c r="D359" s="1">
        <v>15448.0</v>
      </c>
      <c r="E359" s="1" t="s">
        <v>894</v>
      </c>
      <c r="F359" s="3">
        <v>40214.0</v>
      </c>
      <c r="G359" s="1">
        <v>10183.0</v>
      </c>
    </row>
    <row r="360">
      <c r="A360" s="1" t="s">
        <v>895</v>
      </c>
      <c r="B360" s="1" t="s">
        <v>896</v>
      </c>
      <c r="C360" s="1" t="s">
        <v>90</v>
      </c>
      <c r="D360" s="1">
        <v>16730.0</v>
      </c>
      <c r="E360" s="1" t="s">
        <v>442</v>
      </c>
      <c r="F360" s="3">
        <v>40207.0</v>
      </c>
      <c r="G360" s="1">
        <v>10178.0</v>
      </c>
    </row>
    <row r="361">
      <c r="A361" s="1" t="s">
        <v>897</v>
      </c>
      <c r="B361" s="1" t="s">
        <v>898</v>
      </c>
      <c r="C361" s="1" t="s">
        <v>13</v>
      </c>
      <c r="D361" s="1">
        <v>23011.0</v>
      </c>
      <c r="E361" s="1" t="s">
        <v>59</v>
      </c>
      <c r="F361" s="3">
        <v>40207.0</v>
      </c>
      <c r="G361" s="1">
        <v>10177.0</v>
      </c>
    </row>
    <row r="362">
      <c r="A362" s="1" t="s">
        <v>899</v>
      </c>
      <c r="B362" s="1" t="s">
        <v>900</v>
      </c>
      <c r="C362" s="1" t="s">
        <v>78</v>
      </c>
      <c r="D362" s="1">
        <v>5702.0</v>
      </c>
      <c r="E362" s="1" t="s">
        <v>450</v>
      </c>
      <c r="F362" s="3">
        <v>40207.0</v>
      </c>
      <c r="G362" s="1">
        <v>10180.0</v>
      </c>
    </row>
    <row r="363">
      <c r="A363" s="1" t="s">
        <v>901</v>
      </c>
      <c r="B363" s="1" t="s">
        <v>902</v>
      </c>
      <c r="C363" s="1" t="s">
        <v>111</v>
      </c>
      <c r="D363" s="1">
        <v>16133.0</v>
      </c>
      <c r="E363" s="1" t="s">
        <v>903</v>
      </c>
      <c r="F363" s="3">
        <v>40207.0</v>
      </c>
      <c r="G363" s="1">
        <v>10182.0</v>
      </c>
    </row>
    <row r="364">
      <c r="A364" s="1" t="s">
        <v>904</v>
      </c>
      <c r="B364" s="1" t="s">
        <v>905</v>
      </c>
      <c r="C364" s="1" t="s">
        <v>21</v>
      </c>
      <c r="D364" s="1">
        <v>5672.0</v>
      </c>
      <c r="E364" s="1" t="s">
        <v>465</v>
      </c>
      <c r="F364" s="3">
        <v>40207.0</v>
      </c>
      <c r="G364" s="1">
        <v>10181.0</v>
      </c>
    </row>
    <row r="365">
      <c r="A365" s="1" t="s">
        <v>906</v>
      </c>
      <c r="B365" s="1" t="s">
        <v>847</v>
      </c>
      <c r="C365" s="1" t="s">
        <v>78</v>
      </c>
      <c r="D365" s="1">
        <v>16480.0</v>
      </c>
      <c r="E365" s="1" t="s">
        <v>125</v>
      </c>
      <c r="F365" s="3">
        <v>40207.0</v>
      </c>
      <c r="G365" s="1">
        <v>10179.0</v>
      </c>
    </row>
    <row r="366">
      <c r="A366" s="1" t="s">
        <v>907</v>
      </c>
      <c r="B366" s="1" t="s">
        <v>908</v>
      </c>
      <c r="C366" s="1" t="s">
        <v>693</v>
      </c>
      <c r="D366" s="1">
        <v>22469.0</v>
      </c>
      <c r="E366" s="1" t="s">
        <v>442</v>
      </c>
      <c r="F366" s="3">
        <v>40200.0</v>
      </c>
      <c r="G366" s="1">
        <v>10176.0</v>
      </c>
    </row>
    <row r="367">
      <c r="A367" s="1" t="s">
        <v>909</v>
      </c>
      <c r="B367" s="1" t="s">
        <v>753</v>
      </c>
      <c r="C367" s="1" t="s">
        <v>90</v>
      </c>
      <c r="D367" s="1">
        <v>20501.0</v>
      </c>
      <c r="E367" s="1" t="s">
        <v>751</v>
      </c>
      <c r="F367" s="3">
        <v>40200.0</v>
      </c>
      <c r="G367" s="1">
        <v>10172.0</v>
      </c>
    </row>
    <row r="368">
      <c r="A368" s="1" t="s">
        <v>910</v>
      </c>
      <c r="B368" s="1" t="s">
        <v>911</v>
      </c>
      <c r="C368" s="1" t="s">
        <v>562</v>
      </c>
      <c r="D368" s="1">
        <v>32498.0</v>
      </c>
      <c r="E368" s="1" t="s">
        <v>910</v>
      </c>
      <c r="F368" s="3">
        <v>40200.0</v>
      </c>
      <c r="G368" s="1">
        <v>10175.0</v>
      </c>
    </row>
    <row r="369">
      <c r="A369" s="1" t="s">
        <v>912</v>
      </c>
      <c r="B369" s="1" t="s">
        <v>913</v>
      </c>
      <c r="C369" s="1" t="s">
        <v>237</v>
      </c>
      <c r="D369" s="1">
        <v>8265.0</v>
      </c>
      <c r="E369" s="1" t="s">
        <v>914</v>
      </c>
      <c r="F369" s="3">
        <v>40200.0</v>
      </c>
      <c r="G369" s="1">
        <v>10174.0</v>
      </c>
    </row>
    <row r="370">
      <c r="A370" s="1" t="s">
        <v>915</v>
      </c>
      <c r="B370" s="1" t="s">
        <v>727</v>
      </c>
      <c r="C370" s="1" t="s">
        <v>21</v>
      </c>
      <c r="D370" s="1">
        <v>57147.0</v>
      </c>
      <c r="E370" s="1" t="s">
        <v>465</v>
      </c>
      <c r="F370" s="3">
        <v>40200.0</v>
      </c>
      <c r="G370" s="1">
        <v>10173.0</v>
      </c>
    </row>
    <row r="371">
      <c r="A371" s="1" t="s">
        <v>916</v>
      </c>
      <c r="B371" s="1" t="s">
        <v>917</v>
      </c>
      <c r="C371" s="1" t="s">
        <v>66</v>
      </c>
      <c r="D371" s="1">
        <v>1252.0</v>
      </c>
      <c r="E371" s="1" t="s">
        <v>174</v>
      </c>
      <c r="F371" s="3">
        <v>40193.0</v>
      </c>
      <c r="G371" s="1">
        <v>10171.0</v>
      </c>
    </row>
    <row r="372">
      <c r="A372" s="1" t="s">
        <v>918</v>
      </c>
      <c r="B372" s="1" t="s">
        <v>919</v>
      </c>
      <c r="C372" s="1" t="s">
        <v>111</v>
      </c>
      <c r="D372" s="1">
        <v>17522.0</v>
      </c>
      <c r="E372" s="1" t="s">
        <v>920</v>
      </c>
      <c r="F372" s="3">
        <v>40193.0</v>
      </c>
      <c r="G372" s="1">
        <v>10169.0</v>
      </c>
    </row>
    <row r="373">
      <c r="A373" s="1" t="s">
        <v>921</v>
      </c>
      <c r="B373" s="1" t="s">
        <v>922</v>
      </c>
      <c r="C373" s="1" t="s">
        <v>49</v>
      </c>
      <c r="D373" s="1">
        <v>34705.0</v>
      </c>
      <c r="E373" s="1" t="s">
        <v>743</v>
      </c>
      <c r="F373" s="3">
        <v>40193.0</v>
      </c>
      <c r="G373" s="1">
        <v>10170.0</v>
      </c>
    </row>
    <row r="374">
      <c r="A374" s="1" t="s">
        <v>666</v>
      </c>
      <c r="B374" s="1" t="s">
        <v>923</v>
      </c>
      <c r="C374" s="1" t="s">
        <v>90</v>
      </c>
      <c r="D374" s="1">
        <v>22977.0</v>
      </c>
      <c r="E374" s="1" t="s">
        <v>924</v>
      </c>
      <c r="F374" s="3">
        <v>40186.0</v>
      </c>
      <c r="G374" s="1">
        <v>10168.0</v>
      </c>
    </row>
    <row r="375">
      <c r="A375" s="1" t="s">
        <v>925</v>
      </c>
      <c r="B375" s="1" t="s">
        <v>926</v>
      </c>
      <c r="C375" s="1" t="s">
        <v>13</v>
      </c>
      <c r="D375" s="1">
        <v>28536.0</v>
      </c>
      <c r="E375" s="1" t="s">
        <v>884</v>
      </c>
      <c r="F375" s="3">
        <v>40165.0</v>
      </c>
      <c r="G375" s="1">
        <v>10167.0</v>
      </c>
    </row>
    <row r="376">
      <c r="A376" s="1" t="s">
        <v>927</v>
      </c>
      <c r="B376" s="1" t="s">
        <v>883</v>
      </c>
      <c r="C376" s="1" t="s">
        <v>13</v>
      </c>
      <c r="D376" s="1">
        <v>26348.0</v>
      </c>
      <c r="E376" s="1" t="s">
        <v>522</v>
      </c>
      <c r="F376" s="3">
        <v>40165.0</v>
      </c>
      <c r="G376" s="1">
        <v>10161.0</v>
      </c>
    </row>
    <row r="377">
      <c r="A377" s="1" t="s">
        <v>928</v>
      </c>
      <c r="B377" s="1" t="s">
        <v>541</v>
      </c>
      <c r="C377" s="1" t="s">
        <v>49</v>
      </c>
      <c r="D377" s="1">
        <v>26820.0</v>
      </c>
      <c r="E377" s="1" t="s">
        <v>929</v>
      </c>
      <c r="F377" s="3">
        <v>40165.0</v>
      </c>
      <c r="G377" s="1">
        <v>10166.0</v>
      </c>
    </row>
    <row r="378">
      <c r="A378" s="1" t="s">
        <v>930</v>
      </c>
      <c r="B378" s="1" t="s">
        <v>931</v>
      </c>
      <c r="C378" s="1" t="s">
        <v>310</v>
      </c>
      <c r="D378" s="1">
        <v>32276.0</v>
      </c>
      <c r="E378" s="1" t="s">
        <v>932</v>
      </c>
      <c r="F378" s="3">
        <v>40165.0</v>
      </c>
      <c r="G378" s="1">
        <v>10163.0</v>
      </c>
    </row>
    <row r="379">
      <c r="A379" s="1" t="s">
        <v>933</v>
      </c>
      <c r="B379" s="1" t="s">
        <v>934</v>
      </c>
      <c r="C379" s="1" t="s">
        <v>330</v>
      </c>
      <c r="D379" s="1">
        <v>1006.0</v>
      </c>
      <c r="E379" s="1" t="s">
        <v>174</v>
      </c>
      <c r="F379" s="3">
        <v>40165.0</v>
      </c>
      <c r="G379" s="1">
        <v>10162.0</v>
      </c>
    </row>
    <row r="380">
      <c r="A380" s="1" t="s">
        <v>935</v>
      </c>
      <c r="B380" s="1" t="s">
        <v>936</v>
      </c>
      <c r="C380" s="1" t="s">
        <v>21</v>
      </c>
      <c r="D380" s="1">
        <v>32167.0</v>
      </c>
      <c r="E380" s="1" t="s">
        <v>937</v>
      </c>
      <c r="F380" s="3">
        <v>40165.0</v>
      </c>
      <c r="G380" s="1">
        <v>10165.0</v>
      </c>
    </row>
    <row r="381">
      <c r="A381" s="1" t="s">
        <v>938</v>
      </c>
      <c r="B381" s="1" t="s">
        <v>105</v>
      </c>
      <c r="C381" s="1" t="s">
        <v>78</v>
      </c>
      <c r="D381" s="1">
        <v>58315.0</v>
      </c>
      <c r="E381" s="1" t="s">
        <v>174</v>
      </c>
      <c r="F381" s="3">
        <v>40165.0</v>
      </c>
      <c r="G381" s="1">
        <v>10164.0</v>
      </c>
    </row>
    <row r="382">
      <c r="A382" s="1" t="s">
        <v>939</v>
      </c>
      <c r="B382" s="1" t="s">
        <v>625</v>
      </c>
      <c r="C382" s="1" t="s">
        <v>17</v>
      </c>
      <c r="D382" s="1">
        <v>4731.0</v>
      </c>
      <c r="E382" s="1" t="s">
        <v>940</v>
      </c>
      <c r="F382" s="3">
        <v>40158.0</v>
      </c>
      <c r="G382" s="1">
        <v>10160.0</v>
      </c>
    </row>
    <row r="383">
      <c r="A383" s="1" t="s">
        <v>941</v>
      </c>
      <c r="B383" s="1" t="s">
        <v>784</v>
      </c>
      <c r="C383" s="1" t="s">
        <v>177</v>
      </c>
      <c r="D383" s="1">
        <v>58399.0</v>
      </c>
      <c r="E383" s="1" t="s">
        <v>439</v>
      </c>
      <c r="F383" s="3">
        <v>40158.0</v>
      </c>
      <c r="G383" s="1">
        <v>10159.0</v>
      </c>
    </row>
    <row r="384">
      <c r="A384" s="1" t="s">
        <v>942</v>
      </c>
      <c r="B384" s="1" t="s">
        <v>727</v>
      </c>
      <c r="C384" s="1" t="s">
        <v>21</v>
      </c>
      <c r="D384" s="1">
        <v>22846.0</v>
      </c>
      <c r="E384" s="1" t="s">
        <v>397</v>
      </c>
      <c r="F384" s="3">
        <v>40158.0</v>
      </c>
      <c r="G384" s="1">
        <v>10158.0</v>
      </c>
    </row>
    <row r="385">
      <c r="A385" s="1" t="s">
        <v>943</v>
      </c>
      <c r="B385" s="1" t="s">
        <v>944</v>
      </c>
      <c r="C385" s="1" t="s">
        <v>151</v>
      </c>
      <c r="D385" s="1">
        <v>32583.0</v>
      </c>
      <c r="E385" s="1" t="s">
        <v>323</v>
      </c>
      <c r="F385" s="3">
        <v>40151.0</v>
      </c>
      <c r="G385" s="1">
        <v>10156.0</v>
      </c>
    </row>
    <row r="386">
      <c r="A386" s="1" t="s">
        <v>945</v>
      </c>
      <c r="B386" s="1" t="s">
        <v>849</v>
      </c>
      <c r="C386" s="1" t="s">
        <v>49</v>
      </c>
      <c r="D386" s="1">
        <v>10440.0</v>
      </c>
      <c r="E386" s="1" t="s">
        <v>814</v>
      </c>
      <c r="F386" s="3">
        <v>40151.0</v>
      </c>
      <c r="G386" s="1">
        <v>10154.0</v>
      </c>
    </row>
    <row r="387">
      <c r="A387" s="1" t="s">
        <v>946</v>
      </c>
      <c r="B387" s="1" t="s">
        <v>947</v>
      </c>
      <c r="C387" s="1" t="s">
        <v>37</v>
      </c>
      <c r="D387" s="1">
        <v>29776.0</v>
      </c>
      <c r="E387" s="1" t="s">
        <v>842</v>
      </c>
      <c r="F387" s="3">
        <v>40151.0</v>
      </c>
      <c r="G387" s="1">
        <v>10155.0</v>
      </c>
    </row>
    <row r="388">
      <c r="A388" s="1" t="s">
        <v>948</v>
      </c>
      <c r="B388" s="1" t="s">
        <v>949</v>
      </c>
      <c r="C388" s="1" t="s">
        <v>78</v>
      </c>
      <c r="D388" s="1">
        <v>12080.0</v>
      </c>
      <c r="E388" s="1" t="s">
        <v>431</v>
      </c>
      <c r="F388" s="3">
        <v>40151.0</v>
      </c>
      <c r="G388" s="1">
        <v>10153.0</v>
      </c>
    </row>
    <row r="389">
      <c r="A389" s="1" t="s">
        <v>950</v>
      </c>
      <c r="B389" s="1" t="s">
        <v>951</v>
      </c>
      <c r="C389" s="1" t="s">
        <v>78</v>
      </c>
      <c r="D389" s="1">
        <v>26290.0</v>
      </c>
      <c r="E389" s="1" t="s">
        <v>392</v>
      </c>
      <c r="F389" s="3">
        <v>40151.0</v>
      </c>
      <c r="G389" s="1">
        <v>10157.0</v>
      </c>
    </row>
    <row r="390">
      <c r="A390" s="1" t="s">
        <v>952</v>
      </c>
      <c r="B390" s="1" t="s">
        <v>105</v>
      </c>
      <c r="C390" s="1" t="s">
        <v>78</v>
      </c>
      <c r="D390" s="1">
        <v>34663.0</v>
      </c>
      <c r="E390" s="1" t="s">
        <v>392</v>
      </c>
      <c r="F390" s="3">
        <v>40151.0</v>
      </c>
      <c r="G390" s="1">
        <v>10152.0</v>
      </c>
    </row>
    <row r="391">
      <c r="A391" s="1" t="s">
        <v>953</v>
      </c>
      <c r="B391" s="1" t="s">
        <v>186</v>
      </c>
      <c r="C391" s="1" t="s">
        <v>21</v>
      </c>
      <c r="D391" s="1">
        <v>58016.0</v>
      </c>
      <c r="E391" s="1" t="s">
        <v>410</v>
      </c>
      <c r="F391" s="3">
        <v>40137.0</v>
      </c>
      <c r="G391" s="1">
        <v>10151.0</v>
      </c>
    </row>
    <row r="392">
      <c r="A392" s="1" t="s">
        <v>954</v>
      </c>
      <c r="B392" s="1" t="s">
        <v>955</v>
      </c>
      <c r="C392" s="1" t="s">
        <v>13</v>
      </c>
      <c r="D392" s="1">
        <v>57914.0</v>
      </c>
      <c r="E392" s="1" t="s">
        <v>156</v>
      </c>
      <c r="F392" s="3">
        <v>40130.0</v>
      </c>
      <c r="G392" s="1">
        <v>10150.0</v>
      </c>
    </row>
    <row r="393">
      <c r="A393" s="1" t="s">
        <v>956</v>
      </c>
      <c r="B393" s="1" t="s">
        <v>280</v>
      </c>
      <c r="C393" s="1" t="s">
        <v>21</v>
      </c>
      <c r="D393" s="1">
        <v>22427.0</v>
      </c>
      <c r="E393" s="1" t="s">
        <v>717</v>
      </c>
      <c r="F393" s="3">
        <v>40130.0</v>
      </c>
      <c r="G393" s="1">
        <v>10149.0</v>
      </c>
    </row>
    <row r="394">
      <c r="A394" s="1" t="s">
        <v>957</v>
      </c>
      <c r="B394" s="1" t="s">
        <v>457</v>
      </c>
      <c r="C394" s="1" t="s">
        <v>21</v>
      </c>
      <c r="D394" s="1">
        <v>32267.0</v>
      </c>
      <c r="E394" s="1" t="s">
        <v>717</v>
      </c>
      <c r="F394" s="3">
        <v>40130.0</v>
      </c>
      <c r="G394" s="1">
        <v>10148.0</v>
      </c>
    </row>
    <row r="395">
      <c r="A395" s="1" t="s">
        <v>958</v>
      </c>
      <c r="B395" s="1" t="s">
        <v>959</v>
      </c>
      <c r="C395" s="1" t="s">
        <v>13</v>
      </c>
      <c r="D395" s="1">
        <v>32469.0</v>
      </c>
      <c r="E395" s="1" t="s">
        <v>754</v>
      </c>
      <c r="F395" s="3">
        <v>40123.0</v>
      </c>
      <c r="G395" s="1">
        <v>10147.0</v>
      </c>
    </row>
    <row r="396">
      <c r="A396" s="1" t="s">
        <v>960</v>
      </c>
      <c r="B396" s="1" t="s">
        <v>261</v>
      </c>
      <c r="C396" s="1" t="s">
        <v>237</v>
      </c>
      <c r="D396" s="1">
        <v>19450.0</v>
      </c>
      <c r="E396" s="1" t="s">
        <v>961</v>
      </c>
      <c r="F396" s="3">
        <v>40123.0</v>
      </c>
      <c r="G396" s="1">
        <v>10146.0</v>
      </c>
    </row>
    <row r="397">
      <c r="A397" s="1" t="s">
        <v>962</v>
      </c>
      <c r="B397" s="1" t="s">
        <v>963</v>
      </c>
      <c r="C397" s="1" t="s">
        <v>111</v>
      </c>
      <c r="D397" s="1">
        <v>35074.0</v>
      </c>
      <c r="E397" s="1" t="s">
        <v>964</v>
      </c>
      <c r="F397" s="3">
        <v>40123.0</v>
      </c>
      <c r="G397" s="1">
        <v>10143.0</v>
      </c>
    </row>
    <row r="398">
      <c r="A398" s="1" t="s">
        <v>965</v>
      </c>
      <c r="B398" s="1" t="s">
        <v>966</v>
      </c>
      <c r="C398" s="1" t="s">
        <v>330</v>
      </c>
      <c r="D398" s="1">
        <v>30329.0</v>
      </c>
      <c r="E398" s="1" t="s">
        <v>229</v>
      </c>
      <c r="F398" s="3">
        <v>40123.0</v>
      </c>
      <c r="G398" s="1">
        <v>10144.0</v>
      </c>
    </row>
    <row r="399">
      <c r="A399" s="1" t="s">
        <v>967</v>
      </c>
      <c r="B399" s="1" t="s">
        <v>968</v>
      </c>
      <c r="C399" s="1" t="s">
        <v>78</v>
      </c>
      <c r="D399" s="1">
        <v>22286.0</v>
      </c>
      <c r="E399" s="1" t="s">
        <v>287</v>
      </c>
      <c r="F399" s="3">
        <v>40123.0</v>
      </c>
      <c r="G399" s="1">
        <v>10145.0</v>
      </c>
    </row>
    <row r="400">
      <c r="A400" s="1" t="s">
        <v>969</v>
      </c>
      <c r="B400" s="1" t="s">
        <v>970</v>
      </c>
      <c r="C400" s="1" t="s">
        <v>45</v>
      </c>
      <c r="D400" s="1">
        <v>18776.0</v>
      </c>
      <c r="E400" s="1" t="s">
        <v>971</v>
      </c>
      <c r="F400" s="3">
        <v>40116.0</v>
      </c>
      <c r="G400" s="1">
        <v>10138.0</v>
      </c>
    </row>
    <row r="401">
      <c r="A401" s="1" t="s">
        <v>972</v>
      </c>
      <c r="B401" s="1" t="s">
        <v>973</v>
      </c>
      <c r="C401" s="1" t="s">
        <v>45</v>
      </c>
      <c r="D401" s="1">
        <v>33782.0</v>
      </c>
      <c r="E401" s="1" t="s">
        <v>971</v>
      </c>
      <c r="F401" s="3">
        <v>40116.0</v>
      </c>
      <c r="G401" s="1">
        <v>10142.0</v>
      </c>
    </row>
    <row r="402">
      <c r="A402" s="1" t="s">
        <v>974</v>
      </c>
      <c r="B402" s="1" t="s">
        <v>975</v>
      </c>
      <c r="C402" s="1" t="s">
        <v>45</v>
      </c>
      <c r="D402" s="1">
        <v>25222.0</v>
      </c>
      <c r="E402" s="1" t="s">
        <v>971</v>
      </c>
      <c r="F402" s="3">
        <v>40116.0</v>
      </c>
      <c r="G402" s="1">
        <v>10141.0</v>
      </c>
    </row>
    <row r="403">
      <c r="A403" s="1" t="s">
        <v>976</v>
      </c>
      <c r="B403" s="1" t="s">
        <v>48</v>
      </c>
      <c r="C403" s="1" t="s">
        <v>49</v>
      </c>
      <c r="D403" s="1">
        <v>11677.0</v>
      </c>
      <c r="E403" s="1" t="s">
        <v>971</v>
      </c>
      <c r="F403" s="3">
        <v>40116.0</v>
      </c>
      <c r="G403" s="1">
        <v>10140.0</v>
      </c>
    </row>
    <row r="404">
      <c r="A404" s="1" t="s">
        <v>977</v>
      </c>
      <c r="B404" s="1" t="s">
        <v>959</v>
      </c>
      <c r="C404" s="1" t="s">
        <v>13</v>
      </c>
      <c r="D404" s="1">
        <v>30006.0</v>
      </c>
      <c r="E404" s="1" t="s">
        <v>971</v>
      </c>
      <c r="F404" s="3">
        <v>40116.0</v>
      </c>
      <c r="G404" s="1">
        <v>10139.0</v>
      </c>
    </row>
    <row r="405">
      <c r="A405" s="1" t="s">
        <v>978</v>
      </c>
      <c r="B405" s="1" t="s">
        <v>898</v>
      </c>
      <c r="C405" s="1" t="s">
        <v>13</v>
      </c>
      <c r="D405" s="1">
        <v>34659.0</v>
      </c>
      <c r="E405" s="1" t="s">
        <v>971</v>
      </c>
      <c r="F405" s="3">
        <v>40116.0</v>
      </c>
      <c r="G405" s="1">
        <v>10134.0</v>
      </c>
    </row>
    <row r="406">
      <c r="A406" s="1" t="s">
        <v>979</v>
      </c>
      <c r="B406" s="1" t="s">
        <v>782</v>
      </c>
      <c r="C406" s="1" t="s">
        <v>13</v>
      </c>
      <c r="D406" s="1">
        <v>23594.0</v>
      </c>
      <c r="E406" s="1" t="s">
        <v>971</v>
      </c>
      <c r="F406" s="3">
        <v>40116.0</v>
      </c>
      <c r="G406" s="1">
        <v>10135.0</v>
      </c>
    </row>
    <row r="407">
      <c r="A407" s="1" t="s">
        <v>980</v>
      </c>
      <c r="B407" s="1" t="s">
        <v>981</v>
      </c>
      <c r="C407" s="1" t="s">
        <v>49</v>
      </c>
      <c r="D407" s="1">
        <v>35291.0</v>
      </c>
      <c r="E407" s="1" t="s">
        <v>971</v>
      </c>
      <c r="F407" s="3">
        <v>40116.0</v>
      </c>
      <c r="G407" s="1">
        <v>10137.0</v>
      </c>
    </row>
    <row r="408">
      <c r="A408" s="1" t="s">
        <v>982</v>
      </c>
      <c r="B408" s="1" t="s">
        <v>176</v>
      </c>
      <c r="C408" s="1" t="s">
        <v>177</v>
      </c>
      <c r="D408" s="1">
        <v>32218.0</v>
      </c>
      <c r="E408" s="1" t="s">
        <v>971</v>
      </c>
      <c r="F408" s="3">
        <v>40116.0</v>
      </c>
      <c r="G408" s="1">
        <v>10136.0</v>
      </c>
    </row>
    <row r="409">
      <c r="A409" s="1" t="s">
        <v>983</v>
      </c>
      <c r="B409" s="1" t="s">
        <v>984</v>
      </c>
      <c r="C409" s="1" t="s">
        <v>49</v>
      </c>
      <c r="D409" s="1">
        <v>35038.0</v>
      </c>
      <c r="E409" s="1" t="s">
        <v>267</v>
      </c>
      <c r="F409" s="3">
        <v>40109.0</v>
      </c>
      <c r="G409" s="1">
        <v>10128.0</v>
      </c>
    </row>
    <row r="410">
      <c r="A410" s="1" t="s">
        <v>985</v>
      </c>
      <c r="B410" s="1" t="s">
        <v>986</v>
      </c>
      <c r="C410" s="1" t="s">
        <v>111</v>
      </c>
      <c r="D410" s="1">
        <v>57525.0</v>
      </c>
      <c r="E410" s="1" t="s">
        <v>410</v>
      </c>
      <c r="F410" s="3">
        <v>40109.0</v>
      </c>
      <c r="G410" s="1">
        <v>10133.0</v>
      </c>
    </row>
    <row r="411">
      <c r="A411" s="1" t="s">
        <v>987</v>
      </c>
      <c r="B411" s="1" t="s">
        <v>988</v>
      </c>
      <c r="C411" s="1" t="s">
        <v>58</v>
      </c>
      <c r="D411" s="1">
        <v>18321.0</v>
      </c>
      <c r="E411" s="1" t="s">
        <v>989</v>
      </c>
      <c r="F411" s="3">
        <v>40109.0</v>
      </c>
      <c r="G411" s="1">
        <v>10132.0</v>
      </c>
    </row>
    <row r="412">
      <c r="A412" s="1" t="s">
        <v>990</v>
      </c>
      <c r="B412" s="1" t="s">
        <v>667</v>
      </c>
      <c r="C412" s="1" t="s">
        <v>21</v>
      </c>
      <c r="D412" s="1">
        <v>35044.0</v>
      </c>
      <c r="E412" s="1" t="s">
        <v>167</v>
      </c>
      <c r="F412" s="3">
        <v>40109.0</v>
      </c>
      <c r="G412" s="1">
        <v>10129.0</v>
      </c>
    </row>
    <row r="413">
      <c r="A413" s="1" t="s">
        <v>991</v>
      </c>
      <c r="B413" s="1" t="s">
        <v>280</v>
      </c>
      <c r="C413" s="1" t="s">
        <v>21</v>
      </c>
      <c r="D413" s="1">
        <v>58336.0</v>
      </c>
      <c r="E413" s="1" t="s">
        <v>479</v>
      </c>
      <c r="F413" s="3">
        <v>40109.0</v>
      </c>
      <c r="G413" s="1">
        <v>10131.0</v>
      </c>
    </row>
    <row r="414">
      <c r="A414" s="1" t="s">
        <v>992</v>
      </c>
      <c r="B414" s="1" t="s">
        <v>993</v>
      </c>
      <c r="C414" s="1" t="s">
        <v>78</v>
      </c>
      <c r="D414" s="1">
        <v>57794.0</v>
      </c>
      <c r="E414" s="1" t="s">
        <v>287</v>
      </c>
      <c r="F414" s="3">
        <v>40109.0</v>
      </c>
      <c r="G414" s="1">
        <v>10127.0</v>
      </c>
    </row>
    <row r="415">
      <c r="A415" s="1" t="s">
        <v>994</v>
      </c>
      <c r="B415" s="1" t="s">
        <v>280</v>
      </c>
      <c r="C415" s="1" t="s">
        <v>21</v>
      </c>
      <c r="D415" s="1">
        <v>57959.0</v>
      </c>
      <c r="E415" s="1" t="s">
        <v>479</v>
      </c>
      <c r="F415" s="3">
        <v>40109.0</v>
      </c>
      <c r="G415" s="1">
        <v>10130.0</v>
      </c>
    </row>
    <row r="416">
      <c r="A416" s="1" t="s">
        <v>995</v>
      </c>
      <c r="B416" s="1" t="s">
        <v>996</v>
      </c>
      <c r="C416" s="1" t="s">
        <v>13</v>
      </c>
      <c r="D416" s="1">
        <v>23266.0</v>
      </c>
      <c r="E416" s="1" t="s">
        <v>997</v>
      </c>
      <c r="F416" s="3">
        <v>40102.0</v>
      </c>
      <c r="G416" s="1">
        <v>10126.0</v>
      </c>
    </row>
    <row r="417">
      <c r="A417" s="1" t="s">
        <v>998</v>
      </c>
      <c r="B417" s="1" t="s">
        <v>999</v>
      </c>
      <c r="C417" s="1" t="s">
        <v>97</v>
      </c>
      <c r="D417" s="1">
        <v>57263.0</v>
      </c>
      <c r="E417" s="1" t="s">
        <v>528</v>
      </c>
      <c r="F417" s="3">
        <v>40088.0</v>
      </c>
      <c r="G417" s="1">
        <v>10123.0</v>
      </c>
    </row>
    <row r="418">
      <c r="A418" s="1" t="s">
        <v>1000</v>
      </c>
      <c r="B418" s="1" t="s">
        <v>1001</v>
      </c>
      <c r="C418" s="1" t="s">
        <v>111</v>
      </c>
      <c r="D418" s="1">
        <v>11416.0</v>
      </c>
      <c r="E418" s="1" t="s">
        <v>410</v>
      </c>
      <c r="F418" s="3">
        <v>40088.0</v>
      </c>
      <c r="G418" s="1">
        <v>10124.0</v>
      </c>
    </row>
    <row r="419">
      <c r="A419" s="1" t="s">
        <v>1002</v>
      </c>
      <c r="B419" s="1" t="s">
        <v>1003</v>
      </c>
      <c r="C419" s="1" t="s">
        <v>330</v>
      </c>
      <c r="D419" s="1">
        <v>34824.0</v>
      </c>
      <c r="E419" s="1" t="s">
        <v>331</v>
      </c>
      <c r="F419" s="3">
        <v>40088.0</v>
      </c>
      <c r="G419" s="1">
        <v>10125.0</v>
      </c>
    </row>
    <row r="420">
      <c r="A420" s="1" t="s">
        <v>1004</v>
      </c>
      <c r="B420" s="1" t="s">
        <v>105</v>
      </c>
      <c r="C420" s="1" t="s">
        <v>78</v>
      </c>
      <c r="D420" s="1">
        <v>57151.0</v>
      </c>
      <c r="E420" s="1" t="s">
        <v>483</v>
      </c>
      <c r="F420" s="3">
        <v>40081.0</v>
      </c>
      <c r="G420" s="1">
        <v>10122.0</v>
      </c>
    </row>
    <row r="421">
      <c r="A421" s="1" t="s">
        <v>1005</v>
      </c>
      <c r="B421" s="1" t="s">
        <v>564</v>
      </c>
      <c r="C421" s="1" t="s">
        <v>41</v>
      </c>
      <c r="D421" s="1">
        <v>57068.0</v>
      </c>
      <c r="E421" s="1" t="s">
        <v>1006</v>
      </c>
      <c r="F421" s="3">
        <v>40074.0</v>
      </c>
      <c r="G421" s="1">
        <v>10121.0</v>
      </c>
    </row>
    <row r="422">
      <c r="A422" s="1" t="s">
        <v>1007</v>
      </c>
      <c r="B422" s="1" t="s">
        <v>1008</v>
      </c>
      <c r="C422" s="1" t="s">
        <v>347</v>
      </c>
      <c r="D422" s="1">
        <v>10100.0</v>
      </c>
      <c r="E422" s="1" t="s">
        <v>1006</v>
      </c>
      <c r="F422" s="3">
        <v>40074.0</v>
      </c>
      <c r="G422" s="1">
        <v>10120.0</v>
      </c>
    </row>
    <row r="423">
      <c r="A423" s="1" t="s">
        <v>1009</v>
      </c>
      <c r="B423" s="1" t="s">
        <v>1010</v>
      </c>
      <c r="C423" s="1" t="s">
        <v>90</v>
      </c>
      <c r="D423" s="1">
        <v>22868.0</v>
      </c>
      <c r="E423" s="1" t="s">
        <v>59</v>
      </c>
      <c r="F423" s="3">
        <v>40067.0</v>
      </c>
      <c r="G423" s="1">
        <v>10119.0</v>
      </c>
    </row>
    <row r="424">
      <c r="A424" s="1" t="s">
        <v>1011</v>
      </c>
      <c r="B424" s="1" t="s">
        <v>77</v>
      </c>
      <c r="C424" s="1" t="s">
        <v>111</v>
      </c>
      <c r="D424" s="1">
        <v>57736.0</v>
      </c>
      <c r="E424" s="1" t="s">
        <v>1012</v>
      </c>
      <c r="F424" s="3">
        <v>40067.0</v>
      </c>
      <c r="G424" s="1">
        <v>10118.0</v>
      </c>
    </row>
    <row r="425">
      <c r="A425" s="1" t="s">
        <v>1013</v>
      </c>
      <c r="B425" s="1" t="s">
        <v>48</v>
      </c>
      <c r="C425" s="1" t="s">
        <v>49</v>
      </c>
      <c r="D425" s="1">
        <v>13693.0</v>
      </c>
      <c r="E425" s="1" t="s">
        <v>814</v>
      </c>
      <c r="F425" s="3">
        <v>40067.0</v>
      </c>
      <c r="G425" s="1">
        <v>10117.0</v>
      </c>
    </row>
    <row r="426">
      <c r="A426" s="1" t="s">
        <v>301</v>
      </c>
      <c r="B426" s="1" t="s">
        <v>1014</v>
      </c>
      <c r="C426" s="1" t="s">
        <v>177</v>
      </c>
      <c r="D426" s="1">
        <v>34875.0</v>
      </c>
      <c r="E426" s="1" t="s">
        <v>156</v>
      </c>
      <c r="F426" s="3">
        <v>40060.0</v>
      </c>
      <c r="G426" s="1">
        <v>10114.0</v>
      </c>
    </row>
    <row r="427">
      <c r="A427" s="1" t="s">
        <v>1015</v>
      </c>
      <c r="B427" s="1" t="s">
        <v>1016</v>
      </c>
      <c r="C427" s="1" t="s">
        <v>49</v>
      </c>
      <c r="D427" s="1">
        <v>35030.0</v>
      </c>
      <c r="E427" s="1" t="s">
        <v>174</v>
      </c>
      <c r="F427" s="3">
        <v>40060.0</v>
      </c>
      <c r="G427" s="1">
        <v>10115.0</v>
      </c>
    </row>
    <row r="428">
      <c r="A428" s="1" t="s">
        <v>1017</v>
      </c>
      <c r="B428" s="1" t="s">
        <v>1018</v>
      </c>
      <c r="C428" s="1" t="s">
        <v>376</v>
      </c>
      <c r="D428" s="1">
        <v>27732.0</v>
      </c>
      <c r="E428" s="1" t="s">
        <v>134</v>
      </c>
      <c r="F428" s="3">
        <v>40060.0</v>
      </c>
      <c r="G428" s="1">
        <v>10116.0</v>
      </c>
    </row>
    <row r="429">
      <c r="A429" s="1" t="s">
        <v>1019</v>
      </c>
      <c r="B429" s="1" t="s">
        <v>1020</v>
      </c>
      <c r="C429" s="1" t="s">
        <v>49</v>
      </c>
      <c r="D429" s="1">
        <v>20203.0</v>
      </c>
      <c r="E429" s="1" t="s">
        <v>814</v>
      </c>
      <c r="F429" s="3">
        <v>40060.0</v>
      </c>
      <c r="G429" s="1">
        <v>10113.0</v>
      </c>
    </row>
    <row r="430">
      <c r="A430" s="1" t="s">
        <v>1021</v>
      </c>
      <c r="B430" s="1" t="s">
        <v>1022</v>
      </c>
      <c r="C430" s="1" t="s">
        <v>237</v>
      </c>
      <c r="D430" s="1">
        <v>25231.0</v>
      </c>
      <c r="E430" s="1" t="s">
        <v>1023</v>
      </c>
      <c r="F430" s="3">
        <v>40060.0</v>
      </c>
      <c r="G430" s="1">
        <v>10112.0</v>
      </c>
    </row>
    <row r="431">
      <c r="A431" s="1" t="s">
        <v>1024</v>
      </c>
      <c r="B431" s="1" t="s">
        <v>1025</v>
      </c>
      <c r="C431" s="1" t="s">
        <v>13</v>
      </c>
      <c r="D431" s="1">
        <v>27197.0</v>
      </c>
      <c r="E431" s="1" t="s">
        <v>673</v>
      </c>
      <c r="F431" s="3">
        <v>40053.0</v>
      </c>
      <c r="G431" s="1">
        <v>10110.0</v>
      </c>
    </row>
    <row r="432">
      <c r="A432" s="1" t="s">
        <v>1026</v>
      </c>
      <c r="B432" s="1" t="s">
        <v>356</v>
      </c>
      <c r="C432" s="1" t="s">
        <v>111</v>
      </c>
      <c r="D432" s="1">
        <v>1909.0</v>
      </c>
      <c r="E432" s="1" t="s">
        <v>410</v>
      </c>
      <c r="F432" s="3">
        <v>40053.0</v>
      </c>
      <c r="G432" s="1">
        <v>10111.0</v>
      </c>
    </row>
    <row r="433">
      <c r="A433" s="1" t="s">
        <v>1027</v>
      </c>
      <c r="B433" s="1" t="s">
        <v>739</v>
      </c>
      <c r="C433" s="1" t="s">
        <v>119</v>
      </c>
      <c r="D433" s="1">
        <v>28312.0</v>
      </c>
      <c r="E433" s="1" t="s">
        <v>622</v>
      </c>
      <c r="F433" s="3">
        <v>40053.0</v>
      </c>
      <c r="G433" s="1">
        <v>10109.0</v>
      </c>
    </row>
    <row r="434">
      <c r="A434" s="1" t="s">
        <v>1028</v>
      </c>
      <c r="B434" s="1" t="s">
        <v>1029</v>
      </c>
      <c r="C434" s="1" t="s">
        <v>45</v>
      </c>
      <c r="D434" s="1">
        <v>32618.0</v>
      </c>
      <c r="E434" s="1" t="s">
        <v>1030</v>
      </c>
      <c r="F434" s="3">
        <v>40046.0</v>
      </c>
      <c r="G434" s="1">
        <v>10105.0</v>
      </c>
    </row>
    <row r="435">
      <c r="A435" s="1" t="s">
        <v>1031</v>
      </c>
      <c r="B435" s="1" t="s">
        <v>511</v>
      </c>
      <c r="C435" s="1" t="s">
        <v>310</v>
      </c>
      <c r="D435" s="1">
        <v>22130.0</v>
      </c>
      <c r="E435" s="1" t="s">
        <v>717</v>
      </c>
      <c r="F435" s="3">
        <v>40046.0</v>
      </c>
      <c r="G435" s="1">
        <v>10106.0</v>
      </c>
    </row>
    <row r="436">
      <c r="A436" s="1" t="s">
        <v>1032</v>
      </c>
      <c r="B436" s="1" t="s">
        <v>1033</v>
      </c>
      <c r="C436" s="1" t="s">
        <v>78</v>
      </c>
      <c r="D436" s="1">
        <v>57702.0</v>
      </c>
      <c r="E436" s="1" t="s">
        <v>79</v>
      </c>
      <c r="F436" s="3">
        <v>40046.0</v>
      </c>
      <c r="G436" s="1">
        <v>10108.0</v>
      </c>
    </row>
    <row r="437">
      <c r="A437" s="1" t="s">
        <v>1034</v>
      </c>
      <c r="B437" s="1" t="s">
        <v>105</v>
      </c>
      <c r="C437" s="1" t="s">
        <v>78</v>
      </c>
      <c r="D437" s="1">
        <v>34682.0</v>
      </c>
      <c r="E437" s="1" t="s">
        <v>336</v>
      </c>
      <c r="F437" s="3">
        <v>40046.0</v>
      </c>
      <c r="G437" s="1">
        <v>10107.0</v>
      </c>
    </row>
    <row r="438">
      <c r="A438" s="1" t="s">
        <v>1035</v>
      </c>
      <c r="B438" s="1" t="s">
        <v>521</v>
      </c>
      <c r="C438" s="1" t="s">
        <v>193</v>
      </c>
      <c r="D438" s="1">
        <v>34043.0</v>
      </c>
      <c r="E438" s="1" t="s">
        <v>174</v>
      </c>
      <c r="F438" s="3">
        <v>40039.0</v>
      </c>
      <c r="G438" s="1">
        <v>10100.0</v>
      </c>
    </row>
    <row r="439">
      <c r="A439" s="1" t="s">
        <v>1036</v>
      </c>
      <c r="B439" s="1" t="s">
        <v>176</v>
      </c>
      <c r="C439" s="1" t="s">
        <v>177</v>
      </c>
      <c r="D439" s="1">
        <v>57645.0</v>
      </c>
      <c r="E439" s="1" t="s">
        <v>1037</v>
      </c>
      <c r="F439" s="3">
        <v>40039.0</v>
      </c>
      <c r="G439" s="1">
        <v>10101.0</v>
      </c>
    </row>
    <row r="440">
      <c r="A440" s="1" t="s">
        <v>1038</v>
      </c>
      <c r="B440" s="1" t="s">
        <v>1039</v>
      </c>
      <c r="C440" s="1" t="s">
        <v>177</v>
      </c>
      <c r="D440" s="1">
        <v>34485.0</v>
      </c>
      <c r="E440" s="1" t="s">
        <v>1037</v>
      </c>
      <c r="F440" s="3">
        <v>40039.0</v>
      </c>
      <c r="G440" s="1">
        <v>10102.0</v>
      </c>
    </row>
    <row r="441">
      <c r="A441" s="1" t="s">
        <v>1040</v>
      </c>
      <c r="B441" s="1" t="s">
        <v>1041</v>
      </c>
      <c r="C441" s="1" t="s">
        <v>310</v>
      </c>
      <c r="D441" s="1">
        <v>9609.0</v>
      </c>
      <c r="E441" s="1" t="s">
        <v>1042</v>
      </c>
      <c r="F441" s="3">
        <v>40039.0</v>
      </c>
      <c r="G441" s="1">
        <v>10103.0</v>
      </c>
    </row>
    <row r="442">
      <c r="A442" s="1" t="s">
        <v>1043</v>
      </c>
      <c r="B442" s="1" t="s">
        <v>1044</v>
      </c>
      <c r="C442" s="1" t="s">
        <v>82</v>
      </c>
      <c r="D442" s="1">
        <v>31559.0</v>
      </c>
      <c r="E442" s="1" t="s">
        <v>1045</v>
      </c>
      <c r="F442" s="3">
        <v>40039.0</v>
      </c>
      <c r="G442" s="1">
        <v>10104.0</v>
      </c>
    </row>
    <row r="443">
      <c r="A443" s="1" t="s">
        <v>795</v>
      </c>
      <c r="B443" s="1" t="s">
        <v>1046</v>
      </c>
      <c r="C443" s="1" t="s">
        <v>693</v>
      </c>
      <c r="D443" s="1">
        <v>23268.0</v>
      </c>
      <c r="E443" s="1" t="s">
        <v>694</v>
      </c>
      <c r="F443" s="3">
        <v>40032.0</v>
      </c>
      <c r="G443" s="1">
        <v>10092.0</v>
      </c>
    </row>
    <row r="444">
      <c r="A444" s="1" t="s">
        <v>1047</v>
      </c>
      <c r="B444" s="1" t="s">
        <v>1048</v>
      </c>
      <c r="C444" s="1" t="s">
        <v>21</v>
      </c>
      <c r="D444" s="1">
        <v>27183.0</v>
      </c>
      <c r="E444" s="1" t="s">
        <v>336</v>
      </c>
      <c r="F444" s="3">
        <v>40032.0</v>
      </c>
      <c r="G444" s="1">
        <v>10099.0</v>
      </c>
    </row>
    <row r="445">
      <c r="A445" s="1" t="s">
        <v>301</v>
      </c>
      <c r="B445" s="1" t="s">
        <v>457</v>
      </c>
      <c r="C445" s="1" t="s">
        <v>21</v>
      </c>
      <c r="D445" s="1">
        <v>27364.0</v>
      </c>
      <c r="E445" s="1" t="s">
        <v>336</v>
      </c>
      <c r="F445" s="3">
        <v>40032.0</v>
      </c>
      <c r="G445" s="1">
        <v>10098.0</v>
      </c>
    </row>
    <row r="446">
      <c r="A446" s="1" t="s">
        <v>1049</v>
      </c>
      <c r="B446" s="1" t="s">
        <v>1050</v>
      </c>
      <c r="C446" s="1" t="s">
        <v>49</v>
      </c>
      <c r="D446" s="1">
        <v>18659.0</v>
      </c>
      <c r="E446" s="1" t="s">
        <v>1051</v>
      </c>
      <c r="F446" s="3">
        <v>40025.0</v>
      </c>
      <c r="G446" s="1">
        <v>10094.0</v>
      </c>
    </row>
    <row r="447">
      <c r="A447" s="1" t="s">
        <v>1052</v>
      </c>
      <c r="B447" s="1" t="s">
        <v>1053</v>
      </c>
      <c r="C447" s="1" t="s">
        <v>33</v>
      </c>
      <c r="D447" s="1">
        <v>34270.0</v>
      </c>
      <c r="E447" s="1" t="s">
        <v>1054</v>
      </c>
      <c r="F447" s="3">
        <v>40025.0</v>
      </c>
      <c r="G447" s="1">
        <v>10097.0</v>
      </c>
    </row>
    <row r="448">
      <c r="A448" s="1" t="s">
        <v>1055</v>
      </c>
      <c r="B448" s="1" t="s">
        <v>1056</v>
      </c>
      <c r="C448" s="1" t="s">
        <v>37</v>
      </c>
      <c r="D448" s="1">
        <v>32288.0</v>
      </c>
      <c r="E448" s="1" t="s">
        <v>1006</v>
      </c>
      <c r="F448" s="3">
        <v>40025.0</v>
      </c>
      <c r="G448" s="1">
        <v>10096.0</v>
      </c>
    </row>
    <row r="449">
      <c r="A449" s="1" t="s">
        <v>1057</v>
      </c>
      <c r="B449" s="1" t="s">
        <v>1058</v>
      </c>
      <c r="C449" s="1" t="s">
        <v>21</v>
      </c>
      <c r="D449" s="1">
        <v>57604.0</v>
      </c>
      <c r="E449" s="1" t="s">
        <v>479</v>
      </c>
      <c r="F449" s="3">
        <v>40025.0</v>
      </c>
      <c r="G449" s="1">
        <v>10095.0</v>
      </c>
    </row>
    <row r="450">
      <c r="A450" s="1" t="s">
        <v>1059</v>
      </c>
      <c r="B450" s="1" t="s">
        <v>1060</v>
      </c>
      <c r="C450" s="1" t="s">
        <v>128</v>
      </c>
      <c r="D450" s="1">
        <v>9873.0</v>
      </c>
      <c r="E450" s="1" t="s">
        <v>1061</v>
      </c>
      <c r="F450" s="3">
        <v>40025.0</v>
      </c>
      <c r="G450" s="1">
        <v>10093.0</v>
      </c>
    </row>
    <row r="451">
      <c r="A451" s="1" t="s">
        <v>1062</v>
      </c>
      <c r="B451" s="1" t="s">
        <v>405</v>
      </c>
      <c r="C451" s="1" t="s">
        <v>78</v>
      </c>
      <c r="D451" s="1">
        <v>8486.0</v>
      </c>
      <c r="E451" s="1" t="s">
        <v>392</v>
      </c>
      <c r="F451" s="3">
        <v>40018.0</v>
      </c>
      <c r="G451" s="1">
        <v>10088.0</v>
      </c>
    </row>
    <row r="452">
      <c r="A452" s="1" t="s">
        <v>1063</v>
      </c>
      <c r="B452" s="1" t="s">
        <v>1064</v>
      </c>
      <c r="C452" s="1" t="s">
        <v>78</v>
      </c>
      <c r="D452" s="1">
        <v>27048.0</v>
      </c>
      <c r="E452" s="1" t="s">
        <v>392</v>
      </c>
      <c r="F452" s="3">
        <v>40018.0</v>
      </c>
      <c r="G452" s="1">
        <v>10087.0</v>
      </c>
    </row>
    <row r="453">
      <c r="A453" s="1" t="s">
        <v>1065</v>
      </c>
      <c r="B453" s="1" t="s">
        <v>489</v>
      </c>
      <c r="C453" s="1" t="s">
        <v>78</v>
      </c>
      <c r="D453" s="1">
        <v>27367.0</v>
      </c>
      <c r="E453" s="1" t="s">
        <v>392</v>
      </c>
      <c r="F453" s="3">
        <v>40018.0</v>
      </c>
      <c r="G453" s="1">
        <v>10085.0</v>
      </c>
    </row>
    <row r="454">
      <c r="A454" s="1" t="s">
        <v>1066</v>
      </c>
      <c r="B454" s="1" t="s">
        <v>276</v>
      </c>
      <c r="C454" s="1" t="s">
        <v>78</v>
      </c>
      <c r="D454" s="1">
        <v>57105.0</v>
      </c>
      <c r="E454" s="1" t="s">
        <v>392</v>
      </c>
      <c r="F454" s="3">
        <v>40018.0</v>
      </c>
      <c r="G454" s="1">
        <v>10090.0</v>
      </c>
    </row>
    <row r="455">
      <c r="A455" s="1" t="s">
        <v>1067</v>
      </c>
      <c r="B455" s="1" t="s">
        <v>1068</v>
      </c>
      <c r="C455" s="1" t="s">
        <v>78</v>
      </c>
      <c r="D455" s="1">
        <v>57430.0</v>
      </c>
      <c r="E455" s="1" t="s">
        <v>392</v>
      </c>
      <c r="F455" s="3">
        <v>40018.0</v>
      </c>
      <c r="G455" s="1">
        <v>10089.0</v>
      </c>
    </row>
    <row r="456">
      <c r="A456" s="1" t="s">
        <v>1069</v>
      </c>
      <c r="B456" s="1" t="s">
        <v>1070</v>
      </c>
      <c r="C456" s="1" t="s">
        <v>78</v>
      </c>
      <c r="D456" s="1">
        <v>57346.0</v>
      </c>
      <c r="E456" s="1" t="s">
        <v>392</v>
      </c>
      <c r="F456" s="3">
        <v>40018.0</v>
      </c>
      <c r="G456" s="1">
        <v>10086.0</v>
      </c>
    </row>
    <row r="457">
      <c r="A457" s="1" t="s">
        <v>1071</v>
      </c>
      <c r="B457" s="1" t="s">
        <v>1072</v>
      </c>
      <c r="C457" s="1" t="s">
        <v>9</v>
      </c>
      <c r="D457" s="1">
        <v>58065.0</v>
      </c>
      <c r="E457" s="1" t="s">
        <v>1073</v>
      </c>
      <c r="F457" s="3">
        <v>40018.0</v>
      </c>
      <c r="G457" s="1">
        <v>10091.0</v>
      </c>
    </row>
    <row r="458">
      <c r="A458" s="1" t="s">
        <v>1074</v>
      </c>
      <c r="B458" s="1" t="s">
        <v>1075</v>
      </c>
      <c r="C458" s="1" t="s">
        <v>13</v>
      </c>
      <c r="D458" s="1">
        <v>34341.0</v>
      </c>
      <c r="E458" s="1" t="s">
        <v>59</v>
      </c>
      <c r="F458" s="3">
        <v>40011.0</v>
      </c>
      <c r="G458" s="1">
        <v>10082.0</v>
      </c>
    </row>
    <row r="459">
      <c r="A459" s="1" t="s">
        <v>1076</v>
      </c>
      <c r="B459" s="1" t="s">
        <v>1077</v>
      </c>
      <c r="C459" s="1" t="s">
        <v>13</v>
      </c>
      <c r="D459" s="1">
        <v>23556.0</v>
      </c>
      <c r="E459" s="1" t="s">
        <v>1078</v>
      </c>
      <c r="F459" s="3">
        <v>40011.0</v>
      </c>
      <c r="G459" s="1">
        <v>10083.0</v>
      </c>
    </row>
    <row r="460">
      <c r="A460" s="1" t="s">
        <v>1079</v>
      </c>
      <c r="B460" s="1" t="s">
        <v>1080</v>
      </c>
      <c r="C460" s="1" t="s">
        <v>1081</v>
      </c>
      <c r="D460" s="1">
        <v>34103.0</v>
      </c>
      <c r="E460" s="1" t="s">
        <v>964</v>
      </c>
      <c r="F460" s="3">
        <v>40011.0</v>
      </c>
      <c r="G460" s="1">
        <v>10081.0</v>
      </c>
    </row>
    <row r="461">
      <c r="A461" s="1" t="s">
        <v>1082</v>
      </c>
      <c r="B461" s="1" t="s">
        <v>659</v>
      </c>
      <c r="C461" s="1" t="s">
        <v>78</v>
      </c>
      <c r="D461" s="1">
        <v>34594.0</v>
      </c>
      <c r="E461" s="1" t="s">
        <v>476</v>
      </c>
      <c r="F461" s="3">
        <v>40011.0</v>
      </c>
      <c r="G461" s="1">
        <v>10084.0</v>
      </c>
    </row>
    <row r="462">
      <c r="A462" s="1" t="s">
        <v>1083</v>
      </c>
      <c r="B462" s="1" t="s">
        <v>1084</v>
      </c>
      <c r="C462" s="1" t="s">
        <v>1085</v>
      </c>
      <c r="D462" s="1">
        <v>22754.0</v>
      </c>
      <c r="E462" s="1" t="s">
        <v>1086</v>
      </c>
      <c r="F462" s="3">
        <v>40004.0</v>
      </c>
      <c r="G462" s="1">
        <v>10080.0</v>
      </c>
    </row>
    <row r="463">
      <c r="A463" s="1" t="s">
        <v>1087</v>
      </c>
      <c r="B463" s="1" t="s">
        <v>1088</v>
      </c>
      <c r="C463" s="1" t="s">
        <v>49</v>
      </c>
      <c r="D463" s="1">
        <v>18390.0</v>
      </c>
      <c r="E463" s="1" t="s">
        <v>1089</v>
      </c>
      <c r="F463" s="3">
        <v>39996.0</v>
      </c>
      <c r="G463" s="1">
        <v>10074.0</v>
      </c>
    </row>
    <row r="464">
      <c r="A464" s="1" t="s">
        <v>1090</v>
      </c>
      <c r="B464" s="1" t="s">
        <v>499</v>
      </c>
      <c r="C464" s="1" t="s">
        <v>45</v>
      </c>
      <c r="D464" s="1">
        <v>57667.0</v>
      </c>
      <c r="E464" s="1" t="s">
        <v>69</v>
      </c>
      <c r="F464" s="3">
        <v>39996.0</v>
      </c>
      <c r="G464" s="1">
        <v>10079.0</v>
      </c>
    </row>
    <row r="465">
      <c r="A465" s="1" t="s">
        <v>1091</v>
      </c>
      <c r="B465" s="1" t="s">
        <v>1092</v>
      </c>
      <c r="C465" s="1" t="s">
        <v>49</v>
      </c>
      <c r="D465" s="1">
        <v>3644.0</v>
      </c>
      <c r="E465" s="1" t="s">
        <v>1006</v>
      </c>
      <c r="F465" s="3">
        <v>39996.0</v>
      </c>
      <c r="G465" s="1">
        <v>10078.0</v>
      </c>
    </row>
    <row r="466">
      <c r="A466" s="1" t="s">
        <v>1093</v>
      </c>
      <c r="B466" s="1" t="s">
        <v>1053</v>
      </c>
      <c r="C466" s="1" t="s">
        <v>49</v>
      </c>
      <c r="D466" s="1">
        <v>9262.0</v>
      </c>
      <c r="E466" s="1" t="s">
        <v>1094</v>
      </c>
      <c r="F466" s="3">
        <v>39996.0</v>
      </c>
      <c r="G466" s="1">
        <v>10073.0</v>
      </c>
    </row>
    <row r="467">
      <c r="A467" s="1" t="s">
        <v>1095</v>
      </c>
      <c r="B467" s="1" t="s">
        <v>1096</v>
      </c>
      <c r="C467" s="1" t="s">
        <v>49</v>
      </c>
      <c r="D467" s="1">
        <v>15302.0</v>
      </c>
      <c r="E467" s="1" t="s">
        <v>1097</v>
      </c>
      <c r="F467" s="3">
        <v>39996.0</v>
      </c>
      <c r="G467" s="1">
        <v>10075.0</v>
      </c>
    </row>
    <row r="468">
      <c r="A468" s="1" t="s">
        <v>1098</v>
      </c>
      <c r="B468" s="1" t="s">
        <v>1099</v>
      </c>
      <c r="C468" s="1" t="s">
        <v>49</v>
      </c>
      <c r="D468" s="1">
        <v>11710.0</v>
      </c>
      <c r="E468" s="1" t="s">
        <v>1100</v>
      </c>
      <c r="F468" s="3">
        <v>39996.0</v>
      </c>
      <c r="G468" s="1">
        <v>10077.0</v>
      </c>
    </row>
    <row r="469">
      <c r="A469" s="1" t="s">
        <v>1101</v>
      </c>
      <c r="B469" s="1" t="s">
        <v>1102</v>
      </c>
      <c r="C469" s="1" t="s">
        <v>49</v>
      </c>
      <c r="D469" s="1">
        <v>12093.0</v>
      </c>
      <c r="E469" s="1" t="s">
        <v>1103</v>
      </c>
      <c r="F469" s="3">
        <v>39996.0</v>
      </c>
      <c r="G469" s="1">
        <v>10076.0</v>
      </c>
    </row>
    <row r="470">
      <c r="A470" s="1" t="s">
        <v>1104</v>
      </c>
      <c r="B470" s="1" t="s">
        <v>898</v>
      </c>
      <c r="C470" s="1" t="s">
        <v>13</v>
      </c>
      <c r="D470" s="1">
        <v>57332.0</v>
      </c>
      <c r="E470" s="1" t="s">
        <v>1105</v>
      </c>
      <c r="F470" s="3">
        <v>39990.0</v>
      </c>
      <c r="G470" s="1">
        <v>10072.0</v>
      </c>
    </row>
    <row r="471">
      <c r="A471" s="1" t="s">
        <v>1106</v>
      </c>
      <c r="B471" s="1" t="s">
        <v>1107</v>
      </c>
      <c r="C471" s="1" t="s">
        <v>13</v>
      </c>
      <c r="D471" s="1">
        <v>57893.0</v>
      </c>
      <c r="E471" s="1" t="s">
        <v>156</v>
      </c>
      <c r="F471" s="3">
        <v>39990.0</v>
      </c>
      <c r="G471" s="1">
        <v>10071.0</v>
      </c>
    </row>
    <row r="472">
      <c r="A472" s="1" t="s">
        <v>666</v>
      </c>
      <c r="B472" s="1" t="s">
        <v>1108</v>
      </c>
      <c r="C472" s="1" t="s">
        <v>111</v>
      </c>
      <c r="D472" s="1">
        <v>9744.0</v>
      </c>
      <c r="E472" s="1" t="s">
        <v>336</v>
      </c>
      <c r="F472" s="3">
        <v>39990.0</v>
      </c>
      <c r="G472" s="1">
        <v>10070.0</v>
      </c>
    </row>
    <row r="473">
      <c r="A473" s="1" t="s">
        <v>1109</v>
      </c>
      <c r="B473" s="1" t="s">
        <v>1033</v>
      </c>
      <c r="C473" s="1" t="s">
        <v>78</v>
      </c>
      <c r="D473" s="1">
        <v>35285.0</v>
      </c>
      <c r="E473" s="1" t="s">
        <v>422</v>
      </c>
      <c r="F473" s="3">
        <v>39990.0</v>
      </c>
      <c r="G473" s="1">
        <v>10069.0</v>
      </c>
    </row>
    <row r="474">
      <c r="A474" s="1" t="s">
        <v>1110</v>
      </c>
      <c r="B474" s="1" t="s">
        <v>1111</v>
      </c>
      <c r="C474" s="1" t="s">
        <v>78</v>
      </c>
      <c r="D474" s="1">
        <v>57436.0</v>
      </c>
      <c r="E474" s="1" t="s">
        <v>174</v>
      </c>
      <c r="F474" s="3">
        <v>39990.0</v>
      </c>
      <c r="G474" s="1">
        <v>10068.0</v>
      </c>
    </row>
    <row r="475">
      <c r="A475" s="1" t="s">
        <v>1112</v>
      </c>
      <c r="B475" s="1" t="s">
        <v>1113</v>
      </c>
      <c r="C475" s="1" t="s">
        <v>17</v>
      </c>
      <c r="D475" s="1">
        <v>4614.0</v>
      </c>
      <c r="E475" s="1" t="s">
        <v>1114</v>
      </c>
      <c r="F475" s="3">
        <v>39983.0</v>
      </c>
      <c r="G475" s="1">
        <v>10066.0</v>
      </c>
    </row>
    <row r="476">
      <c r="A476" s="1" t="s">
        <v>1115</v>
      </c>
      <c r="B476" s="1" t="s">
        <v>1116</v>
      </c>
      <c r="C476" s="1" t="s">
        <v>206</v>
      </c>
      <c r="D476" s="1">
        <v>27837.0</v>
      </c>
      <c r="E476" s="1" t="s">
        <v>572</v>
      </c>
      <c r="F476" s="3">
        <v>39983.0</v>
      </c>
      <c r="G476" s="1">
        <v>10065.0</v>
      </c>
    </row>
    <row r="477">
      <c r="A477" s="1" t="s">
        <v>1117</v>
      </c>
      <c r="B477" s="1" t="s">
        <v>1118</v>
      </c>
      <c r="C477" s="1" t="s">
        <v>78</v>
      </c>
      <c r="D477" s="1">
        <v>35251.0</v>
      </c>
      <c r="E477" s="1" t="s">
        <v>1119</v>
      </c>
      <c r="F477" s="3">
        <v>39983.0</v>
      </c>
      <c r="G477" s="1">
        <v>10067.0</v>
      </c>
    </row>
    <row r="478">
      <c r="A478" s="1" t="s">
        <v>1120</v>
      </c>
      <c r="B478" s="1" t="s">
        <v>1121</v>
      </c>
      <c r="C478" s="1" t="s">
        <v>49</v>
      </c>
      <c r="D478" s="1">
        <v>17309.0</v>
      </c>
      <c r="E478" s="1" t="s">
        <v>99</v>
      </c>
      <c r="F478" s="3">
        <v>39969.0</v>
      </c>
      <c r="G478" s="1">
        <v>10064.0</v>
      </c>
    </row>
    <row r="479">
      <c r="A479" s="1" t="s">
        <v>974</v>
      </c>
      <c r="B479" s="1" t="s">
        <v>1122</v>
      </c>
      <c r="C479" s="1" t="s">
        <v>49</v>
      </c>
      <c r="D479" s="1">
        <v>5757.0</v>
      </c>
      <c r="E479" s="1" t="s">
        <v>1123</v>
      </c>
      <c r="F479" s="3">
        <v>39955.0</v>
      </c>
      <c r="G479" s="1">
        <v>10063.0</v>
      </c>
    </row>
    <row r="480">
      <c r="A480" s="1" t="s">
        <v>1124</v>
      </c>
      <c r="B480" s="1" t="s">
        <v>1125</v>
      </c>
      <c r="C480" s="1" t="s">
        <v>49</v>
      </c>
      <c r="D480" s="1">
        <v>35175.0</v>
      </c>
      <c r="E480" s="1" t="s">
        <v>641</v>
      </c>
      <c r="F480" s="3">
        <v>39955.0</v>
      </c>
      <c r="G480" s="1">
        <v>10062.0</v>
      </c>
    </row>
    <row r="481">
      <c r="A481" s="1" t="s">
        <v>1126</v>
      </c>
      <c r="B481" s="1" t="s">
        <v>594</v>
      </c>
      <c r="C481" s="1" t="s">
        <v>21</v>
      </c>
      <c r="D481" s="1">
        <v>32247.0</v>
      </c>
      <c r="E481" s="1" t="s">
        <v>1127</v>
      </c>
      <c r="F481" s="3">
        <v>39954.0</v>
      </c>
      <c r="G481" s="1">
        <v>10061.0</v>
      </c>
    </row>
    <row r="482">
      <c r="A482" s="1" t="s">
        <v>1128</v>
      </c>
      <c r="B482" s="1" t="s">
        <v>1129</v>
      </c>
      <c r="C482" s="1" t="s">
        <v>90</v>
      </c>
      <c r="D482" s="1">
        <v>34843.0</v>
      </c>
      <c r="E482" s="1" t="s">
        <v>1130</v>
      </c>
      <c r="F482" s="3">
        <v>39941.0</v>
      </c>
      <c r="G482" s="1">
        <v>10060.0</v>
      </c>
    </row>
    <row r="483">
      <c r="A483" s="1" t="s">
        <v>1131</v>
      </c>
      <c r="B483" s="1" t="s">
        <v>1132</v>
      </c>
      <c r="C483" s="1" t="s">
        <v>66</v>
      </c>
      <c r="D483" s="1">
        <v>35461.0</v>
      </c>
      <c r="E483" s="1" t="s">
        <v>67</v>
      </c>
      <c r="F483" s="3">
        <v>39934.0</v>
      </c>
      <c r="G483" s="1">
        <v>10057.0</v>
      </c>
    </row>
    <row r="484">
      <c r="A484" s="1" t="s">
        <v>1133</v>
      </c>
      <c r="B484" s="1" t="s">
        <v>1134</v>
      </c>
      <c r="C484" s="1" t="s">
        <v>33</v>
      </c>
      <c r="D484" s="1">
        <v>57563.0</v>
      </c>
      <c r="E484" s="1" t="s">
        <v>1135</v>
      </c>
      <c r="F484" s="3">
        <v>39934.0</v>
      </c>
      <c r="G484" s="1">
        <v>10058.0</v>
      </c>
    </row>
    <row r="485">
      <c r="A485" s="1" t="s">
        <v>1136</v>
      </c>
      <c r="B485" s="1" t="s">
        <v>105</v>
      </c>
      <c r="C485" s="1" t="s">
        <v>78</v>
      </c>
      <c r="D485" s="1">
        <v>26535.0</v>
      </c>
      <c r="E485" s="1" t="s">
        <v>174</v>
      </c>
      <c r="F485" s="3">
        <v>39934.0</v>
      </c>
      <c r="G485" s="1">
        <v>10059.0</v>
      </c>
    </row>
    <row r="486">
      <c r="A486" s="1" t="s">
        <v>1137</v>
      </c>
      <c r="B486" s="1" t="s">
        <v>1138</v>
      </c>
      <c r="C486" s="1" t="s">
        <v>155</v>
      </c>
      <c r="D486" s="1">
        <v>34396.0</v>
      </c>
      <c r="E486" s="1" t="s">
        <v>354</v>
      </c>
      <c r="F486" s="3">
        <v>39927.0</v>
      </c>
      <c r="G486" s="1">
        <v>10055.0</v>
      </c>
    </row>
    <row r="487">
      <c r="A487" s="1" t="s">
        <v>1139</v>
      </c>
      <c r="B487" s="1" t="s">
        <v>1140</v>
      </c>
      <c r="C487" s="1" t="s">
        <v>13</v>
      </c>
      <c r="D487" s="1">
        <v>32069.0</v>
      </c>
      <c r="E487" s="1" t="s">
        <v>174</v>
      </c>
      <c r="F487" s="3">
        <v>39927.0</v>
      </c>
      <c r="G487" s="1">
        <v>10054.0</v>
      </c>
    </row>
    <row r="488">
      <c r="A488" s="1" t="s">
        <v>1141</v>
      </c>
      <c r="B488" s="1" t="s">
        <v>599</v>
      </c>
      <c r="C488" s="1" t="s">
        <v>330</v>
      </c>
      <c r="D488" s="1">
        <v>34369.0</v>
      </c>
      <c r="E488" s="1" t="s">
        <v>600</v>
      </c>
      <c r="F488" s="3">
        <v>39927.0</v>
      </c>
      <c r="G488" s="1">
        <v>10056.0</v>
      </c>
    </row>
    <row r="489">
      <c r="A489" s="1" t="s">
        <v>1142</v>
      </c>
      <c r="B489" s="1" t="s">
        <v>1143</v>
      </c>
      <c r="C489" s="1" t="s">
        <v>78</v>
      </c>
      <c r="D489" s="1">
        <v>57943.0</v>
      </c>
      <c r="E489" s="1" t="s">
        <v>1144</v>
      </c>
      <c r="F489" s="3">
        <v>39927.0</v>
      </c>
      <c r="G489" s="1">
        <v>10053.0</v>
      </c>
    </row>
    <row r="490">
      <c r="A490" s="1" t="s">
        <v>1145</v>
      </c>
      <c r="B490" s="1" t="s">
        <v>1146</v>
      </c>
      <c r="C490" s="1" t="s">
        <v>193</v>
      </c>
      <c r="D490" s="1">
        <v>33824.0</v>
      </c>
      <c r="E490" s="1" t="s">
        <v>1147</v>
      </c>
      <c r="F490" s="3">
        <v>39920.0</v>
      </c>
      <c r="G490" s="1">
        <v>10051.0</v>
      </c>
    </row>
    <row r="491">
      <c r="A491" s="1" t="s">
        <v>1148</v>
      </c>
      <c r="B491" s="1" t="s">
        <v>1149</v>
      </c>
      <c r="C491" s="1" t="s">
        <v>237</v>
      </c>
      <c r="D491" s="1">
        <v>8266.0</v>
      </c>
      <c r="E491" s="1" t="s">
        <v>274</v>
      </c>
      <c r="F491" s="3">
        <v>39920.0</v>
      </c>
      <c r="G491" s="1">
        <v>10052.0</v>
      </c>
    </row>
    <row r="492">
      <c r="A492" s="1" t="s">
        <v>1150</v>
      </c>
      <c r="B492" s="1" t="s">
        <v>455</v>
      </c>
      <c r="C492" s="1" t="s">
        <v>97</v>
      </c>
      <c r="D492" s="1">
        <v>34881.0</v>
      </c>
      <c r="E492" s="1" t="s">
        <v>174</v>
      </c>
      <c r="F492" s="3">
        <v>39913.0</v>
      </c>
      <c r="G492" s="1">
        <v>10050.0</v>
      </c>
    </row>
    <row r="493">
      <c r="A493" s="1" t="s">
        <v>1151</v>
      </c>
      <c r="B493" s="1" t="s">
        <v>1116</v>
      </c>
      <c r="C493" s="1" t="s">
        <v>206</v>
      </c>
      <c r="D493" s="1">
        <v>34639.0</v>
      </c>
      <c r="E493" s="1" t="s">
        <v>1152</v>
      </c>
      <c r="F493" s="3">
        <v>39913.0</v>
      </c>
      <c r="G493" s="1">
        <v>10049.0</v>
      </c>
    </row>
    <row r="494">
      <c r="A494" s="1" t="s">
        <v>1153</v>
      </c>
      <c r="B494" s="1" t="s">
        <v>105</v>
      </c>
      <c r="C494" s="1" t="s">
        <v>78</v>
      </c>
      <c r="D494" s="1">
        <v>22238.0</v>
      </c>
      <c r="E494" s="1" t="s">
        <v>174</v>
      </c>
      <c r="F494" s="3">
        <v>39899.0</v>
      </c>
      <c r="G494" s="1">
        <v>10048.0</v>
      </c>
    </row>
    <row r="495">
      <c r="A495" s="1" t="s">
        <v>1154</v>
      </c>
      <c r="B495" s="1" t="s">
        <v>1155</v>
      </c>
      <c r="C495" s="1" t="s">
        <v>17</v>
      </c>
      <c r="D495" s="1">
        <v>4754.0</v>
      </c>
      <c r="E495" s="1" t="s">
        <v>134</v>
      </c>
      <c r="F495" s="3">
        <v>39892.0</v>
      </c>
      <c r="G495" s="1">
        <v>10046.0</v>
      </c>
    </row>
    <row r="496">
      <c r="A496" s="1" t="s">
        <v>1156</v>
      </c>
      <c r="B496" s="1" t="s">
        <v>1157</v>
      </c>
      <c r="C496" s="1" t="s">
        <v>97</v>
      </c>
      <c r="D496" s="1">
        <v>18896.0</v>
      </c>
      <c r="E496" s="1" t="s">
        <v>1061</v>
      </c>
      <c r="F496" s="3">
        <v>39892.0</v>
      </c>
      <c r="G496" s="1">
        <v>10045.0</v>
      </c>
    </row>
    <row r="497">
      <c r="A497" s="1" t="s">
        <v>1158</v>
      </c>
      <c r="B497" s="1" t="s">
        <v>365</v>
      </c>
      <c r="C497" s="1" t="s">
        <v>78</v>
      </c>
      <c r="D497" s="1">
        <v>18243.0</v>
      </c>
      <c r="E497" s="1" t="s">
        <v>174</v>
      </c>
      <c r="F497" s="3">
        <v>39892.0</v>
      </c>
      <c r="G497" s="1">
        <v>10047.0</v>
      </c>
    </row>
    <row r="498">
      <c r="A498" s="1" t="s">
        <v>1159</v>
      </c>
      <c r="B498" s="1" t="s">
        <v>1160</v>
      </c>
      <c r="C498" s="1" t="s">
        <v>78</v>
      </c>
      <c r="D498" s="1">
        <v>57558.0</v>
      </c>
      <c r="E498" s="1" t="s">
        <v>1161</v>
      </c>
      <c r="F498" s="3">
        <v>39878.0</v>
      </c>
      <c r="G498" s="1">
        <v>10044.0</v>
      </c>
    </row>
    <row r="499">
      <c r="A499" s="1" t="s">
        <v>1162</v>
      </c>
      <c r="B499" s="1" t="s">
        <v>1163</v>
      </c>
      <c r="C499" s="1" t="s">
        <v>193</v>
      </c>
      <c r="D499" s="1">
        <v>34820.0</v>
      </c>
      <c r="E499" s="1" t="s">
        <v>1164</v>
      </c>
      <c r="F499" s="3">
        <v>39871.0</v>
      </c>
      <c r="G499" s="1">
        <v>10043.0</v>
      </c>
    </row>
    <row r="500">
      <c r="A500" s="1" t="s">
        <v>1165</v>
      </c>
      <c r="B500" s="1" t="s">
        <v>1166</v>
      </c>
      <c r="C500" s="1" t="s">
        <v>49</v>
      </c>
      <c r="D500" s="1">
        <v>20078.0</v>
      </c>
      <c r="E500" s="1" t="s">
        <v>814</v>
      </c>
      <c r="F500" s="3">
        <v>39871.0</v>
      </c>
      <c r="G500" s="1">
        <v>10042.0</v>
      </c>
    </row>
    <row r="501">
      <c r="A501" s="1" t="s">
        <v>1167</v>
      </c>
      <c r="B501" s="1" t="s">
        <v>1168</v>
      </c>
      <c r="C501" s="1" t="s">
        <v>693</v>
      </c>
      <c r="D501" s="1">
        <v>35399.0</v>
      </c>
      <c r="E501" s="1" t="s">
        <v>1169</v>
      </c>
      <c r="F501" s="3">
        <v>39864.0</v>
      </c>
      <c r="G501" s="1">
        <v>10041.0</v>
      </c>
    </row>
    <row r="502">
      <c r="A502" s="1" t="s">
        <v>1170</v>
      </c>
      <c r="B502" s="1" t="s">
        <v>1171</v>
      </c>
      <c r="C502" s="1" t="s">
        <v>693</v>
      </c>
      <c r="D502" s="1">
        <v>57342.0</v>
      </c>
      <c r="E502" s="1" t="s">
        <v>1172</v>
      </c>
      <c r="F502" s="3">
        <v>39857.0</v>
      </c>
      <c r="G502" s="1">
        <v>10040.0</v>
      </c>
    </row>
    <row r="503">
      <c r="A503" s="1" t="s">
        <v>1173</v>
      </c>
      <c r="B503" s="1" t="s">
        <v>1174</v>
      </c>
      <c r="C503" s="1" t="s">
        <v>49</v>
      </c>
      <c r="D503" s="1">
        <v>16500.0</v>
      </c>
      <c r="E503" s="1" t="s">
        <v>1175</v>
      </c>
      <c r="F503" s="3">
        <v>39857.0</v>
      </c>
      <c r="G503" s="1">
        <v>10037.0</v>
      </c>
    </row>
    <row r="504">
      <c r="A504" s="1" t="s">
        <v>1176</v>
      </c>
      <c r="B504" s="1" t="s">
        <v>1177</v>
      </c>
      <c r="C504" s="1" t="s">
        <v>21</v>
      </c>
      <c r="D504" s="1">
        <v>34563.0</v>
      </c>
      <c r="E504" s="1" t="s">
        <v>1178</v>
      </c>
      <c r="F504" s="3">
        <v>39857.0</v>
      </c>
      <c r="G504" s="1">
        <v>10038.0</v>
      </c>
    </row>
    <row r="505">
      <c r="A505" s="1" t="s">
        <v>1179</v>
      </c>
      <c r="B505" s="1" t="s">
        <v>1180</v>
      </c>
      <c r="C505" s="1" t="s">
        <v>29</v>
      </c>
      <c r="D505" s="1">
        <v>5431.0</v>
      </c>
      <c r="E505" s="1" t="s">
        <v>617</v>
      </c>
      <c r="F505" s="3">
        <v>39857.0</v>
      </c>
      <c r="G505" s="1">
        <v>10039.0</v>
      </c>
    </row>
    <row r="506">
      <c r="A506" s="1" t="s">
        <v>1181</v>
      </c>
      <c r="B506" s="1" t="s">
        <v>1182</v>
      </c>
      <c r="C506" s="1" t="s">
        <v>13</v>
      </c>
      <c r="D506" s="1">
        <v>22574.0</v>
      </c>
      <c r="E506" s="1" t="s">
        <v>670</v>
      </c>
      <c r="F506" s="3">
        <v>39850.0</v>
      </c>
      <c r="G506" s="1">
        <v>10034.0</v>
      </c>
    </row>
    <row r="507">
      <c r="A507" s="1" t="s">
        <v>1183</v>
      </c>
      <c r="B507" s="1" t="s">
        <v>1184</v>
      </c>
      <c r="C507" s="1" t="s">
        <v>13</v>
      </c>
      <c r="D507" s="1">
        <v>23124.0</v>
      </c>
      <c r="E507" s="1" t="s">
        <v>1078</v>
      </c>
      <c r="F507" s="3">
        <v>39850.0</v>
      </c>
      <c r="G507" s="1">
        <v>10035.0</v>
      </c>
    </row>
    <row r="508">
      <c r="A508" s="1" t="s">
        <v>1185</v>
      </c>
      <c r="B508" s="1" t="s">
        <v>576</v>
      </c>
      <c r="C508" s="1" t="s">
        <v>78</v>
      </c>
      <c r="D508" s="1">
        <v>57017.0</v>
      </c>
      <c r="E508" s="1" t="s">
        <v>1186</v>
      </c>
      <c r="F508" s="3">
        <v>39850.0</v>
      </c>
      <c r="G508" s="1">
        <v>10036.0</v>
      </c>
    </row>
    <row r="509">
      <c r="A509" s="1" t="s">
        <v>1187</v>
      </c>
      <c r="B509" s="1" t="s">
        <v>685</v>
      </c>
      <c r="C509" s="1" t="s">
        <v>21</v>
      </c>
      <c r="D509" s="1">
        <v>26538.0</v>
      </c>
      <c r="E509" s="1" t="s">
        <v>362</v>
      </c>
      <c r="F509" s="3">
        <v>39843.0</v>
      </c>
      <c r="G509" s="1">
        <v>10032.0</v>
      </c>
    </row>
    <row r="510">
      <c r="A510" s="1" t="s">
        <v>1188</v>
      </c>
      <c r="B510" s="1" t="s">
        <v>1189</v>
      </c>
      <c r="C510" s="1" t="s">
        <v>119</v>
      </c>
      <c r="D510" s="1">
        <v>30763.0</v>
      </c>
      <c r="E510" s="1" t="s">
        <v>1190</v>
      </c>
      <c r="F510" s="3">
        <v>39843.0</v>
      </c>
      <c r="G510" s="1">
        <v>10033.0</v>
      </c>
    </row>
    <row r="511">
      <c r="A511" s="1" t="s">
        <v>1191</v>
      </c>
      <c r="B511" s="1" t="s">
        <v>1192</v>
      </c>
      <c r="C511" s="1" t="s">
        <v>66</v>
      </c>
      <c r="D511" s="1">
        <v>58001.0</v>
      </c>
      <c r="E511" s="1" t="s">
        <v>174</v>
      </c>
      <c r="F511" s="3">
        <v>39843.0</v>
      </c>
      <c r="G511" s="1">
        <v>10031.0</v>
      </c>
    </row>
    <row r="512">
      <c r="A512" s="1" t="s">
        <v>1193</v>
      </c>
      <c r="B512" s="1" t="s">
        <v>1194</v>
      </c>
      <c r="C512" s="1" t="s">
        <v>13</v>
      </c>
      <c r="D512" s="1">
        <v>33025.0</v>
      </c>
      <c r="E512" s="1" t="s">
        <v>536</v>
      </c>
      <c r="F512" s="3">
        <v>39836.0</v>
      </c>
      <c r="G512" s="1">
        <v>10030.0</v>
      </c>
    </row>
    <row r="513">
      <c r="A513" s="1" t="s">
        <v>1195</v>
      </c>
      <c r="B513" s="1" t="s">
        <v>1196</v>
      </c>
      <c r="C513" s="1" t="s">
        <v>90</v>
      </c>
      <c r="D513" s="1">
        <v>34959.0</v>
      </c>
      <c r="E513" s="1" t="s">
        <v>751</v>
      </c>
      <c r="F513" s="3">
        <v>39829.0</v>
      </c>
      <c r="G513" s="1">
        <v>10029.0</v>
      </c>
    </row>
    <row r="514">
      <c r="A514" s="1" t="s">
        <v>1197</v>
      </c>
      <c r="B514" s="1" t="s">
        <v>1198</v>
      </c>
      <c r="C514" s="1" t="s">
        <v>49</v>
      </c>
      <c r="D514" s="1">
        <v>19733.0</v>
      </c>
      <c r="E514" s="1" t="s">
        <v>99</v>
      </c>
      <c r="F514" s="3">
        <v>39829.0</v>
      </c>
      <c r="G514" s="1">
        <v>10028.0</v>
      </c>
    </row>
    <row r="515">
      <c r="A515" s="1" t="s">
        <v>1199</v>
      </c>
      <c r="B515" s="1" t="s">
        <v>1200</v>
      </c>
      <c r="C515" s="1" t="s">
        <v>45</v>
      </c>
      <c r="D515" s="1">
        <v>11568.0</v>
      </c>
      <c r="E515" s="1" t="s">
        <v>1201</v>
      </c>
      <c r="F515" s="3">
        <v>39794.0</v>
      </c>
      <c r="G515" s="1">
        <v>10026.0</v>
      </c>
    </row>
    <row r="516">
      <c r="A516" s="1" t="s">
        <v>1202</v>
      </c>
      <c r="B516" s="1" t="s">
        <v>860</v>
      </c>
      <c r="C516" s="1" t="s">
        <v>78</v>
      </c>
      <c r="D516" s="1">
        <v>35379.0</v>
      </c>
      <c r="E516" s="1" t="s">
        <v>1042</v>
      </c>
      <c r="F516" s="3">
        <v>39794.0</v>
      </c>
      <c r="G516" s="1">
        <v>10027.0</v>
      </c>
    </row>
    <row r="517">
      <c r="A517" s="1" t="s">
        <v>1203</v>
      </c>
      <c r="B517" s="1" t="s">
        <v>481</v>
      </c>
      <c r="C517" s="1" t="s">
        <v>78</v>
      </c>
      <c r="D517" s="1">
        <v>34301.0</v>
      </c>
      <c r="E517" s="1" t="s">
        <v>79</v>
      </c>
      <c r="F517" s="3">
        <v>39787.0</v>
      </c>
      <c r="G517" s="1">
        <v>10025.0</v>
      </c>
    </row>
    <row r="518">
      <c r="A518" s="1" t="s">
        <v>1204</v>
      </c>
      <c r="B518" s="1" t="s">
        <v>1205</v>
      </c>
      <c r="C518" s="1" t="s">
        <v>13</v>
      </c>
      <c r="D518" s="1">
        <v>28344.0</v>
      </c>
      <c r="E518" s="1" t="s">
        <v>354</v>
      </c>
      <c r="F518" s="3">
        <v>39773.0</v>
      </c>
      <c r="G518" s="1">
        <v>10024.0</v>
      </c>
    </row>
    <row r="519">
      <c r="A519" s="1" t="s">
        <v>1206</v>
      </c>
      <c r="B519" s="1" t="s">
        <v>1207</v>
      </c>
      <c r="C519" s="1" t="s">
        <v>13</v>
      </c>
      <c r="D519" s="1">
        <v>30968.0</v>
      </c>
      <c r="E519" s="1" t="s">
        <v>354</v>
      </c>
      <c r="F519" s="3">
        <v>39773.0</v>
      </c>
      <c r="G519" s="1">
        <v>10023.0</v>
      </c>
    </row>
    <row r="520">
      <c r="A520" s="1" t="s">
        <v>1208</v>
      </c>
      <c r="B520" s="1" t="s">
        <v>1209</v>
      </c>
      <c r="C520" s="1" t="s">
        <v>78</v>
      </c>
      <c r="D520" s="1">
        <v>16490.0</v>
      </c>
      <c r="E520" s="1" t="s">
        <v>1190</v>
      </c>
      <c r="F520" s="3">
        <v>39773.0</v>
      </c>
      <c r="G520" s="1">
        <v>10022.0</v>
      </c>
    </row>
    <row r="521">
      <c r="A521" s="1" t="s">
        <v>1210</v>
      </c>
      <c r="B521" s="1" t="s">
        <v>898</v>
      </c>
      <c r="C521" s="1" t="s">
        <v>13</v>
      </c>
      <c r="D521" s="1">
        <v>23595.0</v>
      </c>
      <c r="E521" s="1" t="s">
        <v>673</v>
      </c>
      <c r="F521" s="3">
        <v>39759.0</v>
      </c>
      <c r="G521" s="1">
        <v>10020.0</v>
      </c>
    </row>
    <row r="522">
      <c r="A522" s="1" t="s">
        <v>1211</v>
      </c>
      <c r="B522" s="1" t="s">
        <v>970</v>
      </c>
      <c r="C522" s="1" t="s">
        <v>45</v>
      </c>
      <c r="D522" s="1">
        <v>26870.0</v>
      </c>
      <c r="E522" s="1" t="s">
        <v>1212</v>
      </c>
      <c r="F522" s="3">
        <v>39759.0</v>
      </c>
      <c r="G522" s="1">
        <v>10021.0</v>
      </c>
    </row>
    <row r="523">
      <c r="A523" s="1" t="s">
        <v>1213</v>
      </c>
      <c r="B523" s="1" t="s">
        <v>667</v>
      </c>
      <c r="C523" s="1" t="s">
        <v>21</v>
      </c>
      <c r="D523" s="1">
        <v>57930.0</v>
      </c>
      <c r="E523" s="1" t="s">
        <v>1214</v>
      </c>
      <c r="F523" s="3">
        <v>39752.0</v>
      </c>
      <c r="G523" s="1">
        <v>10019.0</v>
      </c>
    </row>
    <row r="524">
      <c r="A524" s="1" t="s">
        <v>1215</v>
      </c>
      <c r="B524" s="1" t="s">
        <v>1068</v>
      </c>
      <c r="C524" s="1" t="s">
        <v>78</v>
      </c>
      <c r="D524" s="1">
        <v>58241.0</v>
      </c>
      <c r="E524" s="1" t="s">
        <v>336</v>
      </c>
      <c r="F524" s="3">
        <v>39745.0</v>
      </c>
      <c r="G524" s="1">
        <v>10018.0</v>
      </c>
    </row>
    <row r="525">
      <c r="A525" s="1" t="s">
        <v>1216</v>
      </c>
      <c r="B525" s="1" t="s">
        <v>1217</v>
      </c>
      <c r="C525" s="1" t="s">
        <v>49</v>
      </c>
      <c r="D525" s="1">
        <v>13789.0</v>
      </c>
      <c r="E525" s="1" t="s">
        <v>1218</v>
      </c>
      <c r="F525" s="3">
        <v>39731.0</v>
      </c>
      <c r="G525" s="1">
        <v>10017.0</v>
      </c>
    </row>
    <row r="526">
      <c r="A526" s="1" t="s">
        <v>1219</v>
      </c>
      <c r="B526" s="1" t="s">
        <v>1220</v>
      </c>
      <c r="C526" s="1" t="s">
        <v>330</v>
      </c>
      <c r="D526" s="1">
        <v>57654.0</v>
      </c>
      <c r="E526" s="1" t="s">
        <v>1221</v>
      </c>
      <c r="F526" s="3">
        <v>39731.0</v>
      </c>
      <c r="G526" s="1">
        <v>10016.0</v>
      </c>
    </row>
    <row r="527">
      <c r="A527" s="1" t="s">
        <v>1222</v>
      </c>
      <c r="B527" s="1" t="s">
        <v>1163</v>
      </c>
      <c r="C527" s="1" t="s">
        <v>193</v>
      </c>
      <c r="D527" s="1">
        <v>32633.0</v>
      </c>
      <c r="E527" s="1" t="s">
        <v>1223</v>
      </c>
      <c r="F527" s="3">
        <v>39716.0</v>
      </c>
      <c r="G527" s="1">
        <v>10015.0</v>
      </c>
    </row>
    <row r="528">
      <c r="A528" s="1" t="s">
        <v>1224</v>
      </c>
      <c r="B528" s="1" t="s">
        <v>1225</v>
      </c>
      <c r="C528" s="1" t="s">
        <v>25</v>
      </c>
      <c r="D528" s="1">
        <v>6782.0</v>
      </c>
      <c r="E528" s="1" t="s">
        <v>1226</v>
      </c>
      <c r="F528" s="3">
        <v>39710.0</v>
      </c>
      <c r="G528" s="1">
        <v>10014.0</v>
      </c>
    </row>
    <row r="529">
      <c r="A529" s="1" t="s">
        <v>1227</v>
      </c>
      <c r="B529" s="1" t="s">
        <v>1163</v>
      </c>
      <c r="C529" s="1" t="s">
        <v>193</v>
      </c>
      <c r="D529" s="1">
        <v>34194.0</v>
      </c>
      <c r="E529" s="1" t="s">
        <v>1147</v>
      </c>
      <c r="F529" s="3">
        <v>39696.0</v>
      </c>
      <c r="G529" s="1">
        <v>10013.0</v>
      </c>
    </row>
    <row r="530">
      <c r="A530" s="1" t="s">
        <v>1057</v>
      </c>
      <c r="B530" s="1" t="s">
        <v>1068</v>
      </c>
      <c r="C530" s="1" t="s">
        <v>78</v>
      </c>
      <c r="D530" s="1">
        <v>35469.0</v>
      </c>
      <c r="E530" s="1" t="s">
        <v>1186</v>
      </c>
      <c r="F530" s="3">
        <v>39689.0</v>
      </c>
      <c r="G530" s="1">
        <v>10012.0</v>
      </c>
    </row>
    <row r="531">
      <c r="A531" s="1" t="s">
        <v>1228</v>
      </c>
      <c r="B531" s="1" t="s">
        <v>1229</v>
      </c>
      <c r="C531" s="1" t="s">
        <v>17</v>
      </c>
      <c r="D531" s="1">
        <v>22728.0</v>
      </c>
      <c r="E531" s="1" t="s">
        <v>1230</v>
      </c>
      <c r="F531" s="3">
        <v>39682.0</v>
      </c>
      <c r="G531" s="1">
        <v>10011.0</v>
      </c>
    </row>
    <row r="532">
      <c r="A532" s="1" t="s">
        <v>1231</v>
      </c>
      <c r="B532" s="1" t="s">
        <v>667</v>
      </c>
      <c r="C532" s="1" t="s">
        <v>21</v>
      </c>
      <c r="D532" s="1">
        <v>57523.0</v>
      </c>
      <c r="E532" s="1" t="s">
        <v>1232</v>
      </c>
      <c r="F532" s="3">
        <v>39661.0</v>
      </c>
      <c r="G532" s="1">
        <v>10010.0</v>
      </c>
    </row>
    <row r="533">
      <c r="A533" s="1" t="s">
        <v>1233</v>
      </c>
      <c r="B533" s="1" t="s">
        <v>1207</v>
      </c>
      <c r="C533" s="1" t="s">
        <v>13</v>
      </c>
      <c r="D533" s="1">
        <v>57961.0</v>
      </c>
      <c r="E533" s="1" t="s">
        <v>891</v>
      </c>
      <c r="F533" s="3">
        <v>39654.0</v>
      </c>
      <c r="G533" s="1">
        <v>10009.0</v>
      </c>
    </row>
    <row r="534">
      <c r="A534" s="1" t="s">
        <v>1234</v>
      </c>
      <c r="B534" s="1" t="s">
        <v>750</v>
      </c>
      <c r="C534" s="1" t="s">
        <v>193</v>
      </c>
      <c r="D534" s="1">
        <v>27011.0</v>
      </c>
      <c r="E534" s="1" t="s">
        <v>891</v>
      </c>
      <c r="F534" s="3">
        <v>39654.0</v>
      </c>
      <c r="G534" s="1">
        <v>10008.0</v>
      </c>
    </row>
    <row r="535">
      <c r="A535" s="1" t="s">
        <v>1235</v>
      </c>
      <c r="B535" s="1" t="s">
        <v>1236</v>
      </c>
      <c r="C535" s="1" t="s">
        <v>13</v>
      </c>
      <c r="D535" s="1">
        <v>29730.0</v>
      </c>
      <c r="E535" s="1" t="s">
        <v>884</v>
      </c>
      <c r="F535" s="3">
        <v>39640.0</v>
      </c>
      <c r="G535" s="1">
        <v>10007.0</v>
      </c>
    </row>
    <row r="536">
      <c r="A536" s="1" t="s">
        <v>1237</v>
      </c>
      <c r="B536" s="1" t="s">
        <v>1238</v>
      </c>
      <c r="C536" s="1" t="s">
        <v>111</v>
      </c>
      <c r="D536" s="1">
        <v>12736.0</v>
      </c>
      <c r="E536" s="1" t="s">
        <v>1239</v>
      </c>
      <c r="F536" s="3">
        <v>39598.0</v>
      </c>
      <c r="G536" s="1">
        <v>10006.0</v>
      </c>
    </row>
    <row r="537">
      <c r="A537" s="1" t="s">
        <v>1240</v>
      </c>
      <c r="B537" s="1" t="s">
        <v>1241</v>
      </c>
      <c r="C537" s="1" t="s">
        <v>74</v>
      </c>
      <c r="D537" s="1">
        <v>33901.0</v>
      </c>
      <c r="E537" s="1" t="s">
        <v>1242</v>
      </c>
      <c r="F537" s="3">
        <v>39577.0</v>
      </c>
      <c r="G537" s="1">
        <v>10005.0</v>
      </c>
    </row>
    <row r="538">
      <c r="A538" s="1" t="s">
        <v>1243</v>
      </c>
      <c r="B538" s="1" t="s">
        <v>1244</v>
      </c>
      <c r="C538" s="1" t="s">
        <v>237</v>
      </c>
      <c r="D538" s="1">
        <v>1971.0</v>
      </c>
      <c r="E538" s="1" t="s">
        <v>1245</v>
      </c>
      <c r="F538" s="3">
        <v>39514.0</v>
      </c>
      <c r="G538" s="1">
        <v>10004.0</v>
      </c>
    </row>
    <row r="539">
      <c r="A539" s="1" t="s">
        <v>1246</v>
      </c>
      <c r="B539" s="1" t="s">
        <v>1022</v>
      </c>
      <c r="C539" s="1" t="s">
        <v>237</v>
      </c>
      <c r="D539" s="1">
        <v>24660.0</v>
      </c>
      <c r="E539" s="1" t="s">
        <v>229</v>
      </c>
      <c r="F539" s="3">
        <v>39472.0</v>
      </c>
      <c r="G539" s="1">
        <v>10003.0</v>
      </c>
    </row>
    <row r="540">
      <c r="A540" s="1" t="s">
        <v>1247</v>
      </c>
      <c r="B540" s="1" t="s">
        <v>1248</v>
      </c>
      <c r="C540" s="1" t="s">
        <v>37</v>
      </c>
      <c r="D540" s="1">
        <v>16848.0</v>
      </c>
      <c r="E540" s="1" t="s">
        <v>1249</v>
      </c>
      <c r="F540" s="3">
        <v>39359.0</v>
      </c>
      <c r="G540" s="1">
        <v>10002.0</v>
      </c>
    </row>
    <row r="541">
      <c r="A541" s="1" t="s">
        <v>1250</v>
      </c>
      <c r="B541" s="1" t="s">
        <v>1068</v>
      </c>
      <c r="C541" s="1" t="s">
        <v>78</v>
      </c>
      <c r="D541" s="1">
        <v>32575.0</v>
      </c>
      <c r="E541" s="1" t="s">
        <v>1251</v>
      </c>
      <c r="F541" s="3">
        <v>39353.0</v>
      </c>
      <c r="G541" s="1">
        <v>10001.0</v>
      </c>
    </row>
    <row r="542">
      <c r="A542" s="1" t="s">
        <v>1252</v>
      </c>
      <c r="B542" s="1" t="s">
        <v>1044</v>
      </c>
      <c r="C542" s="1" t="s">
        <v>82</v>
      </c>
      <c r="D542" s="1">
        <v>35353.0</v>
      </c>
      <c r="E542" s="1" t="s">
        <v>1253</v>
      </c>
      <c r="F542" s="3">
        <v>39115.0</v>
      </c>
      <c r="G542" s="1">
        <v>10000.0</v>
      </c>
    </row>
    <row r="543">
      <c r="A543" s="1" t="s">
        <v>1254</v>
      </c>
      <c r="B543" s="1" t="s">
        <v>1255</v>
      </c>
      <c r="C543" s="1" t="s">
        <v>66</v>
      </c>
      <c r="D543" s="1">
        <v>1249.0</v>
      </c>
      <c r="E543" s="1" t="s">
        <v>1256</v>
      </c>
      <c r="F543" s="3">
        <v>38163.0</v>
      </c>
      <c r="G543" s="1">
        <v>4665.0</v>
      </c>
    </row>
    <row r="544">
      <c r="A544" s="1" t="s">
        <v>1257</v>
      </c>
      <c r="B544" s="1" t="s">
        <v>1258</v>
      </c>
      <c r="C544" s="1" t="s">
        <v>9</v>
      </c>
      <c r="D544" s="1">
        <v>26778.0</v>
      </c>
      <c r="E544" s="1" t="s">
        <v>1259</v>
      </c>
      <c r="F544" s="3">
        <v>38065.0</v>
      </c>
      <c r="G544" s="1">
        <v>4664.0</v>
      </c>
    </row>
    <row r="545">
      <c r="A545" s="1" t="s">
        <v>1260</v>
      </c>
      <c r="B545" s="1" t="s">
        <v>1261</v>
      </c>
      <c r="C545" s="1" t="s">
        <v>21</v>
      </c>
      <c r="D545" s="1">
        <v>26838.0</v>
      </c>
      <c r="E545" s="1" t="s">
        <v>1262</v>
      </c>
      <c r="F545" s="3">
        <v>38058.0</v>
      </c>
      <c r="G545" s="1">
        <v>4663.0</v>
      </c>
    </row>
    <row r="546">
      <c r="A546" s="1" t="s">
        <v>1263</v>
      </c>
      <c r="B546" s="1" t="s">
        <v>32</v>
      </c>
      <c r="C546" s="1" t="s">
        <v>33</v>
      </c>
      <c r="D546" s="1">
        <v>31330.0</v>
      </c>
      <c r="E546" s="1" t="s">
        <v>174</v>
      </c>
      <c r="F546" s="3">
        <v>38031.0</v>
      </c>
      <c r="G546" s="1">
        <v>6006.0</v>
      </c>
    </row>
    <row r="547">
      <c r="A547" s="1" t="s">
        <v>1264</v>
      </c>
      <c r="B547" s="1" t="s">
        <v>1265</v>
      </c>
      <c r="C547" s="1" t="s">
        <v>82</v>
      </c>
      <c r="D547" s="1">
        <v>27203.0</v>
      </c>
      <c r="E547" s="1" t="s">
        <v>595</v>
      </c>
      <c r="F547" s="3">
        <v>37939.0</v>
      </c>
      <c r="G547" s="1">
        <v>4662.0</v>
      </c>
    </row>
    <row r="548">
      <c r="A548" s="1" t="s">
        <v>1266</v>
      </c>
      <c r="B548" s="1" t="s">
        <v>1267</v>
      </c>
      <c r="C548" s="1" t="s">
        <v>58</v>
      </c>
      <c r="D548" s="1">
        <v>11639.0</v>
      </c>
      <c r="E548" s="1" t="s">
        <v>1268</v>
      </c>
      <c r="F548" s="3">
        <v>37750.0</v>
      </c>
      <c r="G548" s="1">
        <v>4661.0</v>
      </c>
    </row>
    <row r="549">
      <c r="A549" s="1" t="s">
        <v>1269</v>
      </c>
      <c r="B549" s="1" t="s">
        <v>1270</v>
      </c>
      <c r="C549" s="1" t="s">
        <v>13</v>
      </c>
      <c r="D549" s="1">
        <v>27094.0</v>
      </c>
      <c r="E549" s="1" t="s">
        <v>932</v>
      </c>
      <c r="F549" s="3">
        <v>37659.0</v>
      </c>
      <c r="G549" s="1">
        <v>4660.0</v>
      </c>
    </row>
    <row r="550">
      <c r="A550" s="1" t="s">
        <v>1271</v>
      </c>
      <c r="B550" s="1" t="s">
        <v>1272</v>
      </c>
      <c r="C550" s="1" t="s">
        <v>62</v>
      </c>
      <c r="D550" s="1">
        <v>16445.0</v>
      </c>
      <c r="E550" s="1" t="s">
        <v>1273</v>
      </c>
      <c r="F550" s="3">
        <v>37607.0</v>
      </c>
      <c r="G550" s="1">
        <v>4659.0</v>
      </c>
    </row>
    <row r="551">
      <c r="A551" s="1" t="s">
        <v>1274</v>
      </c>
      <c r="B551" s="1" t="s">
        <v>1275</v>
      </c>
      <c r="C551" s="1" t="s">
        <v>85</v>
      </c>
      <c r="D551" s="1">
        <v>9961.0</v>
      </c>
      <c r="E551" s="1" t="s">
        <v>174</v>
      </c>
      <c r="F551" s="3">
        <v>37568.0</v>
      </c>
      <c r="G551" s="1">
        <v>4658.0</v>
      </c>
    </row>
    <row r="552">
      <c r="A552" s="1" t="s">
        <v>1276</v>
      </c>
      <c r="B552" s="1" t="s">
        <v>105</v>
      </c>
      <c r="C552" s="1" t="s">
        <v>78</v>
      </c>
      <c r="D552" s="1">
        <v>33784.0</v>
      </c>
      <c r="E552" s="1" t="s">
        <v>174</v>
      </c>
      <c r="F552" s="3">
        <v>37529.0</v>
      </c>
      <c r="G552" s="1">
        <v>4657.0</v>
      </c>
    </row>
    <row r="553">
      <c r="A553" s="1" t="s">
        <v>1277</v>
      </c>
      <c r="B553" s="1" t="s">
        <v>48</v>
      </c>
      <c r="C553" s="1" t="s">
        <v>49</v>
      </c>
      <c r="D553" s="1">
        <v>29355.0</v>
      </c>
      <c r="E553" s="1" t="s">
        <v>1278</v>
      </c>
      <c r="F553" s="3">
        <v>37434.0</v>
      </c>
      <c r="G553" s="1">
        <v>6005.0</v>
      </c>
    </row>
    <row r="554">
      <c r="A554" s="1" t="s">
        <v>1279</v>
      </c>
      <c r="B554" s="1" t="s">
        <v>1280</v>
      </c>
      <c r="C554" s="1" t="s">
        <v>173</v>
      </c>
      <c r="D554" s="1">
        <v>19183.0</v>
      </c>
      <c r="E554" s="1" t="s">
        <v>1281</v>
      </c>
      <c r="F554" s="3">
        <v>37433.0</v>
      </c>
      <c r="G554" s="1">
        <v>4656.0</v>
      </c>
    </row>
    <row r="555">
      <c r="A555" s="1" t="s">
        <v>737</v>
      </c>
      <c r="B555" s="1" t="s">
        <v>1282</v>
      </c>
      <c r="C555" s="1" t="s">
        <v>330</v>
      </c>
      <c r="D555" s="1">
        <v>34979.0</v>
      </c>
      <c r="E555" s="1" t="s">
        <v>174</v>
      </c>
      <c r="F555" s="3">
        <v>37343.0</v>
      </c>
      <c r="G555" s="1">
        <v>4655.0</v>
      </c>
    </row>
    <row r="556">
      <c r="A556" s="1" t="s">
        <v>1283</v>
      </c>
      <c r="B556" s="1" t="s">
        <v>877</v>
      </c>
      <c r="C556" s="1" t="s">
        <v>21</v>
      </c>
      <c r="D556" s="1">
        <v>26652.0</v>
      </c>
      <c r="E556" s="1" t="s">
        <v>1284</v>
      </c>
      <c r="F556" s="3">
        <v>37316.0</v>
      </c>
      <c r="G556" s="1">
        <v>4654.0</v>
      </c>
    </row>
    <row r="557">
      <c r="A557" s="1" t="s">
        <v>1285</v>
      </c>
      <c r="B557" s="1" t="s">
        <v>176</v>
      </c>
      <c r="C557" s="1" t="s">
        <v>177</v>
      </c>
      <c r="D557" s="1">
        <v>22314.0</v>
      </c>
      <c r="E557" s="1" t="s">
        <v>174</v>
      </c>
      <c r="F557" s="3">
        <v>37294.0</v>
      </c>
      <c r="G557" s="1">
        <v>4653.0</v>
      </c>
    </row>
    <row r="558">
      <c r="A558" s="1" t="s">
        <v>1286</v>
      </c>
      <c r="B558" s="1" t="s">
        <v>1287</v>
      </c>
      <c r="C558" s="1" t="s">
        <v>37</v>
      </c>
      <c r="D558" s="1">
        <v>8966.0</v>
      </c>
      <c r="E558" s="1" t="s">
        <v>1288</v>
      </c>
      <c r="F558" s="3">
        <v>37288.0</v>
      </c>
      <c r="G558" s="1">
        <v>4652.0</v>
      </c>
    </row>
    <row r="559">
      <c r="A559" s="1" t="s">
        <v>1289</v>
      </c>
      <c r="B559" s="1" t="s">
        <v>1290</v>
      </c>
      <c r="C559" s="1" t="s">
        <v>45</v>
      </c>
      <c r="D559" s="1">
        <v>22002.0</v>
      </c>
      <c r="E559" s="1" t="s">
        <v>1291</v>
      </c>
      <c r="F559" s="3">
        <v>37274.0</v>
      </c>
      <c r="G559" s="1">
        <v>4651.0</v>
      </c>
    </row>
    <row r="560">
      <c r="A560" s="1" t="s">
        <v>1292</v>
      </c>
      <c r="B560" s="1" t="s">
        <v>727</v>
      </c>
      <c r="C560" s="1" t="s">
        <v>21</v>
      </c>
      <c r="D560" s="1">
        <v>24382.0</v>
      </c>
      <c r="E560" s="1" t="s">
        <v>1293</v>
      </c>
      <c r="F560" s="3">
        <v>37267.0</v>
      </c>
      <c r="G560" s="1">
        <v>4650.0</v>
      </c>
    </row>
    <row r="561">
      <c r="A561" s="1" t="s">
        <v>1294</v>
      </c>
      <c r="B561" s="1" t="s">
        <v>1295</v>
      </c>
      <c r="C561" s="1" t="s">
        <v>74</v>
      </c>
      <c r="D561" s="1">
        <v>34248.0</v>
      </c>
      <c r="E561" s="1" t="s">
        <v>1296</v>
      </c>
      <c r="F561" s="3">
        <v>37141.0</v>
      </c>
      <c r="G561" s="1">
        <v>4649.0</v>
      </c>
    </row>
    <row r="562">
      <c r="A562" s="1" t="s">
        <v>1297</v>
      </c>
      <c r="B562" s="1" t="s">
        <v>1298</v>
      </c>
      <c r="C562" s="1" t="s">
        <v>49</v>
      </c>
      <c r="D562" s="1">
        <v>32646.0</v>
      </c>
      <c r="E562" s="1" t="s">
        <v>1299</v>
      </c>
      <c r="F562" s="3">
        <v>37099.0</v>
      </c>
      <c r="G562" s="1">
        <v>6004.0</v>
      </c>
    </row>
    <row r="563">
      <c r="A563" s="1" t="s">
        <v>1300</v>
      </c>
      <c r="B563" s="1" t="s">
        <v>1301</v>
      </c>
      <c r="C563" s="1" t="s">
        <v>37</v>
      </c>
      <c r="D563" s="1">
        <v>6629.0</v>
      </c>
      <c r="E563" s="1" t="s">
        <v>1302</v>
      </c>
      <c r="F563" s="3">
        <v>37014.0</v>
      </c>
      <c r="G563" s="1">
        <v>4648.0</v>
      </c>
    </row>
    <row r="564">
      <c r="A564" s="1" t="s">
        <v>1303</v>
      </c>
      <c r="B564" s="1" t="s">
        <v>1304</v>
      </c>
      <c r="C564" s="1" t="s">
        <v>1305</v>
      </c>
      <c r="D564" s="1">
        <v>34264.0</v>
      </c>
      <c r="E564" s="1" t="s">
        <v>1306</v>
      </c>
      <c r="F564" s="3">
        <v>36924.0</v>
      </c>
      <c r="G564" s="1">
        <v>4647.0</v>
      </c>
    </row>
    <row r="565">
      <c r="A565" s="1" t="s">
        <v>1307</v>
      </c>
      <c r="B565" s="1" t="s">
        <v>1308</v>
      </c>
      <c r="C565" s="1" t="s">
        <v>49</v>
      </c>
      <c r="D565" s="1">
        <v>3815.0</v>
      </c>
      <c r="E565" s="1" t="s">
        <v>1309</v>
      </c>
      <c r="F565" s="3">
        <v>36874.0</v>
      </c>
      <c r="G565" s="1">
        <v>4646.0</v>
      </c>
    </row>
    <row r="566">
      <c r="A566" s="1" t="s">
        <v>1310</v>
      </c>
      <c r="B566" s="1" t="s">
        <v>1311</v>
      </c>
      <c r="C566" s="1" t="s">
        <v>1312</v>
      </c>
      <c r="D566" s="1">
        <v>21029.0</v>
      </c>
      <c r="E566" s="1" t="s">
        <v>1313</v>
      </c>
      <c r="F566" s="3">
        <v>36812.0</v>
      </c>
      <c r="G566" s="1">
        <v>4645.0</v>
      </c>
    </row>
    <row r="567">
      <c r="F567" s="3"/>
    </row>
    <row r="568">
      <c r="F568" s="3"/>
    </row>
    <row r="569">
      <c r="F569" s="3"/>
    </row>
    <row r="570">
      <c r="F570" s="3"/>
    </row>
    <row r="571">
      <c r="F571" s="3"/>
    </row>
    <row r="572">
      <c r="F572" s="3"/>
    </row>
    <row r="573">
      <c r="F573" s="3"/>
    </row>
    <row r="574">
      <c r="F574" s="3"/>
    </row>
    <row r="575">
      <c r="F575" s="3"/>
    </row>
    <row r="576">
      <c r="F576" s="3"/>
    </row>
    <row r="577">
      <c r="F577" s="3"/>
    </row>
    <row r="578">
      <c r="F578" s="3"/>
    </row>
    <row r="579">
      <c r="F579" s="3"/>
    </row>
    <row r="580">
      <c r="F580" s="3"/>
    </row>
    <row r="581">
      <c r="F581" s="3"/>
    </row>
    <row r="582">
      <c r="F582" s="3"/>
    </row>
    <row r="583">
      <c r="F583" s="3"/>
    </row>
    <row r="584">
      <c r="F584" s="3"/>
    </row>
    <row r="585">
      <c r="F585" s="3"/>
    </row>
    <row r="586">
      <c r="F586" s="3"/>
    </row>
    <row r="587">
      <c r="F587" s="3"/>
    </row>
    <row r="588">
      <c r="F588" s="3"/>
    </row>
    <row r="589">
      <c r="F589" s="3"/>
    </row>
    <row r="590">
      <c r="F590" s="3"/>
    </row>
    <row r="591">
      <c r="F591" s="3"/>
    </row>
    <row r="592">
      <c r="F592" s="3"/>
    </row>
    <row r="593">
      <c r="F593" s="3"/>
    </row>
    <row r="594">
      <c r="F594" s="3"/>
    </row>
    <row r="595">
      <c r="F595" s="3"/>
    </row>
    <row r="596">
      <c r="F596" s="3"/>
    </row>
    <row r="597">
      <c r="F597" s="3"/>
    </row>
    <row r="598">
      <c r="F598" s="3"/>
    </row>
    <row r="599">
      <c r="F599" s="3"/>
    </row>
    <row r="600">
      <c r="F600" s="3"/>
    </row>
    <row r="601">
      <c r="F601" s="3"/>
    </row>
    <row r="602">
      <c r="F602" s="3"/>
    </row>
    <row r="603">
      <c r="F603" s="3"/>
    </row>
    <row r="604">
      <c r="F604" s="3"/>
    </row>
    <row r="605">
      <c r="F605" s="3"/>
    </row>
    <row r="606">
      <c r="F606" s="3"/>
    </row>
    <row r="607">
      <c r="F607" s="3"/>
    </row>
    <row r="608">
      <c r="F608" s="3"/>
    </row>
    <row r="609">
      <c r="F609" s="3"/>
    </row>
    <row r="610">
      <c r="F610" s="3"/>
    </row>
    <row r="611">
      <c r="F611" s="3"/>
    </row>
    <row r="612">
      <c r="F612" s="3"/>
    </row>
    <row r="613">
      <c r="F613" s="3"/>
    </row>
    <row r="614">
      <c r="F614" s="3"/>
    </row>
    <row r="615">
      <c r="F615" s="3"/>
    </row>
    <row r="616">
      <c r="F616" s="3"/>
    </row>
    <row r="617">
      <c r="F617" s="3"/>
    </row>
    <row r="618">
      <c r="F618" s="3"/>
    </row>
    <row r="619">
      <c r="F619" s="3"/>
    </row>
    <row r="620">
      <c r="F620" s="3"/>
    </row>
    <row r="621">
      <c r="F621" s="3"/>
    </row>
    <row r="622">
      <c r="F622" s="3"/>
    </row>
    <row r="623">
      <c r="F623" s="3"/>
    </row>
    <row r="624">
      <c r="F624" s="3"/>
    </row>
    <row r="625">
      <c r="F625" s="3"/>
    </row>
    <row r="626">
      <c r="F626" s="3"/>
    </row>
    <row r="627">
      <c r="F627" s="3"/>
    </row>
    <row r="628">
      <c r="F628" s="3"/>
    </row>
    <row r="629">
      <c r="F629" s="3"/>
    </row>
    <row r="630">
      <c r="F630" s="3"/>
    </row>
    <row r="631">
      <c r="F631" s="3"/>
    </row>
    <row r="632">
      <c r="F632" s="3"/>
    </row>
    <row r="633">
      <c r="F633" s="3"/>
    </row>
    <row r="634">
      <c r="F634" s="3"/>
    </row>
    <row r="635">
      <c r="F635" s="3"/>
    </row>
    <row r="636">
      <c r="F636" s="3"/>
    </row>
    <row r="637">
      <c r="F637" s="3"/>
    </row>
    <row r="638">
      <c r="F638" s="3"/>
    </row>
    <row r="639">
      <c r="F639" s="3"/>
    </row>
    <row r="640">
      <c r="F640" s="3"/>
    </row>
    <row r="641">
      <c r="F641" s="3"/>
    </row>
    <row r="642">
      <c r="F642" s="3"/>
    </row>
    <row r="643">
      <c r="F643" s="3"/>
    </row>
    <row r="644">
      <c r="F644" s="3"/>
    </row>
    <row r="645">
      <c r="F645" s="3"/>
    </row>
    <row r="646">
      <c r="F646" s="3"/>
    </row>
    <row r="647">
      <c r="F647" s="3"/>
    </row>
    <row r="648">
      <c r="F648" s="3"/>
    </row>
    <row r="649">
      <c r="F649" s="3"/>
    </row>
    <row r="650">
      <c r="F650" s="3"/>
    </row>
    <row r="651">
      <c r="F651" s="3"/>
    </row>
    <row r="652">
      <c r="F652" s="3"/>
    </row>
    <row r="653">
      <c r="F653" s="3"/>
    </row>
    <row r="654">
      <c r="F654" s="3"/>
    </row>
    <row r="655">
      <c r="F655" s="3"/>
    </row>
    <row r="656">
      <c r="F656" s="3"/>
    </row>
    <row r="657">
      <c r="F657" s="3"/>
    </row>
    <row r="658">
      <c r="F658" s="3"/>
    </row>
    <row r="659">
      <c r="F659" s="3"/>
    </row>
    <row r="660">
      <c r="F660" s="3"/>
    </row>
    <row r="661">
      <c r="F661" s="3"/>
    </row>
    <row r="662">
      <c r="F662" s="3"/>
    </row>
    <row r="663">
      <c r="F663" s="3"/>
    </row>
    <row r="664">
      <c r="F664" s="3"/>
    </row>
    <row r="665">
      <c r="F665" s="3"/>
    </row>
    <row r="666">
      <c r="F666" s="3"/>
    </row>
    <row r="667">
      <c r="F667" s="3"/>
    </row>
    <row r="668">
      <c r="F668" s="3"/>
    </row>
    <row r="669">
      <c r="F669" s="3"/>
    </row>
    <row r="670">
      <c r="F670" s="3"/>
    </row>
    <row r="671">
      <c r="F671" s="3"/>
    </row>
    <row r="672">
      <c r="F672" s="3"/>
    </row>
    <row r="673">
      <c r="F673" s="3"/>
    </row>
    <row r="674">
      <c r="F674" s="3"/>
    </row>
    <row r="675">
      <c r="F675" s="3"/>
    </row>
    <row r="676">
      <c r="F676" s="3"/>
    </row>
    <row r="677">
      <c r="F677" s="3"/>
    </row>
    <row r="678">
      <c r="F678" s="3"/>
    </row>
    <row r="679">
      <c r="F679" s="3"/>
    </row>
    <row r="680">
      <c r="F680" s="3"/>
    </row>
    <row r="681">
      <c r="F681" s="3"/>
    </row>
    <row r="682">
      <c r="F682" s="3"/>
    </row>
    <row r="683">
      <c r="F683" s="3"/>
    </row>
    <row r="684">
      <c r="F684" s="3"/>
    </row>
    <row r="685">
      <c r="F685" s="3"/>
    </row>
    <row r="686">
      <c r="F686" s="3"/>
    </row>
    <row r="687">
      <c r="F687" s="3"/>
    </row>
    <row r="688">
      <c r="F688" s="3"/>
    </row>
    <row r="689">
      <c r="F689" s="3"/>
    </row>
    <row r="690">
      <c r="F690" s="3"/>
    </row>
    <row r="691">
      <c r="F691" s="3"/>
    </row>
    <row r="692">
      <c r="F692" s="3"/>
    </row>
    <row r="693">
      <c r="F693" s="3"/>
    </row>
    <row r="694">
      <c r="F694" s="3"/>
    </row>
    <row r="695">
      <c r="F695" s="3"/>
    </row>
    <row r="696">
      <c r="F696" s="3"/>
    </row>
    <row r="697">
      <c r="F697" s="3"/>
    </row>
    <row r="698">
      <c r="F698" s="3"/>
    </row>
    <row r="699">
      <c r="F699" s="3"/>
    </row>
    <row r="700">
      <c r="F700" s="3"/>
    </row>
    <row r="701">
      <c r="F701" s="3"/>
    </row>
    <row r="702">
      <c r="F702" s="3"/>
    </row>
    <row r="703">
      <c r="F703" s="3"/>
    </row>
    <row r="704">
      <c r="F704" s="3"/>
    </row>
    <row r="705">
      <c r="F705" s="3"/>
    </row>
    <row r="706">
      <c r="F706" s="3"/>
    </row>
    <row r="707">
      <c r="F707" s="3"/>
    </row>
    <row r="708">
      <c r="F708" s="3"/>
    </row>
    <row r="709">
      <c r="F709" s="3"/>
    </row>
    <row r="710">
      <c r="F710" s="3"/>
    </row>
    <row r="711">
      <c r="F711" s="3"/>
    </row>
    <row r="712">
      <c r="F712" s="3"/>
    </row>
    <row r="713">
      <c r="F713" s="3"/>
    </row>
    <row r="714">
      <c r="F714" s="3"/>
    </row>
    <row r="715">
      <c r="F715" s="3"/>
    </row>
    <row r="716">
      <c r="F716" s="3"/>
    </row>
    <row r="717">
      <c r="F717" s="3"/>
    </row>
    <row r="718">
      <c r="F718" s="3"/>
    </row>
    <row r="719">
      <c r="F719" s="3"/>
    </row>
    <row r="720">
      <c r="F720" s="3"/>
    </row>
    <row r="721">
      <c r="F721" s="3"/>
    </row>
    <row r="722">
      <c r="F722" s="3"/>
    </row>
    <row r="723">
      <c r="F723" s="3"/>
    </row>
    <row r="724">
      <c r="F724" s="3"/>
    </row>
    <row r="725">
      <c r="F725" s="3"/>
    </row>
    <row r="726">
      <c r="F726" s="3"/>
    </row>
    <row r="727">
      <c r="F727" s="3"/>
    </row>
    <row r="728">
      <c r="F728" s="3"/>
    </row>
    <row r="729">
      <c r="F729" s="3"/>
    </row>
    <row r="730">
      <c r="F730" s="3"/>
    </row>
    <row r="731">
      <c r="F731" s="3"/>
    </row>
    <row r="732">
      <c r="F732" s="3"/>
    </row>
    <row r="733">
      <c r="F733" s="3"/>
    </row>
    <row r="734">
      <c r="F734" s="3"/>
    </row>
    <row r="735">
      <c r="F735" s="3"/>
    </row>
    <row r="736">
      <c r="F736" s="3"/>
    </row>
    <row r="737">
      <c r="F737" s="3"/>
    </row>
    <row r="738">
      <c r="F738" s="3"/>
    </row>
    <row r="739">
      <c r="F739" s="3"/>
    </row>
    <row r="740">
      <c r="F740" s="3"/>
    </row>
    <row r="741">
      <c r="F741" s="3"/>
    </row>
    <row r="742">
      <c r="F742" s="3"/>
    </row>
    <row r="743">
      <c r="F743" s="3"/>
    </row>
    <row r="744">
      <c r="F744" s="3"/>
    </row>
    <row r="745">
      <c r="F745" s="3"/>
    </row>
    <row r="746">
      <c r="F746" s="3"/>
    </row>
    <row r="747">
      <c r="F747" s="3"/>
    </row>
    <row r="748">
      <c r="F748" s="3"/>
    </row>
    <row r="749">
      <c r="F749" s="3"/>
    </row>
    <row r="750">
      <c r="F750" s="3"/>
    </row>
    <row r="751">
      <c r="F751" s="3"/>
    </row>
    <row r="752">
      <c r="F752" s="3"/>
    </row>
    <row r="753">
      <c r="F753" s="3"/>
    </row>
    <row r="754">
      <c r="F754" s="3"/>
    </row>
    <row r="755">
      <c r="F755" s="3"/>
    </row>
    <row r="756">
      <c r="F756" s="3"/>
    </row>
    <row r="757">
      <c r="F757" s="3"/>
    </row>
    <row r="758">
      <c r="F758" s="3"/>
    </row>
    <row r="759">
      <c r="F759" s="3"/>
    </row>
    <row r="760">
      <c r="F760" s="3"/>
    </row>
    <row r="761">
      <c r="F761" s="3"/>
    </row>
    <row r="762">
      <c r="F762" s="3"/>
    </row>
    <row r="763">
      <c r="F763" s="3"/>
    </row>
    <row r="764">
      <c r="F764" s="3"/>
    </row>
    <row r="765">
      <c r="F765" s="3"/>
    </row>
    <row r="766">
      <c r="F766" s="3"/>
    </row>
    <row r="767">
      <c r="F767" s="3"/>
    </row>
    <row r="768">
      <c r="F768" s="3"/>
    </row>
    <row r="769">
      <c r="F769" s="3"/>
    </row>
    <row r="770">
      <c r="F770" s="3"/>
    </row>
    <row r="771">
      <c r="F771" s="3"/>
    </row>
    <row r="772">
      <c r="F772" s="3"/>
    </row>
    <row r="773">
      <c r="F773" s="3"/>
    </row>
    <row r="774">
      <c r="F774" s="3"/>
    </row>
    <row r="775">
      <c r="F775" s="3"/>
    </row>
    <row r="776">
      <c r="F776" s="3"/>
    </row>
    <row r="777">
      <c r="F777" s="3"/>
    </row>
    <row r="778">
      <c r="F778" s="3"/>
    </row>
    <row r="779">
      <c r="F779" s="3"/>
    </row>
    <row r="780">
      <c r="F780" s="3"/>
    </row>
    <row r="781">
      <c r="F781" s="3"/>
    </row>
    <row r="782">
      <c r="F782" s="3"/>
    </row>
    <row r="783">
      <c r="F783" s="3"/>
    </row>
    <row r="784">
      <c r="F784" s="3"/>
    </row>
    <row r="785">
      <c r="F785" s="3"/>
    </row>
    <row r="786">
      <c r="F786" s="3"/>
    </row>
    <row r="787">
      <c r="F787" s="3"/>
    </row>
    <row r="788">
      <c r="F788" s="3"/>
    </row>
    <row r="789">
      <c r="F789" s="3"/>
    </row>
    <row r="790">
      <c r="F790" s="3"/>
    </row>
    <row r="791">
      <c r="F791" s="3"/>
    </row>
    <row r="792">
      <c r="F792" s="3"/>
    </row>
    <row r="793">
      <c r="F793" s="3"/>
    </row>
    <row r="794">
      <c r="F794" s="3"/>
    </row>
    <row r="795">
      <c r="F795" s="3"/>
    </row>
    <row r="796">
      <c r="F796" s="3"/>
    </row>
    <row r="797">
      <c r="F797" s="3"/>
    </row>
    <row r="798">
      <c r="F798" s="3"/>
    </row>
    <row r="799">
      <c r="F799" s="3"/>
    </row>
    <row r="800">
      <c r="F800" s="3"/>
    </row>
    <row r="801">
      <c r="F801" s="3"/>
    </row>
    <row r="802">
      <c r="F802" s="3"/>
    </row>
    <row r="803">
      <c r="F803" s="3"/>
    </row>
    <row r="804">
      <c r="F804" s="3"/>
    </row>
    <row r="805">
      <c r="F805" s="3"/>
    </row>
    <row r="806">
      <c r="F806" s="3"/>
    </row>
    <row r="807">
      <c r="F807" s="3"/>
    </row>
    <row r="808">
      <c r="F808" s="3"/>
    </row>
    <row r="809">
      <c r="F809" s="3"/>
    </row>
    <row r="810">
      <c r="F810" s="3"/>
    </row>
    <row r="811">
      <c r="F811" s="3"/>
    </row>
    <row r="812">
      <c r="F812" s="3"/>
    </row>
    <row r="813">
      <c r="F813" s="3"/>
    </row>
    <row r="814">
      <c r="F814" s="3"/>
    </row>
    <row r="815">
      <c r="F815" s="3"/>
    </row>
    <row r="816">
      <c r="F816" s="3"/>
    </row>
    <row r="817">
      <c r="F817" s="3"/>
    </row>
    <row r="818">
      <c r="F818" s="3"/>
    </row>
    <row r="819">
      <c r="F819" s="3"/>
    </row>
    <row r="820">
      <c r="F820" s="3"/>
    </row>
    <row r="821">
      <c r="F821" s="3"/>
    </row>
    <row r="822">
      <c r="F822" s="3"/>
    </row>
    <row r="823">
      <c r="F823" s="3"/>
    </row>
    <row r="824">
      <c r="F824" s="3"/>
    </row>
    <row r="825">
      <c r="F825" s="3"/>
    </row>
    <row r="826">
      <c r="F826" s="3"/>
    </row>
    <row r="827">
      <c r="F827" s="3"/>
    </row>
    <row r="828">
      <c r="F828" s="3"/>
    </row>
    <row r="829">
      <c r="F829" s="3"/>
    </row>
    <row r="830">
      <c r="F830" s="3"/>
    </row>
    <row r="831">
      <c r="F831" s="3"/>
    </row>
    <row r="832">
      <c r="F832" s="3"/>
    </row>
    <row r="833">
      <c r="F833" s="3"/>
    </row>
    <row r="834">
      <c r="F834" s="3"/>
    </row>
    <row r="835">
      <c r="F835" s="3"/>
    </row>
    <row r="836">
      <c r="F836" s="3"/>
    </row>
    <row r="837">
      <c r="F837" s="3"/>
    </row>
    <row r="838">
      <c r="F838" s="3"/>
    </row>
    <row r="839">
      <c r="F839" s="3"/>
    </row>
    <row r="840">
      <c r="F840" s="3"/>
    </row>
    <row r="841">
      <c r="F841" s="3"/>
    </row>
    <row r="842">
      <c r="F842" s="3"/>
    </row>
    <row r="843">
      <c r="F843" s="3"/>
    </row>
    <row r="844">
      <c r="F844" s="3"/>
    </row>
    <row r="845">
      <c r="F845" s="3"/>
    </row>
    <row r="846">
      <c r="F846" s="3"/>
    </row>
    <row r="847">
      <c r="F847" s="3"/>
    </row>
    <row r="848">
      <c r="F848" s="3"/>
    </row>
    <row r="849">
      <c r="F849" s="3"/>
    </row>
    <row r="850">
      <c r="F850" s="3"/>
    </row>
    <row r="851">
      <c r="F851" s="3"/>
    </row>
    <row r="852">
      <c r="F852" s="3"/>
    </row>
    <row r="853">
      <c r="F853" s="3"/>
    </row>
    <row r="854">
      <c r="F854" s="3"/>
    </row>
    <row r="855">
      <c r="F855" s="3"/>
    </row>
    <row r="856">
      <c r="F856" s="3"/>
    </row>
    <row r="857">
      <c r="F857" s="3"/>
    </row>
    <row r="858">
      <c r="F858" s="3"/>
    </row>
    <row r="859">
      <c r="F859" s="3"/>
    </row>
    <row r="860">
      <c r="F860" s="3"/>
    </row>
    <row r="861">
      <c r="F861" s="3"/>
    </row>
    <row r="862">
      <c r="F862" s="3"/>
    </row>
    <row r="863">
      <c r="F863" s="3"/>
    </row>
    <row r="864">
      <c r="F864" s="3"/>
    </row>
    <row r="865">
      <c r="F865" s="3"/>
    </row>
    <row r="866">
      <c r="F866" s="3"/>
    </row>
    <row r="867">
      <c r="F867" s="3"/>
    </row>
    <row r="868">
      <c r="F868" s="3"/>
    </row>
    <row r="869">
      <c r="F869" s="3"/>
    </row>
    <row r="870">
      <c r="F870" s="3"/>
    </row>
    <row r="871">
      <c r="F871" s="3"/>
    </row>
    <row r="872">
      <c r="F872" s="3"/>
    </row>
    <row r="873">
      <c r="F873" s="3"/>
    </row>
    <row r="874">
      <c r="F874" s="3"/>
    </row>
    <row r="875">
      <c r="F875" s="3"/>
    </row>
    <row r="876">
      <c r="F876" s="3"/>
    </row>
    <row r="877">
      <c r="F877" s="3"/>
    </row>
    <row r="878">
      <c r="F878" s="3"/>
    </row>
    <row r="879">
      <c r="F879" s="3"/>
    </row>
    <row r="880">
      <c r="F880" s="3"/>
    </row>
    <row r="881">
      <c r="F881" s="3"/>
    </row>
    <row r="882">
      <c r="F882" s="3"/>
    </row>
    <row r="883">
      <c r="F883" s="3"/>
    </row>
    <row r="884">
      <c r="F884" s="3"/>
    </row>
    <row r="885">
      <c r="F885" s="3"/>
    </row>
    <row r="886">
      <c r="F886" s="3"/>
    </row>
    <row r="887">
      <c r="F887" s="3"/>
    </row>
    <row r="888">
      <c r="F888" s="3"/>
    </row>
    <row r="889">
      <c r="F889" s="3"/>
    </row>
    <row r="890">
      <c r="F890" s="3"/>
    </row>
    <row r="891">
      <c r="F891" s="3"/>
    </row>
    <row r="892">
      <c r="F892" s="3"/>
    </row>
    <row r="893">
      <c r="F893" s="3"/>
    </row>
    <row r="894">
      <c r="F894" s="3"/>
    </row>
    <row r="895">
      <c r="F895" s="3"/>
    </row>
    <row r="896">
      <c r="F896" s="3"/>
    </row>
    <row r="897">
      <c r="F897" s="3"/>
    </row>
    <row r="898">
      <c r="F898" s="3"/>
    </row>
    <row r="899">
      <c r="F899" s="3"/>
    </row>
    <row r="900">
      <c r="F900" s="3"/>
    </row>
    <row r="901">
      <c r="F901" s="3"/>
    </row>
    <row r="902">
      <c r="F902" s="3"/>
    </row>
    <row r="903">
      <c r="F903" s="3"/>
    </row>
    <row r="904">
      <c r="F904" s="3"/>
    </row>
    <row r="905">
      <c r="F905" s="3"/>
    </row>
    <row r="906">
      <c r="F906" s="3"/>
    </row>
    <row r="907">
      <c r="F907" s="3"/>
    </row>
    <row r="908">
      <c r="F908" s="3"/>
    </row>
    <row r="909">
      <c r="F909" s="3"/>
    </row>
    <row r="910">
      <c r="F910" s="3"/>
    </row>
    <row r="911">
      <c r="F911" s="3"/>
    </row>
    <row r="912">
      <c r="F912" s="3"/>
    </row>
    <row r="913">
      <c r="F913" s="3"/>
    </row>
    <row r="914">
      <c r="F914" s="3"/>
    </row>
    <row r="915">
      <c r="F915" s="3"/>
    </row>
    <row r="916">
      <c r="F916" s="3"/>
    </row>
    <row r="917">
      <c r="F917" s="3"/>
    </row>
    <row r="918">
      <c r="F918" s="3"/>
    </row>
    <row r="919">
      <c r="F919" s="3"/>
    </row>
    <row r="920">
      <c r="F920" s="3"/>
    </row>
    <row r="921">
      <c r="F921" s="3"/>
    </row>
    <row r="922">
      <c r="F922" s="3"/>
    </row>
    <row r="923">
      <c r="F923" s="3"/>
    </row>
    <row r="924">
      <c r="F924" s="3"/>
    </row>
    <row r="925">
      <c r="F925" s="3"/>
    </row>
    <row r="926">
      <c r="F926" s="3"/>
    </row>
    <row r="927">
      <c r="F927" s="3"/>
    </row>
    <row r="928">
      <c r="F928" s="3"/>
    </row>
    <row r="929">
      <c r="F929" s="3"/>
    </row>
    <row r="930">
      <c r="F930" s="3"/>
    </row>
    <row r="931">
      <c r="F931" s="3"/>
    </row>
    <row r="932">
      <c r="F932" s="3"/>
    </row>
    <row r="933">
      <c r="F933" s="3"/>
    </row>
    <row r="934">
      <c r="F934" s="3"/>
    </row>
    <row r="935">
      <c r="F935" s="3"/>
    </row>
    <row r="936">
      <c r="F936" s="3"/>
    </row>
    <row r="937">
      <c r="F937" s="3"/>
    </row>
    <row r="938">
      <c r="F938" s="3"/>
    </row>
    <row r="939">
      <c r="F939" s="3"/>
    </row>
    <row r="940">
      <c r="F940" s="3"/>
    </row>
    <row r="941">
      <c r="F941" s="3"/>
    </row>
    <row r="942">
      <c r="F942" s="3"/>
    </row>
    <row r="943">
      <c r="F943" s="3"/>
    </row>
    <row r="944">
      <c r="F944" s="3"/>
    </row>
    <row r="945">
      <c r="F945" s="3"/>
    </row>
    <row r="946">
      <c r="F946" s="3"/>
    </row>
    <row r="947">
      <c r="F947" s="3"/>
    </row>
    <row r="948">
      <c r="F948" s="3"/>
    </row>
    <row r="949">
      <c r="F949" s="3"/>
    </row>
    <row r="950">
      <c r="F950" s="3"/>
    </row>
    <row r="951">
      <c r="F951" s="3"/>
    </row>
    <row r="952">
      <c r="F952" s="3"/>
    </row>
    <row r="953">
      <c r="F953" s="3"/>
    </row>
    <row r="954">
      <c r="F954" s="3"/>
    </row>
    <row r="955">
      <c r="F955" s="3"/>
    </row>
    <row r="956">
      <c r="F956" s="3"/>
    </row>
    <row r="957">
      <c r="F957" s="3"/>
    </row>
    <row r="958">
      <c r="F958" s="3"/>
    </row>
    <row r="959">
      <c r="F959" s="3"/>
    </row>
    <row r="960">
      <c r="F960" s="3"/>
    </row>
    <row r="961">
      <c r="F961" s="3"/>
    </row>
    <row r="962">
      <c r="F962" s="3"/>
    </row>
    <row r="963">
      <c r="F963" s="3"/>
    </row>
    <row r="964">
      <c r="F964" s="3"/>
    </row>
    <row r="965">
      <c r="F965" s="3"/>
    </row>
    <row r="966">
      <c r="F966" s="3"/>
    </row>
    <row r="967">
      <c r="F967" s="3"/>
    </row>
    <row r="968">
      <c r="F968" s="3"/>
    </row>
    <row r="969">
      <c r="F969" s="3"/>
    </row>
    <row r="970">
      <c r="F970" s="3"/>
    </row>
    <row r="971">
      <c r="F971" s="3"/>
    </row>
    <row r="972">
      <c r="F972" s="3"/>
    </row>
    <row r="973">
      <c r="F973" s="3"/>
    </row>
    <row r="974">
      <c r="F974" s="3"/>
    </row>
    <row r="975">
      <c r="F975" s="3"/>
    </row>
    <row r="976">
      <c r="F976" s="3"/>
    </row>
    <row r="977">
      <c r="F977" s="3"/>
    </row>
    <row r="978">
      <c r="F978" s="3"/>
    </row>
    <row r="979">
      <c r="F979" s="3"/>
    </row>
    <row r="980">
      <c r="F980" s="3"/>
    </row>
    <row r="981">
      <c r="F981" s="3"/>
    </row>
    <row r="982">
      <c r="F982" s="3"/>
    </row>
    <row r="983">
      <c r="F983" s="3"/>
    </row>
    <row r="984">
      <c r="F984" s="3"/>
    </row>
    <row r="985">
      <c r="F985" s="3"/>
    </row>
    <row r="986">
      <c r="F986" s="3"/>
    </row>
    <row r="987">
      <c r="F987" s="3"/>
    </row>
    <row r="988">
      <c r="F988" s="3"/>
    </row>
    <row r="989">
      <c r="F989" s="3"/>
    </row>
    <row r="990">
      <c r="F990" s="3"/>
    </row>
    <row r="991">
      <c r="F991" s="3"/>
    </row>
    <row r="992">
      <c r="F992" s="3"/>
    </row>
    <row r="993">
      <c r="F993" s="3"/>
    </row>
    <row r="994">
      <c r="F994" s="3"/>
    </row>
    <row r="995">
      <c r="F995" s="3"/>
    </row>
    <row r="996">
      <c r="F996" s="3"/>
    </row>
    <row r="997">
      <c r="F997" s="3"/>
    </row>
    <row r="998">
      <c r="F998" s="3"/>
    </row>
    <row r="999">
      <c r="F999" s="3"/>
    </row>
    <row r="1000">
      <c r="F1000" s="3"/>
    </row>
  </sheetData>
  <drawing r:id="rId1"/>
</worksheet>
</file>