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1_FCE6DD17479064708FFFA810090AFDE853E8FC46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Diagramm" sheetId="4" r:id="rId1"/>
    <sheet name="PE" sheetId="1" r:id="rId2"/>
    <sheet name="KMR" sheetId="2" r:id="rId3"/>
    <sheet name="Tabelle3" sheetId="3" r:id="rId4"/>
  </sheets>
  <definedNames>
    <definedName name="solver_adj" localSheetId="2" hidden="1">KMR!$G$1:$G$2</definedName>
    <definedName name="solver_adj" localSheetId="1" hidden="1">PE!$F$2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KMR!$G$4</definedName>
    <definedName name="solver_opt" localSheetId="1" hidden="1">PE!$F$3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5" i="2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D5" i="2"/>
  <c r="G4" i="2" s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H2" i="1" l="1"/>
  <c r="H6" i="1" s="1"/>
  <c r="L37" i="1" l="1"/>
  <c r="L36" i="1"/>
  <c r="L35" i="1"/>
  <c r="E26" i="1" l="1"/>
  <c r="C26" i="1" s="1"/>
  <c r="D26" i="1" s="1"/>
  <c r="E25" i="1"/>
  <c r="E24" i="1"/>
  <c r="E23" i="1"/>
  <c r="E22" i="1"/>
  <c r="C22" i="1" s="1"/>
  <c r="E21" i="1"/>
  <c r="E20" i="1"/>
  <c r="E19" i="1"/>
  <c r="E18" i="1"/>
  <c r="C18" i="1" s="1"/>
  <c r="D18" i="1" s="1"/>
  <c r="E17" i="1"/>
  <c r="E16" i="1"/>
  <c r="E15" i="1"/>
  <c r="E14" i="1"/>
  <c r="C14" i="1" s="1"/>
  <c r="D14" i="1" s="1"/>
  <c r="E13" i="1"/>
  <c r="E12" i="1"/>
  <c r="E11" i="1"/>
  <c r="C11" i="1" s="1"/>
  <c r="D11" i="1" s="1"/>
  <c r="E10" i="1"/>
  <c r="C10" i="1" s="1"/>
  <c r="D10" i="1" s="1"/>
  <c r="E9" i="1"/>
  <c r="E8" i="1"/>
  <c r="E7" i="1"/>
  <c r="E6" i="1"/>
  <c r="C6" i="1" s="1"/>
  <c r="D6" i="1" s="1"/>
  <c r="E5" i="1"/>
  <c r="E51" i="1"/>
  <c r="E50" i="1"/>
  <c r="E49" i="1"/>
  <c r="E48" i="1"/>
  <c r="C48" i="1" s="1"/>
  <c r="D48" i="1" s="1"/>
  <c r="E47" i="1"/>
  <c r="E46" i="1"/>
  <c r="E45" i="1"/>
  <c r="E44" i="1"/>
  <c r="C44" i="1" s="1"/>
  <c r="D44" i="1" s="1"/>
  <c r="E43" i="1"/>
  <c r="E42" i="1"/>
  <c r="E41" i="1"/>
  <c r="E40" i="1"/>
  <c r="C40" i="1" s="1"/>
  <c r="D40" i="1" s="1"/>
  <c r="E39" i="1"/>
  <c r="E38" i="1"/>
  <c r="E37" i="1"/>
  <c r="E36" i="1"/>
  <c r="C36" i="1" s="1"/>
  <c r="D36" i="1" s="1"/>
  <c r="E35" i="1"/>
  <c r="E34" i="1"/>
  <c r="J55" i="1"/>
  <c r="J54" i="1"/>
  <c r="H54" i="1" s="1"/>
  <c r="I54" i="1" s="1"/>
  <c r="J53" i="1"/>
  <c r="J52" i="1"/>
  <c r="J51" i="1"/>
  <c r="H51" i="1" s="1"/>
  <c r="I51" i="1" s="1"/>
  <c r="J50" i="1"/>
  <c r="H50" i="1" s="1"/>
  <c r="I50" i="1" s="1"/>
  <c r="J49" i="1"/>
  <c r="J48" i="1"/>
  <c r="J47" i="1"/>
  <c r="J46" i="1"/>
  <c r="H46" i="1" s="1"/>
  <c r="I46" i="1" s="1"/>
  <c r="J45" i="1"/>
  <c r="J44" i="1"/>
  <c r="J42" i="1"/>
  <c r="H42" i="1" s="1"/>
  <c r="I42" i="1" s="1"/>
  <c r="J41" i="1"/>
  <c r="H41" i="1" s="1"/>
  <c r="I41" i="1" s="1"/>
  <c r="J40" i="1"/>
  <c r="J39" i="1"/>
  <c r="J38" i="1"/>
  <c r="H38" i="1" s="1"/>
  <c r="I38" i="1" s="1"/>
  <c r="J37" i="1"/>
  <c r="H37" i="1" s="1"/>
  <c r="I37" i="1" s="1"/>
  <c r="J35" i="1"/>
  <c r="J34" i="1"/>
  <c r="H34" i="1" s="1"/>
  <c r="I34" i="1" s="1"/>
  <c r="D22" i="1"/>
  <c r="H39" i="1" l="1"/>
  <c r="I39" i="1" s="1"/>
  <c r="H47" i="1"/>
  <c r="I47" i="1" s="1"/>
  <c r="H55" i="1"/>
  <c r="I55" i="1" s="1"/>
  <c r="C41" i="1"/>
  <c r="D41" i="1" s="1"/>
  <c r="C49" i="1"/>
  <c r="D49" i="1" s="1"/>
  <c r="C15" i="1"/>
  <c r="D15" i="1" s="1"/>
  <c r="C23" i="1"/>
  <c r="D23" i="1" s="1"/>
  <c r="H40" i="1"/>
  <c r="I40" i="1" s="1"/>
  <c r="H44" i="1"/>
  <c r="I44" i="1" s="1"/>
  <c r="H48" i="1"/>
  <c r="I48" i="1" s="1"/>
  <c r="H52" i="1"/>
  <c r="I52" i="1" s="1"/>
  <c r="C34" i="1"/>
  <c r="D34" i="1" s="1"/>
  <c r="C38" i="1"/>
  <c r="D38" i="1" s="1"/>
  <c r="C42" i="1"/>
  <c r="D42" i="1" s="1"/>
  <c r="C46" i="1"/>
  <c r="D46" i="1" s="1"/>
  <c r="C50" i="1"/>
  <c r="D50" i="1" s="1"/>
  <c r="C8" i="1"/>
  <c r="D8" i="1" s="1"/>
  <c r="C12" i="1"/>
  <c r="D12" i="1" s="1"/>
  <c r="C16" i="1"/>
  <c r="D16" i="1" s="1"/>
  <c r="C20" i="1"/>
  <c r="D20" i="1" s="1"/>
  <c r="C24" i="1"/>
  <c r="D24" i="1" s="1"/>
  <c r="H35" i="1"/>
  <c r="I35" i="1" s="1"/>
  <c r="C45" i="1"/>
  <c r="D45" i="1" s="1"/>
  <c r="C7" i="1"/>
  <c r="D7" i="1" s="1"/>
  <c r="C19" i="1"/>
  <c r="D19" i="1" s="1"/>
  <c r="H45" i="1"/>
  <c r="I45" i="1" s="1"/>
  <c r="H49" i="1"/>
  <c r="I49" i="1" s="1"/>
  <c r="H53" i="1"/>
  <c r="I53" i="1" s="1"/>
  <c r="C35" i="1"/>
  <c r="D35" i="1" s="1"/>
  <c r="C39" i="1"/>
  <c r="D39" i="1" s="1"/>
  <c r="C43" i="1"/>
  <c r="D43" i="1" s="1"/>
  <c r="C47" i="1"/>
  <c r="D47" i="1" s="1"/>
  <c r="C51" i="1"/>
  <c r="D51" i="1" s="1"/>
  <c r="C5" i="1"/>
  <c r="D5" i="1" s="1"/>
  <c r="C9" i="1"/>
  <c r="D9" i="1" s="1"/>
  <c r="C13" i="1"/>
  <c r="D13" i="1" s="1"/>
  <c r="C17" i="1"/>
  <c r="D17" i="1" s="1"/>
  <c r="C21" i="1"/>
  <c r="D21" i="1" s="1"/>
  <c r="C25" i="1"/>
  <c r="D25" i="1" s="1"/>
  <c r="C37" i="1"/>
  <c r="D37" i="1" s="1"/>
  <c r="J36" i="1"/>
  <c r="L42" i="1"/>
  <c r="L49" i="1"/>
  <c r="J43" i="1"/>
  <c r="F3" i="1" l="1"/>
  <c r="H36" i="1"/>
  <c r="I36" i="1" s="1"/>
  <c r="H43" i="1"/>
  <c r="I43" i="1" s="1"/>
</calcChain>
</file>

<file path=xl/sharedStrings.xml><?xml version="1.0" encoding="utf-8"?>
<sst xmlns="http://schemas.openxmlformats.org/spreadsheetml/2006/main" count="17" uniqueCount="16">
  <si>
    <t>Preis EUR/m</t>
  </si>
  <si>
    <t>a</t>
  </si>
  <si>
    <t>simona</t>
  </si>
  <si>
    <t>Innendurchmesser mm</t>
  </si>
  <si>
    <t>a*d^2</t>
  </si>
  <si>
    <t>m</t>
  </si>
  <si>
    <t>PE Tech PE100, SDR 17, PN 10</t>
  </si>
  <si>
    <t>FAPA SDR 17 PE100</t>
  </si>
  <si>
    <t>Set pipes GmbH, single Rohr, ISO 2, 12m</t>
  </si>
  <si>
    <t>b</t>
  </si>
  <si>
    <t>Innendurchmesser  m</t>
  </si>
  <si>
    <t>EUR/m</t>
  </si>
  <si>
    <t>a*d^2+ b</t>
  </si>
  <si>
    <t>Fehler</t>
  </si>
  <si>
    <t>Fit nur bis hier, da große Durchmesser nicht relevant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</si>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</sst>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12969552622076E-2"/>
          <c:y val="1.7804579679181268E-2"/>
          <c:w val="0.90186360813806121"/>
          <c:h val="0.87338807770202087"/>
        </c:manualLayout>
      </c:layout>
      <c:scatterChart>
        <c:scatterStyle val="lineMarker"/>
        <c:varyColors val="0"/>
        <c:ser>
          <c:idx val="0"/>
          <c:order val="0"/>
          <c:tx>
            <c:v>PE TEC GmbH</c:v>
          </c:tx>
          <c:spPr>
            <a:ln w="28575">
              <a:noFill/>
            </a:ln>
          </c:spPr>
          <c:xVal>
            <c:numRef>
              <c:f>PE!$A$5:$A$26</c:f>
              <c:numCache>
                <c:formatCode>General</c:formatCode>
                <c:ptCount val="22"/>
                <c:pt idx="0">
                  <c:v>28</c:v>
                </c:pt>
                <c:pt idx="1">
                  <c:v>35.200000000000003</c:v>
                </c:pt>
                <c:pt idx="2">
                  <c:v>44</c:v>
                </c:pt>
                <c:pt idx="3">
                  <c:v>55.4</c:v>
                </c:pt>
                <c:pt idx="4">
                  <c:v>66</c:v>
                </c:pt>
                <c:pt idx="5">
                  <c:v>79.2</c:v>
                </c:pt>
                <c:pt idx="6">
                  <c:v>96.8</c:v>
                </c:pt>
                <c:pt idx="7">
                  <c:v>110.2</c:v>
                </c:pt>
                <c:pt idx="8">
                  <c:v>123.4</c:v>
                </c:pt>
                <c:pt idx="9">
                  <c:v>141</c:v>
                </c:pt>
                <c:pt idx="10">
                  <c:v>158.6</c:v>
                </c:pt>
                <c:pt idx="11">
                  <c:v>176.2</c:v>
                </c:pt>
                <c:pt idx="12">
                  <c:v>198.2</c:v>
                </c:pt>
                <c:pt idx="13">
                  <c:v>220.4</c:v>
                </c:pt>
                <c:pt idx="14">
                  <c:v>246.8</c:v>
                </c:pt>
                <c:pt idx="15">
                  <c:v>277.60000000000002</c:v>
                </c:pt>
                <c:pt idx="16">
                  <c:v>312.8</c:v>
                </c:pt>
                <c:pt idx="17">
                  <c:v>352.6</c:v>
                </c:pt>
                <c:pt idx="18">
                  <c:v>396.6</c:v>
                </c:pt>
                <c:pt idx="19">
                  <c:v>440.6</c:v>
                </c:pt>
                <c:pt idx="20">
                  <c:v>493.6</c:v>
                </c:pt>
                <c:pt idx="21">
                  <c:v>555.20000000000005</c:v>
                </c:pt>
              </c:numCache>
            </c:numRef>
          </c:xVal>
          <c:yVal>
            <c:numRef>
              <c:f>PE!$B$5:$B$26</c:f>
              <c:numCache>
                <c:formatCode>0.0000</c:formatCode>
                <c:ptCount val="22"/>
                <c:pt idx="0">
                  <c:v>1.19</c:v>
                </c:pt>
                <c:pt idx="1">
                  <c:v>1.79</c:v>
                </c:pt>
                <c:pt idx="2">
                  <c:v>2.75</c:v>
                </c:pt>
                <c:pt idx="3">
                  <c:v>4.37</c:v>
                </c:pt>
                <c:pt idx="4">
                  <c:v>5.15</c:v>
                </c:pt>
                <c:pt idx="5">
                  <c:v>7.35</c:v>
                </c:pt>
                <c:pt idx="6">
                  <c:v>10.95</c:v>
                </c:pt>
                <c:pt idx="7">
                  <c:v>13.95</c:v>
                </c:pt>
                <c:pt idx="8">
                  <c:v>17.5</c:v>
                </c:pt>
                <c:pt idx="9">
                  <c:v>22.85</c:v>
                </c:pt>
                <c:pt idx="10">
                  <c:v>28.85</c:v>
                </c:pt>
                <c:pt idx="11">
                  <c:v>35.6</c:v>
                </c:pt>
                <c:pt idx="12">
                  <c:v>45.15</c:v>
                </c:pt>
                <c:pt idx="13">
                  <c:v>55.5</c:v>
                </c:pt>
                <c:pt idx="14">
                  <c:v>69.5</c:v>
                </c:pt>
                <c:pt idx="15">
                  <c:v>88</c:v>
                </c:pt>
                <c:pt idx="16">
                  <c:v>112</c:v>
                </c:pt>
                <c:pt idx="17">
                  <c:v>141.5</c:v>
                </c:pt>
                <c:pt idx="18">
                  <c:v>179</c:v>
                </c:pt>
                <c:pt idx="19">
                  <c:v>221</c:v>
                </c:pt>
                <c:pt idx="20">
                  <c:v>277</c:v>
                </c:pt>
                <c:pt idx="2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C-4848-9AE9-20B7F2A17502}"/>
            </c:ext>
          </c:extLst>
        </c:ser>
        <c:ser>
          <c:idx val="1"/>
          <c:order val="1"/>
          <c:tx>
            <c:v>Regression PE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(PE!$F$32,PE!$F$34:$F$55)</c:f>
              <c:numCache>
                <c:formatCode>General</c:formatCode>
                <c:ptCount val="23"/>
                <c:pt idx="0" formatCode="0.0000">
                  <c:v>0</c:v>
                </c:pt>
                <c:pt idx="1">
                  <c:v>28</c:v>
                </c:pt>
                <c:pt idx="2">
                  <c:v>35.200000000000003</c:v>
                </c:pt>
                <c:pt idx="3">
                  <c:v>44</c:v>
                </c:pt>
                <c:pt idx="4">
                  <c:v>55.4</c:v>
                </c:pt>
                <c:pt idx="5">
                  <c:v>66</c:v>
                </c:pt>
                <c:pt idx="6">
                  <c:v>79.2</c:v>
                </c:pt>
                <c:pt idx="7">
                  <c:v>96.8</c:v>
                </c:pt>
                <c:pt idx="8">
                  <c:v>110.2</c:v>
                </c:pt>
                <c:pt idx="9">
                  <c:v>123.4</c:v>
                </c:pt>
                <c:pt idx="10">
                  <c:v>141</c:v>
                </c:pt>
                <c:pt idx="11">
                  <c:v>158.6</c:v>
                </c:pt>
                <c:pt idx="12">
                  <c:v>176.2</c:v>
                </c:pt>
                <c:pt idx="13">
                  <c:v>198.2</c:v>
                </c:pt>
                <c:pt idx="14">
                  <c:v>220.4</c:v>
                </c:pt>
                <c:pt idx="15">
                  <c:v>246.8</c:v>
                </c:pt>
                <c:pt idx="16">
                  <c:v>277.60000000000002</c:v>
                </c:pt>
                <c:pt idx="17">
                  <c:v>312.8</c:v>
                </c:pt>
                <c:pt idx="18">
                  <c:v>352.6</c:v>
                </c:pt>
                <c:pt idx="19">
                  <c:v>396.6</c:v>
                </c:pt>
                <c:pt idx="20">
                  <c:v>440.6</c:v>
                </c:pt>
                <c:pt idx="21">
                  <c:v>493.6</c:v>
                </c:pt>
                <c:pt idx="22">
                  <c:v>555.20000000000005</c:v>
                </c:pt>
              </c:numCache>
            </c:numRef>
          </c:xVal>
          <c:yVal>
            <c:numRef>
              <c:f>(PE!$H$32,PE!$H$34:$H$55)</c:f>
              <c:numCache>
                <c:formatCode>0.0000</c:formatCode>
                <c:ptCount val="23"/>
                <c:pt idx="0">
                  <c:v>0</c:v>
                </c:pt>
                <c:pt idx="1">
                  <c:v>0.89901766171577169</c:v>
                </c:pt>
                <c:pt idx="2">
                  <c:v>1.420814851495293</c:v>
                </c:pt>
                <c:pt idx="3">
                  <c:v>2.2200232054613949</c:v>
                </c:pt>
                <c:pt idx="4">
                  <c:v>3.5194248043770116</c:v>
                </c:pt>
                <c:pt idx="5">
                  <c:v>4.9950522122881393</c:v>
                </c:pt>
                <c:pt idx="6">
                  <c:v>7.1928751856949216</c:v>
                </c:pt>
                <c:pt idx="7">
                  <c:v>10.744912314433153</c:v>
                </c:pt>
                <c:pt idx="8">
                  <c:v>13.925645975233163</c:v>
                </c:pt>
                <c:pt idx="9">
                  <c:v>17.461537480658951</c:v>
                </c:pt>
                <c:pt idx="10">
                  <c:v>22.797665985422512</c:v>
                </c:pt>
                <c:pt idx="11">
                  <c:v>28.844201915933731</c:v>
                </c:pt>
                <c:pt idx="12">
                  <c:v>35.601145272192596</c:v>
                </c:pt>
                <c:pt idx="13">
                  <c:v>45.046334909973801</c:v>
                </c:pt>
                <c:pt idx="14">
                  <c:v>55.702583900932652</c:v>
                </c:pt>
                <c:pt idx="15">
                  <c:v>69.846149922635803</c:v>
                </c:pt>
                <c:pt idx="16">
                  <c:v>88.367198064926001</c:v>
                </c:pt>
                <c:pt idx="17">
                  <c:v>112.19813807409706</c:v>
                </c:pt>
                <c:pt idx="18">
                  <c:v>142.56626666313511</c:v>
                </c:pt>
                <c:pt idx="19">
                  <c:v>180.36720724340049</c:v>
                </c:pt>
                <c:pt idx="20">
                  <c:v>222.60819423458872</c:v>
                </c:pt>
                <c:pt idx="21">
                  <c:v>279.38459969054321</c:v>
                </c:pt>
                <c:pt idx="22">
                  <c:v>353.468792259704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C-4848-9AE9-20B7F2A17502}"/>
            </c:ext>
          </c:extLst>
        </c:ser>
        <c:ser>
          <c:idx val="2"/>
          <c:order val="2"/>
          <c:tx>
            <c:v>FRANK GmbH</c:v>
          </c:tx>
          <c:spPr>
            <a:ln w="28575">
              <a:noFill/>
            </a:ln>
          </c:spPr>
          <c:xVal>
            <c:numRef>
              <c:f>PE!$A$34:$A$51</c:f>
              <c:numCache>
                <c:formatCode>General</c:formatCode>
                <c:ptCount val="18"/>
                <c:pt idx="0">
                  <c:v>66</c:v>
                </c:pt>
                <c:pt idx="1">
                  <c:v>79.2</c:v>
                </c:pt>
                <c:pt idx="2">
                  <c:v>96.8</c:v>
                </c:pt>
                <c:pt idx="3">
                  <c:v>110.2</c:v>
                </c:pt>
                <c:pt idx="4">
                  <c:v>123.4</c:v>
                </c:pt>
                <c:pt idx="5">
                  <c:v>141</c:v>
                </c:pt>
                <c:pt idx="6">
                  <c:v>158.6</c:v>
                </c:pt>
                <c:pt idx="7">
                  <c:v>176.2</c:v>
                </c:pt>
                <c:pt idx="8">
                  <c:v>198.2</c:v>
                </c:pt>
                <c:pt idx="9">
                  <c:v>220.4</c:v>
                </c:pt>
                <c:pt idx="10">
                  <c:v>246.8</c:v>
                </c:pt>
                <c:pt idx="11">
                  <c:v>277.60000000000002</c:v>
                </c:pt>
                <c:pt idx="12">
                  <c:v>312.8</c:v>
                </c:pt>
                <c:pt idx="13">
                  <c:v>352.6</c:v>
                </c:pt>
                <c:pt idx="14">
                  <c:v>396.6</c:v>
                </c:pt>
                <c:pt idx="15">
                  <c:v>440.6</c:v>
                </c:pt>
                <c:pt idx="16">
                  <c:v>493.6</c:v>
                </c:pt>
                <c:pt idx="17">
                  <c:v>555.20000000000005</c:v>
                </c:pt>
              </c:numCache>
            </c:numRef>
          </c:xVal>
          <c:yVal>
            <c:numRef>
              <c:f>PE!$B$34:$B$51</c:f>
              <c:numCache>
                <c:formatCode>0.0000</c:formatCode>
                <c:ptCount val="18"/>
                <c:pt idx="0">
                  <c:v>4.8</c:v>
                </c:pt>
                <c:pt idx="1">
                  <c:v>6.8</c:v>
                </c:pt>
                <c:pt idx="2">
                  <c:v>9.9499999999999993</c:v>
                </c:pt>
                <c:pt idx="3">
                  <c:v>12.6</c:v>
                </c:pt>
                <c:pt idx="4">
                  <c:v>16</c:v>
                </c:pt>
                <c:pt idx="5">
                  <c:v>20.75</c:v>
                </c:pt>
                <c:pt idx="6">
                  <c:v>26.25</c:v>
                </c:pt>
                <c:pt idx="7">
                  <c:v>32.4</c:v>
                </c:pt>
                <c:pt idx="8">
                  <c:v>40.950000000000003</c:v>
                </c:pt>
                <c:pt idx="9">
                  <c:v>50.4</c:v>
                </c:pt>
                <c:pt idx="10">
                  <c:v>62.75</c:v>
                </c:pt>
                <c:pt idx="11">
                  <c:v>79.7</c:v>
                </c:pt>
                <c:pt idx="12">
                  <c:v>101.3</c:v>
                </c:pt>
                <c:pt idx="13">
                  <c:v>128.30000000000001</c:v>
                </c:pt>
                <c:pt idx="14">
                  <c:v>162.30000000000001</c:v>
                </c:pt>
                <c:pt idx="15">
                  <c:v>200.4</c:v>
                </c:pt>
                <c:pt idx="16">
                  <c:v>251.1</c:v>
                </c:pt>
                <c:pt idx="17">
                  <c:v>318.14999999999998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C-4848-9AE9-20B7F2A17502}"/>
            </c:ext>
          </c:extLst>
        </c:ser>
        <c:ser>
          <c:idx val="3"/>
          <c:order val="3"/>
          <c:tx>
            <c:v>SIMONA AG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7030A0"/>
              </a:solidFill>
              <a:ln>
                <a:noFill/>
              </a:ln>
            </c:spPr>
          </c:marker>
          <c:dPt>
            <c:idx val="1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56-4ABA-963C-E7EB20CBE707}"/>
              </c:ext>
            </c:extLst>
          </c:dPt>
          <c:xVal>
            <c:numRef>
              <c:f>PE!$F$34:$F$58</c:f>
              <c:numCache>
                <c:formatCode>General</c:formatCode>
                <c:ptCount val="25"/>
                <c:pt idx="0">
                  <c:v>28</c:v>
                </c:pt>
                <c:pt idx="1">
                  <c:v>35.200000000000003</c:v>
                </c:pt>
                <c:pt idx="2">
                  <c:v>44</c:v>
                </c:pt>
                <c:pt idx="3">
                  <c:v>55.4</c:v>
                </c:pt>
                <c:pt idx="4">
                  <c:v>66</c:v>
                </c:pt>
                <c:pt idx="5">
                  <c:v>79.2</c:v>
                </c:pt>
                <c:pt idx="6">
                  <c:v>96.8</c:v>
                </c:pt>
                <c:pt idx="7">
                  <c:v>110.2</c:v>
                </c:pt>
                <c:pt idx="8">
                  <c:v>123.4</c:v>
                </c:pt>
                <c:pt idx="9">
                  <c:v>141</c:v>
                </c:pt>
                <c:pt idx="10">
                  <c:v>158.6</c:v>
                </c:pt>
                <c:pt idx="11">
                  <c:v>176.2</c:v>
                </c:pt>
                <c:pt idx="12">
                  <c:v>198.2</c:v>
                </c:pt>
                <c:pt idx="13">
                  <c:v>220.4</c:v>
                </c:pt>
                <c:pt idx="14">
                  <c:v>246.8</c:v>
                </c:pt>
                <c:pt idx="15">
                  <c:v>277.60000000000002</c:v>
                </c:pt>
                <c:pt idx="16">
                  <c:v>312.8</c:v>
                </c:pt>
                <c:pt idx="17">
                  <c:v>352.6</c:v>
                </c:pt>
                <c:pt idx="18">
                  <c:v>396.6</c:v>
                </c:pt>
                <c:pt idx="19">
                  <c:v>440.6</c:v>
                </c:pt>
                <c:pt idx="20">
                  <c:v>493.6</c:v>
                </c:pt>
                <c:pt idx="21">
                  <c:v>555.20000000000005</c:v>
                </c:pt>
              </c:numCache>
            </c:numRef>
          </c:xVal>
          <c:yVal>
            <c:numRef>
              <c:f>PE!$G$34:$G$58</c:f>
              <c:numCache>
                <c:formatCode>0.0000</c:formatCode>
                <c:ptCount val="25"/>
                <c:pt idx="0">
                  <c:v>1.4</c:v>
                </c:pt>
                <c:pt idx="1">
                  <c:v>1.95</c:v>
                </c:pt>
                <c:pt idx="2">
                  <c:v>2.7</c:v>
                </c:pt>
                <c:pt idx="3">
                  <c:v>4</c:v>
                </c:pt>
                <c:pt idx="4">
                  <c:v>5.95</c:v>
                </c:pt>
                <c:pt idx="5">
                  <c:v>8.15</c:v>
                </c:pt>
                <c:pt idx="6">
                  <c:v>11.05</c:v>
                </c:pt>
                <c:pt idx="7">
                  <c:v>15.3</c:v>
                </c:pt>
                <c:pt idx="8">
                  <c:v>18.8</c:v>
                </c:pt>
                <c:pt idx="9">
                  <c:v>23</c:v>
                </c:pt>
                <c:pt idx="10">
                  <c:v>33.35</c:v>
                </c:pt>
                <c:pt idx="11">
                  <c:v>40.299999999999997</c:v>
                </c:pt>
                <c:pt idx="12">
                  <c:v>47.45</c:v>
                </c:pt>
                <c:pt idx="13">
                  <c:v>67.2</c:v>
                </c:pt>
                <c:pt idx="14">
                  <c:v>76.8</c:v>
                </c:pt>
                <c:pt idx="15">
                  <c:v>97</c:v>
                </c:pt>
                <c:pt idx="16">
                  <c:v>134.5</c:v>
                </c:pt>
                <c:pt idx="17">
                  <c:v>177.6</c:v>
                </c:pt>
                <c:pt idx="18">
                  <c:v>196.65</c:v>
                </c:pt>
                <c:pt idx="19">
                  <c:v>247.85</c:v>
                </c:pt>
                <c:pt idx="20">
                  <c:v>310.55</c:v>
                </c:pt>
                <c:pt idx="21">
                  <c:v>393.4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6C-4848-9AE9-20B7F2A17502}"/>
            </c:ext>
          </c:extLst>
        </c:ser>
        <c:ser>
          <c:idx val="4"/>
          <c:order val="4"/>
          <c:tx>
            <c:v>Set Pipes GmbH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KMR!$E$5:$E$21</c:f>
              <c:numCache>
                <c:formatCode>General</c:formatCode>
                <c:ptCount val="17"/>
                <c:pt idx="0">
                  <c:v>21.7</c:v>
                </c:pt>
                <c:pt idx="1">
                  <c:v>28.5</c:v>
                </c:pt>
                <c:pt idx="2">
                  <c:v>36</c:v>
                </c:pt>
                <c:pt idx="3">
                  <c:v>41.9</c:v>
                </c:pt>
                <c:pt idx="4">
                  <c:v>53.900000000000006</c:v>
                </c:pt>
                <c:pt idx="5">
                  <c:v>69.7</c:v>
                </c:pt>
                <c:pt idx="6">
                  <c:v>82.5</c:v>
                </c:pt>
                <c:pt idx="7">
                  <c:v>107.1</c:v>
                </c:pt>
                <c:pt idx="8">
                  <c:v>132.5</c:v>
                </c:pt>
                <c:pt idx="9">
                  <c:v>160.30000000000001</c:v>
                </c:pt>
                <c:pt idx="10">
                  <c:v>210.10000000000002</c:v>
                </c:pt>
                <c:pt idx="11">
                  <c:v>263</c:v>
                </c:pt>
                <c:pt idx="12">
                  <c:v>312.7</c:v>
                </c:pt>
                <c:pt idx="13">
                  <c:v>344.4</c:v>
                </c:pt>
                <c:pt idx="14">
                  <c:v>393.8</c:v>
                </c:pt>
                <c:pt idx="15">
                  <c:v>444.40000000000003</c:v>
                </c:pt>
                <c:pt idx="16">
                  <c:v>495.40000000000003</c:v>
                </c:pt>
              </c:numCache>
            </c:numRef>
          </c:xVal>
          <c:yVal>
            <c:numRef>
              <c:f>KMR!$B$5:$B$21</c:f>
              <c:numCache>
                <c:formatCode>General</c:formatCode>
                <c:ptCount val="17"/>
                <c:pt idx="0">
                  <c:v>16.79</c:v>
                </c:pt>
                <c:pt idx="1">
                  <c:v>17.61</c:v>
                </c:pt>
                <c:pt idx="2">
                  <c:v>21.23</c:v>
                </c:pt>
                <c:pt idx="3">
                  <c:v>21.95</c:v>
                </c:pt>
                <c:pt idx="4">
                  <c:v>25.87</c:v>
                </c:pt>
                <c:pt idx="5">
                  <c:v>31.58</c:v>
                </c:pt>
                <c:pt idx="6">
                  <c:v>37.61</c:v>
                </c:pt>
                <c:pt idx="7">
                  <c:v>54.03</c:v>
                </c:pt>
                <c:pt idx="8">
                  <c:v>64.510000000000005</c:v>
                </c:pt>
                <c:pt idx="9">
                  <c:v>79.53</c:v>
                </c:pt>
                <c:pt idx="10">
                  <c:v>121.82</c:v>
                </c:pt>
                <c:pt idx="11">
                  <c:v>182</c:v>
                </c:pt>
                <c:pt idx="12">
                  <c:v>230.54</c:v>
                </c:pt>
                <c:pt idx="13">
                  <c:v>272.89999999999998</c:v>
                </c:pt>
                <c:pt idx="14">
                  <c:v>340.11</c:v>
                </c:pt>
                <c:pt idx="15">
                  <c:v>350.11</c:v>
                </c:pt>
                <c:pt idx="16">
                  <c:v>418.19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6-4ABA-963C-E7EB20CBE707}"/>
            </c:ext>
          </c:extLst>
        </c:ser>
        <c:ser>
          <c:idx val="5"/>
          <c:order val="5"/>
          <c:tx>
            <c:v>Regression</c:v>
          </c:tx>
          <c:spPr>
            <a:ln w="28575">
              <a:noFill/>
            </a:ln>
          </c:spPr>
          <c:marker>
            <c:symbol val="none"/>
          </c:marker>
          <c:trendline>
            <c:name>Regression</c:name>
            <c:spPr>
              <a:ln w="25400">
                <a:solidFill>
                  <a:srgbClr val="C00000"/>
                </a:solidFill>
              </a:ln>
            </c:spPr>
            <c:trendlineType val="poly"/>
            <c:order val="2"/>
            <c:backward val="21.7"/>
            <c:dispRSqr val="0"/>
            <c:dispEq val="0"/>
          </c:trendline>
          <c:xVal>
            <c:numRef>
              <c:f>KMR!$E$5:$E$21</c:f>
              <c:numCache>
                <c:formatCode>General</c:formatCode>
                <c:ptCount val="17"/>
                <c:pt idx="0">
                  <c:v>21.7</c:v>
                </c:pt>
                <c:pt idx="1">
                  <c:v>28.5</c:v>
                </c:pt>
                <c:pt idx="2">
                  <c:v>36</c:v>
                </c:pt>
                <c:pt idx="3">
                  <c:v>41.9</c:v>
                </c:pt>
                <c:pt idx="4">
                  <c:v>53.900000000000006</c:v>
                </c:pt>
                <c:pt idx="5">
                  <c:v>69.7</c:v>
                </c:pt>
                <c:pt idx="6">
                  <c:v>82.5</c:v>
                </c:pt>
                <c:pt idx="7">
                  <c:v>107.1</c:v>
                </c:pt>
                <c:pt idx="8">
                  <c:v>132.5</c:v>
                </c:pt>
                <c:pt idx="9">
                  <c:v>160.30000000000001</c:v>
                </c:pt>
                <c:pt idx="10">
                  <c:v>210.10000000000002</c:v>
                </c:pt>
                <c:pt idx="11">
                  <c:v>263</c:v>
                </c:pt>
                <c:pt idx="12">
                  <c:v>312.7</c:v>
                </c:pt>
                <c:pt idx="13">
                  <c:v>344.4</c:v>
                </c:pt>
                <c:pt idx="14">
                  <c:v>393.8</c:v>
                </c:pt>
                <c:pt idx="15">
                  <c:v>444.40000000000003</c:v>
                </c:pt>
                <c:pt idx="16">
                  <c:v>495.40000000000003</c:v>
                </c:pt>
              </c:numCache>
            </c:numRef>
          </c:xVal>
          <c:yVal>
            <c:numRef>
              <c:f>KMR!$C$5:$C$21</c:f>
              <c:numCache>
                <c:formatCode>General</c:formatCode>
                <c:ptCount val="17"/>
                <c:pt idx="0">
                  <c:v>19.4731642260702</c:v>
                </c:pt>
                <c:pt idx="1">
                  <c:v>20.344806490869271</c:v>
                </c:pt>
                <c:pt idx="2">
                  <c:v>21.580033071595043</c:v>
                </c:pt>
                <c:pt idx="3">
                  <c:v>22.753619611682637</c:v>
                </c:pt>
                <c:pt idx="4">
                  <c:v>25.689054189878711</c:v>
                </c:pt>
                <c:pt idx="5">
                  <c:v>30.675616019269409</c:v>
                </c:pt>
                <c:pt idx="6">
                  <c:v>35.650125612048171</c:v>
                </c:pt>
                <c:pt idx="7">
                  <c:v>47.559778136612366</c:v>
                </c:pt>
                <c:pt idx="8">
                  <c:v>63.099605183732052</c:v>
                </c:pt>
                <c:pt idx="9">
                  <c:v>83.884197909013452</c:v>
                </c:pt>
                <c:pt idx="10">
                  <c:v>130.98474713886603</c:v>
                </c:pt>
                <c:pt idx="11">
                  <c:v>194.88966348730668</c:v>
                </c:pt>
                <c:pt idx="12">
                  <c:v>267.94942812489688</c:v>
                </c:pt>
                <c:pt idx="13">
                  <c:v>321.13776123575684</c:v>
                </c:pt>
                <c:pt idx="14">
                  <c:v>414.25426053798583</c:v>
                </c:pt>
                <c:pt idx="15">
                  <c:v>522.55310529291262</c:v>
                </c:pt>
                <c:pt idx="16">
                  <c:v>644.93897189522841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6-4ABA-963C-E7EB20CBE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4048"/>
        <c:axId val="62161280"/>
      </c:scatterChart>
      <c:valAx>
        <c:axId val="62114048"/>
        <c:scaling>
          <c:orientation val="minMax"/>
          <c:max val="300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Rohrinnendurchmesser [mm]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500"/>
            </a:pPr>
            <a:endParaRPr lang="en-US"/>
          </a:p>
        </c:txPr>
        <c:crossAx val="62161280"/>
        <c:crosses val="autoZero"/>
        <c:crossBetween val="midCat"/>
      </c:valAx>
      <c:valAx>
        <c:axId val="62161280"/>
        <c:scaling>
          <c:orientation val="minMax"/>
          <c:max val="15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Rohrkosten [€/m]</a:t>
                </a:r>
              </a:p>
            </c:rich>
          </c:tx>
          <c:overlay val="0"/>
        </c:title>
        <c:numFmt formatCode="0" sourceLinked="0"/>
        <c:majorTickMark val="out"/>
        <c:min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500">
                <a:solidFill>
                  <a:sysClr val="windowText" lastClr="000000"/>
                </a:solidFill>
              </a:defRPr>
            </a:pPr>
            <a:endParaRPr lang="en-US"/>
          </a:p>
        </c:txPr>
        <c:crossAx val="62114048"/>
        <c:crosses val="autoZero"/>
        <c:crossBetween val="midCat"/>
        <c:majorUnit val="25"/>
      </c:valAx>
      <c:spPr>
        <a:ln w="15875"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450052599632152"/>
          <c:y val="8.9477877677164835E-2"/>
          <c:w val="0.18122543008140035"/>
          <c:h val="0.2569218096753354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0.54673</cdr:x>
      <cdr:y>0.28842</cdr:y>
    </cdr:from>
    <cdr:to>
      <cdr:x>0.64501</cdr:x>
      <cdr:y>0.44055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8D4D9FBD-414B-488C-B5CD-9CB4B3DAFCD2}"/>
            </a:ext>
          </a:extLst>
        </cdr:cNvPr>
        <cdr:cNvSpPr txBox="1"/>
      </cdr:nvSpPr>
      <cdr:spPr>
        <a:xfrm xmlns:a="http://schemas.openxmlformats.org/drawingml/2006/main" rot="18640249">
          <a:off x="5086351" y="17335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/>
            <a:t>Kunststoffmantelrohre</a:t>
          </a:r>
        </a:p>
      </cdr:txBody>
    </cdr:sp>
  </cdr:relSizeAnchor>
  <cdr:relSizeAnchor xmlns:cdr="http://schemas.openxmlformats.org/drawingml/2006/chartDrawing">
    <cdr:from>
      <cdr:x>0.71088</cdr:x>
      <cdr:y>0.48703</cdr:y>
    </cdr:from>
    <cdr:to>
      <cdr:x>0.80917</cdr:x>
      <cdr:y>0.63916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F82E6881-054D-4657-8155-CBF5E83688C7}"/>
            </a:ext>
          </a:extLst>
        </cdr:cNvPr>
        <cdr:cNvSpPr txBox="1"/>
      </cdr:nvSpPr>
      <cdr:spPr>
        <a:xfrm xmlns:a="http://schemas.openxmlformats.org/drawingml/2006/main" rot="19471441">
          <a:off x="6613524" y="29273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/>
            <a:t>PE-Rohre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5"/>
  <sheetViews>
    <sheetView topLeftCell="A19" zoomScaleNormal="100" workbookViewId="0">
      <selection activeCell="A5" sqref="A5"/>
    </sheetView>
  </sheetViews>
  <sheetFormatPr baseColWidth="10" defaultRowHeight="15" x14ac:dyDescent="0.25"/>
  <cols>
    <col min="1" max="1" width="22.42578125" bestFit="1" customWidth="1"/>
    <col min="3" max="3" width="12" bestFit="1" customWidth="1"/>
    <col min="6" max="6" width="12" bestFit="1" customWidth="1"/>
    <col min="8" max="8" width="14.5703125" bestFit="1" customWidth="1"/>
  </cols>
  <sheetData>
    <row r="2" spans="1:13" x14ac:dyDescent="0.25">
      <c r="A2" t="s">
        <v>6</v>
      </c>
      <c r="E2" t="s">
        <v>1</v>
      </c>
      <c r="F2">
        <v>1146.7062011680759</v>
      </c>
      <c r="H2">
        <f>F2/(100^2)</f>
        <v>0.11467062011680759</v>
      </c>
    </row>
    <row r="3" spans="1:13" x14ac:dyDescent="0.25">
      <c r="F3" s="1">
        <f>SUM(D5:D18,D34:D42,I34:I46)</f>
        <v>98.834304231840264</v>
      </c>
    </row>
    <row r="4" spans="1:13" x14ac:dyDescent="0.25">
      <c r="A4" t="s">
        <v>3</v>
      </c>
      <c r="B4" t="s">
        <v>0</v>
      </c>
      <c r="C4" t="s">
        <v>4</v>
      </c>
      <c r="E4" t="s">
        <v>5</v>
      </c>
    </row>
    <row r="5" spans="1:13" x14ac:dyDescent="0.25">
      <c r="A5">
        <f>32-2*2</f>
        <v>28</v>
      </c>
      <c r="B5" s="1">
        <v>1.19</v>
      </c>
      <c r="C5" s="1">
        <f t="shared" ref="C5:C26" si="0">$F$2*E5^2</f>
        <v>0.89901766171577169</v>
      </c>
      <c r="D5" s="1">
        <f t="shared" ref="D5:D26" si="1">(B5-C5)^2</f>
        <v>8.4670721193357057E-2</v>
      </c>
      <c r="E5" s="1">
        <f t="shared" ref="E5:E26" si="2">A5/1000</f>
        <v>2.8000000000000001E-2</v>
      </c>
      <c r="F5" s="1"/>
      <c r="G5" s="1"/>
      <c r="H5" s="1"/>
      <c r="I5" s="1"/>
      <c r="J5" s="1"/>
      <c r="K5" s="1"/>
      <c r="L5" s="1"/>
      <c r="M5" s="1"/>
    </row>
    <row r="6" spans="1:13" x14ac:dyDescent="0.25">
      <c r="A6">
        <f>40-2*2.4</f>
        <v>35.200000000000003</v>
      </c>
      <c r="B6" s="1">
        <v>1.79</v>
      </c>
      <c r="C6" s="1">
        <f t="shared" si="0"/>
        <v>1.420814851495293</v>
      </c>
      <c r="D6" s="1">
        <f t="shared" si="1"/>
        <v>0.13629767387644262</v>
      </c>
      <c r="E6" s="1">
        <f t="shared" si="2"/>
        <v>3.5200000000000002E-2</v>
      </c>
      <c r="F6" s="1"/>
      <c r="G6" s="1"/>
      <c r="H6" s="1">
        <f>H2*1.42^2</f>
        <v>0.23122183840353083</v>
      </c>
      <c r="I6" s="1"/>
      <c r="J6" s="1"/>
      <c r="K6" s="1"/>
      <c r="L6" s="1"/>
      <c r="M6" s="1"/>
    </row>
    <row r="7" spans="1:13" x14ac:dyDescent="0.25">
      <c r="A7">
        <f>50-2*3</f>
        <v>44</v>
      </c>
      <c r="B7" s="1">
        <v>2.75</v>
      </c>
      <c r="C7" s="1">
        <f t="shared" si="0"/>
        <v>2.2200232054613949</v>
      </c>
      <c r="D7" s="1">
        <f t="shared" si="1"/>
        <v>0.28087540274941486</v>
      </c>
      <c r="E7" s="1">
        <f t="shared" si="2"/>
        <v>4.3999999999999997E-2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>
        <f>63-2*3.8</f>
        <v>55.4</v>
      </c>
      <c r="B8" s="1">
        <v>4.37</v>
      </c>
      <c r="C8" s="1">
        <f t="shared" si="0"/>
        <v>3.5194248043770116</v>
      </c>
      <c r="D8" s="1">
        <f t="shared" si="1"/>
        <v>0.72347816340908522</v>
      </c>
      <c r="E8" s="1">
        <f t="shared" si="2"/>
        <v>5.5399999999999998E-2</v>
      </c>
      <c r="F8" s="1"/>
      <c r="G8" s="1"/>
      <c r="H8" s="1"/>
      <c r="I8" s="1"/>
      <c r="J8" s="1"/>
      <c r="K8" s="1"/>
      <c r="L8" s="1"/>
      <c r="M8" s="1"/>
    </row>
    <row r="9" spans="1:13" x14ac:dyDescent="0.25">
      <c r="A9">
        <f>75-2*4.5</f>
        <v>66</v>
      </c>
      <c r="B9" s="1">
        <v>5.15</v>
      </c>
      <c r="C9" s="1">
        <f t="shared" si="0"/>
        <v>4.9950522122881393</v>
      </c>
      <c r="D9" s="1">
        <f t="shared" si="1"/>
        <v>2.4008816916799947E-2</v>
      </c>
      <c r="E9" s="1">
        <f t="shared" si="2"/>
        <v>6.6000000000000003E-2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>
        <f>90-2*5.4</f>
        <v>79.2</v>
      </c>
      <c r="B10" s="1">
        <v>7.35</v>
      </c>
      <c r="C10" s="1">
        <f t="shared" si="0"/>
        <v>7.1928751856949216</v>
      </c>
      <c r="D10" s="1">
        <f t="shared" si="1"/>
        <v>2.4688207270405268E-2</v>
      </c>
      <c r="E10" s="1">
        <f t="shared" si="2"/>
        <v>7.9200000000000007E-2</v>
      </c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>
        <f>110-2*6.6</f>
        <v>96.8</v>
      </c>
      <c r="B11" s="1">
        <v>10.95</v>
      </c>
      <c r="C11" s="1">
        <f t="shared" si="0"/>
        <v>10.744912314433153</v>
      </c>
      <c r="D11" s="1">
        <f t="shared" si="1"/>
        <v>4.2060958771165759E-2</v>
      </c>
      <c r="E11" s="1">
        <f t="shared" si="2"/>
        <v>9.6799999999999997E-2</v>
      </c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>
        <f>125-2*7.4</f>
        <v>110.2</v>
      </c>
      <c r="B12" s="1">
        <v>13.95</v>
      </c>
      <c r="C12" s="1">
        <f t="shared" si="0"/>
        <v>13.925645975233163</v>
      </c>
      <c r="D12" s="1">
        <f t="shared" si="1"/>
        <v>5.9311852234367819E-4</v>
      </c>
      <c r="E12" s="1">
        <f t="shared" si="2"/>
        <v>0.11020000000000001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>
        <f>140-2*8.3</f>
        <v>123.4</v>
      </c>
      <c r="B13" s="1">
        <v>17.5</v>
      </c>
      <c r="C13" s="1">
        <f t="shared" si="0"/>
        <v>17.461537480658951</v>
      </c>
      <c r="D13" s="1">
        <f t="shared" si="1"/>
        <v>1.4793653940605893E-3</v>
      </c>
      <c r="E13" s="1">
        <f t="shared" si="2"/>
        <v>0.12340000000000001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>
        <f>160-2*9.5</f>
        <v>141</v>
      </c>
      <c r="B14" s="1">
        <v>22.85</v>
      </c>
      <c r="C14" s="1">
        <f t="shared" si="0"/>
        <v>22.797665985422512</v>
      </c>
      <c r="D14" s="1">
        <f t="shared" si="1"/>
        <v>2.7388490817968876E-3</v>
      </c>
      <c r="E14" s="1">
        <f t="shared" si="2"/>
        <v>0.14099999999999999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>
        <f>180-2*10.7</f>
        <v>158.6</v>
      </c>
      <c r="B15" s="1">
        <v>28.85</v>
      </c>
      <c r="C15" s="1">
        <f t="shared" si="0"/>
        <v>28.844201915933731</v>
      </c>
      <c r="D15" s="1">
        <f t="shared" si="1"/>
        <v>3.3617778839543375E-5</v>
      </c>
      <c r="E15" s="1">
        <f t="shared" si="2"/>
        <v>0.15859999999999999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>
        <f>200-2*11.9</f>
        <v>176.2</v>
      </c>
      <c r="B16" s="1">
        <v>35.6</v>
      </c>
      <c r="C16" s="1">
        <f t="shared" si="0"/>
        <v>35.601145272192596</v>
      </c>
      <c r="D16" s="1">
        <f t="shared" si="1"/>
        <v>1.3116483951310368E-6</v>
      </c>
      <c r="E16" s="1">
        <f t="shared" si="2"/>
        <v>0.1762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>
        <f>225-2*13.4</f>
        <v>198.2</v>
      </c>
      <c r="B17" s="1">
        <v>45.15</v>
      </c>
      <c r="C17" s="1">
        <f t="shared" si="0"/>
        <v>45.046334909973801</v>
      </c>
      <c r="D17" s="1">
        <f t="shared" si="1"/>
        <v>1.0746450890139633E-2</v>
      </c>
      <c r="E17" s="1">
        <f t="shared" si="2"/>
        <v>0.19819999999999999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>
        <f>250-2*14.8</f>
        <v>220.4</v>
      </c>
      <c r="B18" s="1">
        <v>55.5</v>
      </c>
      <c r="C18" s="1">
        <f t="shared" si="0"/>
        <v>55.702583900932652</v>
      </c>
      <c r="D18" s="1">
        <f t="shared" si="1"/>
        <v>4.1040236917090467E-2</v>
      </c>
      <c r="E18" s="1">
        <f t="shared" si="2"/>
        <v>0.22040000000000001</v>
      </c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>
        <f>280-2*16.6</f>
        <v>246.8</v>
      </c>
      <c r="B19" s="1">
        <v>69.5</v>
      </c>
      <c r="C19" s="1">
        <f t="shared" si="0"/>
        <v>69.846149922635803</v>
      </c>
      <c r="D19" s="1">
        <f t="shared" si="1"/>
        <v>0.11981976894077234</v>
      </c>
      <c r="E19" s="1">
        <f t="shared" si="2"/>
        <v>0.24680000000000002</v>
      </c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>
        <f>315-2*18.7</f>
        <v>277.60000000000002</v>
      </c>
      <c r="B20" s="1">
        <v>88</v>
      </c>
      <c r="C20" s="1">
        <f t="shared" si="0"/>
        <v>88.367198064926001</v>
      </c>
      <c r="D20" s="1">
        <f t="shared" si="1"/>
        <v>0.13483441888539943</v>
      </c>
      <c r="E20" s="1">
        <f t="shared" si="2"/>
        <v>0.27760000000000001</v>
      </c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>
        <f>355-2*21.1</f>
        <v>312.8</v>
      </c>
      <c r="B21" s="1">
        <v>112</v>
      </c>
      <c r="C21" s="1">
        <f t="shared" si="0"/>
        <v>112.19813807409706</v>
      </c>
      <c r="D21" s="1">
        <f t="shared" si="1"/>
        <v>3.9258696406891759E-2</v>
      </c>
      <c r="E21" s="1">
        <f t="shared" si="2"/>
        <v>0.31280000000000002</v>
      </c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>
        <f>400-2*23.7</f>
        <v>352.6</v>
      </c>
      <c r="B22" s="1">
        <v>141.5</v>
      </c>
      <c r="C22" s="1">
        <f t="shared" si="0"/>
        <v>142.56626666313511</v>
      </c>
      <c r="D22" s="1">
        <f t="shared" si="1"/>
        <v>1.1369245969132824</v>
      </c>
      <c r="E22" s="1">
        <f t="shared" si="2"/>
        <v>0.35260000000000002</v>
      </c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>
        <f>450-2*26.7</f>
        <v>396.6</v>
      </c>
      <c r="B23" s="1">
        <v>179</v>
      </c>
      <c r="C23" s="1">
        <f t="shared" si="0"/>
        <v>180.36720724340049</v>
      </c>
      <c r="D23" s="1">
        <f t="shared" si="1"/>
        <v>1.869255646406756</v>
      </c>
      <c r="E23" s="1">
        <f t="shared" si="2"/>
        <v>0.39660000000000001</v>
      </c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>
        <f>500-2*29.7</f>
        <v>440.6</v>
      </c>
      <c r="B24" s="1">
        <v>221</v>
      </c>
      <c r="C24" s="1">
        <f t="shared" si="0"/>
        <v>222.60819423458872</v>
      </c>
      <c r="D24" s="1">
        <f t="shared" si="1"/>
        <v>2.586288696164408</v>
      </c>
      <c r="E24" s="1">
        <f t="shared" si="2"/>
        <v>0.44060000000000005</v>
      </c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>
        <f>560-2*33.2</f>
        <v>493.6</v>
      </c>
      <c r="B25" s="1">
        <v>277</v>
      </c>
      <c r="C25" s="1">
        <f t="shared" si="0"/>
        <v>279.38459969054321</v>
      </c>
      <c r="D25" s="1">
        <f t="shared" si="1"/>
        <v>5.6863156841387807</v>
      </c>
      <c r="E25" s="1">
        <f t="shared" si="2"/>
        <v>0.49360000000000004</v>
      </c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>
        <f>630-2*37.4</f>
        <v>555.20000000000005</v>
      </c>
      <c r="B26" s="1">
        <v>351</v>
      </c>
      <c r="C26" s="1">
        <f t="shared" si="0"/>
        <v>353.468792259704</v>
      </c>
      <c r="D26" s="1">
        <f t="shared" si="1"/>
        <v>6.0949352215743966</v>
      </c>
      <c r="E26" s="1">
        <f t="shared" si="2"/>
        <v>0.55520000000000003</v>
      </c>
      <c r="F26" s="1"/>
      <c r="G26" s="1"/>
      <c r="H26" s="1"/>
      <c r="I26" s="1"/>
      <c r="J26" s="1"/>
      <c r="K26" s="1"/>
      <c r="L26" s="1"/>
      <c r="M26" s="1"/>
    </row>
    <row r="27" spans="1:13" x14ac:dyDescent="0.25">
      <c r="F27" s="1"/>
      <c r="G27" s="1"/>
      <c r="H27" s="1"/>
      <c r="I27" s="1"/>
      <c r="J27" s="1"/>
      <c r="K27" s="1"/>
      <c r="L27" s="1"/>
      <c r="M27" s="1"/>
    </row>
    <row r="28" spans="1:13" x14ac:dyDescent="0.25">
      <c r="F28" s="1"/>
      <c r="G28" s="1"/>
      <c r="H28" s="1"/>
      <c r="I28" s="1"/>
      <c r="J28" s="1"/>
      <c r="K28" s="1"/>
      <c r="L28" s="1"/>
      <c r="M28" s="1"/>
    </row>
    <row r="29" spans="1:13" x14ac:dyDescent="0.25">
      <c r="F29" s="1"/>
      <c r="G29" s="1"/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B32" s="1"/>
      <c r="C32" s="1"/>
      <c r="D32" s="1"/>
      <c r="E32" s="1"/>
      <c r="F32" s="1">
        <v>0</v>
      </c>
      <c r="G32" s="1">
        <v>0</v>
      </c>
      <c r="H32" s="1">
        <v>0</v>
      </c>
      <c r="I32" s="1"/>
      <c r="J32" s="1"/>
      <c r="K32" s="1"/>
      <c r="L32" s="1"/>
      <c r="M32" s="1"/>
    </row>
    <row r="33" spans="1:13" x14ac:dyDescent="0.25">
      <c r="A33" t="s">
        <v>7</v>
      </c>
      <c r="B33" s="1"/>
      <c r="C33" s="1"/>
      <c r="D33" s="1"/>
      <c r="E33" s="1"/>
      <c r="F33" s="1" t="s">
        <v>2</v>
      </c>
      <c r="G33" s="1"/>
      <c r="H33" s="1"/>
      <c r="I33" s="1"/>
      <c r="J33" s="1"/>
      <c r="K33" s="1"/>
      <c r="L33" s="1"/>
      <c r="M33" s="1"/>
    </row>
    <row r="34" spans="1:13" x14ac:dyDescent="0.25">
      <c r="A34">
        <f>75-2*4.5</f>
        <v>66</v>
      </c>
      <c r="B34" s="1">
        <v>4.8</v>
      </c>
      <c r="C34" s="1">
        <f t="shared" ref="C34:C51" si="3">$F$2*E34^2</f>
        <v>4.9950522122881393</v>
      </c>
      <c r="D34" s="1">
        <f t="shared" ref="D34:D51" si="4">(B34-C34)^2</f>
        <v>3.8045365518497444E-2</v>
      </c>
      <c r="E34" s="1">
        <f t="shared" ref="E34:E51" si="5">A34/1000</f>
        <v>6.6000000000000003E-2</v>
      </c>
      <c r="F34">
        <f>32-2*2</f>
        <v>28</v>
      </c>
      <c r="G34" s="1">
        <v>1.4</v>
      </c>
      <c r="H34" s="1">
        <f t="shared" ref="H34:H55" si="6">$F$2*J34^2</f>
        <v>0.89901766171577169</v>
      </c>
      <c r="I34" s="1">
        <f t="shared" ref="I34:I55" si="7">(H34-G34)^2</f>
        <v>0.25098330327273288</v>
      </c>
      <c r="J34" s="1">
        <f t="shared" ref="J34:J55" si="8">F34/1000</f>
        <v>2.8000000000000001E-2</v>
      </c>
      <c r="K34" s="1"/>
      <c r="L34" s="1"/>
      <c r="M34" s="1"/>
    </row>
    <row r="35" spans="1:13" x14ac:dyDescent="0.25">
      <c r="A35">
        <f>90-2*5.4</f>
        <v>79.2</v>
      </c>
      <c r="B35" s="1">
        <v>6.8</v>
      </c>
      <c r="C35" s="1">
        <f t="shared" si="3"/>
        <v>7.1928751856949216</v>
      </c>
      <c r="D35" s="1">
        <f t="shared" si="4"/>
        <v>0.15435091153481925</v>
      </c>
      <c r="E35" s="1">
        <f t="shared" si="5"/>
        <v>7.9200000000000007E-2</v>
      </c>
      <c r="F35">
        <f>40-2*2.4</f>
        <v>35.200000000000003</v>
      </c>
      <c r="G35" s="1">
        <v>1.95</v>
      </c>
      <c r="H35" s="1">
        <f t="shared" si="6"/>
        <v>1.420814851495293</v>
      </c>
      <c r="I35" s="1">
        <f t="shared" si="7"/>
        <v>0.28003692139794878</v>
      </c>
      <c r="J35" s="1">
        <f t="shared" si="8"/>
        <v>3.5200000000000002E-2</v>
      </c>
      <c r="K35" s="1"/>
      <c r="L35" s="1">
        <f>10/8.2</f>
        <v>1.2195121951219514</v>
      </c>
      <c r="M35" s="1"/>
    </row>
    <row r="36" spans="1:13" x14ac:dyDescent="0.25">
      <c r="A36">
        <f>110-2*6.6</f>
        <v>96.8</v>
      </c>
      <c r="B36" s="1">
        <v>9.9499999999999993</v>
      </c>
      <c r="C36" s="1">
        <f t="shared" si="3"/>
        <v>10.744912314433153</v>
      </c>
      <c r="D36" s="1">
        <f t="shared" si="4"/>
        <v>0.63188558763747249</v>
      </c>
      <c r="E36" s="1">
        <f t="shared" si="5"/>
        <v>9.6799999999999997E-2</v>
      </c>
      <c r="F36">
        <f>50-2*3</f>
        <v>44</v>
      </c>
      <c r="G36" s="1">
        <v>2.7</v>
      </c>
      <c r="H36" s="1">
        <f t="shared" si="6"/>
        <v>2.2200232054613949</v>
      </c>
      <c r="I36" s="1">
        <f t="shared" si="7"/>
        <v>0.23037772329555453</v>
      </c>
      <c r="J36" s="1">
        <f t="shared" si="8"/>
        <v>4.3999999999999997E-2</v>
      </c>
      <c r="K36" s="1"/>
      <c r="L36" s="1">
        <f>12/10.2</f>
        <v>1.1764705882352942</v>
      </c>
      <c r="M36" s="1"/>
    </row>
    <row r="37" spans="1:13" x14ac:dyDescent="0.25">
      <c r="A37">
        <f>125-2*7.4</f>
        <v>110.2</v>
      </c>
      <c r="B37" s="1">
        <v>12.6</v>
      </c>
      <c r="C37" s="1">
        <f t="shared" si="3"/>
        <v>13.925645975233163</v>
      </c>
      <c r="D37" s="1">
        <f t="shared" si="4"/>
        <v>1.7573372516518846</v>
      </c>
      <c r="E37" s="1">
        <f t="shared" si="5"/>
        <v>0.11020000000000001</v>
      </c>
      <c r="F37">
        <f>63-2*3.8</f>
        <v>55.4</v>
      </c>
      <c r="G37" s="1">
        <v>4</v>
      </c>
      <c r="H37" s="1">
        <f t="shared" si="6"/>
        <v>3.5194248043770116</v>
      </c>
      <c r="I37" s="1">
        <f t="shared" si="7"/>
        <v>0.23095251864807362</v>
      </c>
      <c r="J37" s="1">
        <f t="shared" si="8"/>
        <v>5.5399999999999998E-2</v>
      </c>
      <c r="K37" s="1"/>
      <c r="L37" s="1">
        <f>16/14.2</f>
        <v>1.1267605633802817</v>
      </c>
      <c r="M37" s="1"/>
    </row>
    <row r="38" spans="1:13" x14ac:dyDescent="0.25">
      <c r="A38">
        <f>140-2*8.3</f>
        <v>123.4</v>
      </c>
      <c r="B38" s="1">
        <v>16</v>
      </c>
      <c r="C38" s="1">
        <f t="shared" si="3"/>
        <v>17.461537480658951</v>
      </c>
      <c r="D38" s="1">
        <f t="shared" si="4"/>
        <v>2.1360918073709128</v>
      </c>
      <c r="E38" s="1">
        <f t="shared" si="5"/>
        <v>0.12340000000000001</v>
      </c>
      <c r="F38">
        <f>75-2*4.5</f>
        <v>66</v>
      </c>
      <c r="G38" s="1">
        <v>5.95</v>
      </c>
      <c r="H38" s="1">
        <f t="shared" si="6"/>
        <v>4.9950522122881393</v>
      </c>
      <c r="I38" s="1">
        <f t="shared" si="7"/>
        <v>0.91192527725577721</v>
      </c>
      <c r="J38" s="1">
        <f t="shared" si="8"/>
        <v>6.6000000000000003E-2</v>
      </c>
      <c r="K38" s="1"/>
      <c r="L38" s="1"/>
      <c r="M38" s="1"/>
    </row>
    <row r="39" spans="1:13" x14ac:dyDescent="0.25">
      <c r="A39">
        <f>160-2*9.5</f>
        <v>141</v>
      </c>
      <c r="B39" s="1">
        <v>20.75</v>
      </c>
      <c r="C39" s="1">
        <f t="shared" si="3"/>
        <v>22.797665985422512</v>
      </c>
      <c r="D39" s="1">
        <f t="shared" si="4"/>
        <v>4.1929359878563464</v>
      </c>
      <c r="E39" s="1">
        <f t="shared" si="5"/>
        <v>0.14099999999999999</v>
      </c>
      <c r="F39">
        <f>90-2*5.4</f>
        <v>79.2</v>
      </c>
      <c r="G39" s="1">
        <v>8.15</v>
      </c>
      <c r="H39" s="1">
        <f t="shared" si="6"/>
        <v>7.1928751856949216</v>
      </c>
      <c r="I39" s="1">
        <f t="shared" si="7"/>
        <v>0.91608791015853153</v>
      </c>
      <c r="J39" s="1">
        <f t="shared" si="8"/>
        <v>7.9200000000000007E-2</v>
      </c>
      <c r="K39" s="1"/>
      <c r="L39" s="1"/>
      <c r="M39" s="1"/>
    </row>
    <row r="40" spans="1:13" x14ac:dyDescent="0.25">
      <c r="A40">
        <f>180-2*10.7</f>
        <v>158.6</v>
      </c>
      <c r="B40" s="1">
        <v>26.25</v>
      </c>
      <c r="C40" s="1">
        <f t="shared" si="3"/>
        <v>28.844201915933731</v>
      </c>
      <c r="D40" s="1">
        <f t="shared" si="4"/>
        <v>6.7298835806342385</v>
      </c>
      <c r="E40" s="1">
        <f t="shared" si="5"/>
        <v>0.15859999999999999</v>
      </c>
      <c r="F40">
        <f>110-2*6.6</f>
        <v>96.8</v>
      </c>
      <c r="G40" s="1">
        <v>11.05</v>
      </c>
      <c r="H40" s="1">
        <f t="shared" si="6"/>
        <v>10.744912314433153</v>
      </c>
      <c r="I40" s="1">
        <f t="shared" si="7"/>
        <v>9.3078495884535956E-2</v>
      </c>
      <c r="J40" s="1">
        <f t="shared" si="8"/>
        <v>9.6799999999999997E-2</v>
      </c>
      <c r="K40" s="1"/>
      <c r="L40" s="1"/>
      <c r="M40" s="1"/>
    </row>
    <row r="41" spans="1:13" x14ac:dyDescent="0.25">
      <c r="A41">
        <f>200-2*11.9</f>
        <v>176.2</v>
      </c>
      <c r="B41" s="1">
        <v>32.4</v>
      </c>
      <c r="C41" s="1">
        <f t="shared" si="3"/>
        <v>35.601145272192596</v>
      </c>
      <c r="D41" s="1">
        <f t="shared" si="4"/>
        <v>10.24733105368102</v>
      </c>
      <c r="E41" s="1">
        <f t="shared" si="5"/>
        <v>0.1762</v>
      </c>
      <c r="F41">
        <f>125-2*7.4</f>
        <v>110.2</v>
      </c>
      <c r="G41" s="1">
        <v>15.3</v>
      </c>
      <c r="H41" s="1">
        <f t="shared" si="6"/>
        <v>13.925645975233163</v>
      </c>
      <c r="I41" s="1">
        <f t="shared" si="7"/>
        <v>1.8888489853928057</v>
      </c>
      <c r="J41" s="1">
        <f t="shared" si="8"/>
        <v>0.11020000000000001</v>
      </c>
      <c r="K41" s="1"/>
      <c r="L41" s="1"/>
      <c r="M41" s="1"/>
    </row>
    <row r="42" spans="1:13" x14ac:dyDescent="0.25">
      <c r="A42">
        <f>225-2*13.4</f>
        <v>198.2</v>
      </c>
      <c r="B42" s="1">
        <v>40.950000000000003</v>
      </c>
      <c r="C42" s="1">
        <f t="shared" si="3"/>
        <v>45.046334909973801</v>
      </c>
      <c r="D42" s="1">
        <f t="shared" si="4"/>
        <v>16.779959694670044</v>
      </c>
      <c r="E42" s="1">
        <f t="shared" si="5"/>
        <v>0.19819999999999999</v>
      </c>
      <c r="F42">
        <f>140-2*8.3</f>
        <v>123.4</v>
      </c>
      <c r="G42" s="1">
        <v>18.8</v>
      </c>
      <c r="H42" s="1">
        <f t="shared" si="6"/>
        <v>17.461537480658951</v>
      </c>
      <c r="I42" s="1">
        <f t="shared" si="7"/>
        <v>1.7914819156807906</v>
      </c>
      <c r="J42" s="1">
        <f t="shared" si="8"/>
        <v>0.12340000000000001</v>
      </c>
      <c r="K42" s="1"/>
      <c r="L42" s="1">
        <f>50/F36</f>
        <v>1.1363636363636365</v>
      </c>
      <c r="M42" s="1"/>
    </row>
    <row r="43" spans="1:13" x14ac:dyDescent="0.25">
      <c r="A43">
        <f>250-2*14.8</f>
        <v>220.4</v>
      </c>
      <c r="B43" s="1">
        <v>50.4</v>
      </c>
      <c r="C43" s="1">
        <f t="shared" si="3"/>
        <v>55.702583900932652</v>
      </c>
      <c r="D43" s="1">
        <f t="shared" si="4"/>
        <v>28.117396026430153</v>
      </c>
      <c r="E43" s="1">
        <f t="shared" si="5"/>
        <v>0.22040000000000001</v>
      </c>
      <c r="F43">
        <f>160-2*9.5</f>
        <v>141</v>
      </c>
      <c r="G43" s="1">
        <v>23</v>
      </c>
      <c r="H43" s="1">
        <f t="shared" si="6"/>
        <v>22.797665985422512</v>
      </c>
      <c r="I43" s="1">
        <f t="shared" si="7"/>
        <v>4.0939053455043173E-2</v>
      </c>
      <c r="J43" s="1">
        <f t="shared" si="8"/>
        <v>0.14099999999999999</v>
      </c>
      <c r="K43" s="1"/>
      <c r="L43" s="1"/>
      <c r="M43" s="1"/>
    </row>
    <row r="44" spans="1:13" x14ac:dyDescent="0.25">
      <c r="A44">
        <f>280-2*16.6</f>
        <v>246.8</v>
      </c>
      <c r="B44" s="1">
        <v>62.75</v>
      </c>
      <c r="C44" s="1">
        <f t="shared" si="3"/>
        <v>69.846149922635803</v>
      </c>
      <c r="D44" s="1">
        <f t="shared" si="4"/>
        <v>50.355343724524111</v>
      </c>
      <c r="E44" s="1">
        <f t="shared" si="5"/>
        <v>0.24680000000000002</v>
      </c>
      <c r="F44">
        <f>180-2*10.7</f>
        <v>158.6</v>
      </c>
      <c r="G44" s="1">
        <v>33.35</v>
      </c>
      <c r="H44" s="1">
        <f t="shared" si="6"/>
        <v>28.844201915933731</v>
      </c>
      <c r="I44" s="1">
        <f t="shared" si="7"/>
        <v>20.302216374375277</v>
      </c>
      <c r="J44" s="1">
        <f t="shared" si="8"/>
        <v>0.15859999999999999</v>
      </c>
      <c r="K44" s="1"/>
      <c r="L44" s="1"/>
      <c r="M44" s="1"/>
    </row>
    <row r="45" spans="1:13" x14ac:dyDescent="0.25">
      <c r="A45">
        <f>315-2*18.7</f>
        <v>277.60000000000002</v>
      </c>
      <c r="B45" s="1">
        <v>79.7</v>
      </c>
      <c r="C45" s="1">
        <f t="shared" si="3"/>
        <v>88.367198064926001</v>
      </c>
      <c r="D45" s="1">
        <f t="shared" si="4"/>
        <v>75.120322296656965</v>
      </c>
      <c r="E45" s="1">
        <f t="shared" si="5"/>
        <v>0.27760000000000001</v>
      </c>
      <c r="F45">
        <f>200-2*11.9</f>
        <v>176.2</v>
      </c>
      <c r="G45" s="1">
        <v>40.299999999999997</v>
      </c>
      <c r="H45" s="1">
        <f t="shared" si="6"/>
        <v>35.601145272192596</v>
      </c>
      <c r="I45" s="1">
        <f t="shared" si="7"/>
        <v>22.079235753037963</v>
      </c>
      <c r="J45" s="1">
        <f t="shared" si="8"/>
        <v>0.1762</v>
      </c>
      <c r="K45" s="1"/>
      <c r="L45" s="1"/>
      <c r="M45" s="1"/>
    </row>
    <row r="46" spans="1:13" x14ac:dyDescent="0.25">
      <c r="A46">
        <f>355-2*21.1</f>
        <v>312.8</v>
      </c>
      <c r="B46" s="1">
        <v>101.3</v>
      </c>
      <c r="C46" s="1">
        <f t="shared" si="3"/>
        <v>112.19813807409706</v>
      </c>
      <c r="D46" s="1">
        <f t="shared" si="4"/>
        <v>118.76941348208402</v>
      </c>
      <c r="E46" s="1">
        <f t="shared" si="5"/>
        <v>0.31280000000000002</v>
      </c>
      <c r="F46">
        <f>225-2*13.4</f>
        <v>198.2</v>
      </c>
      <c r="G46" s="1">
        <v>47.45</v>
      </c>
      <c r="H46" s="1">
        <f t="shared" si="6"/>
        <v>45.046334909973801</v>
      </c>
      <c r="I46" s="1">
        <f t="shared" si="7"/>
        <v>5.7776058650106688</v>
      </c>
      <c r="J46" s="1">
        <f t="shared" si="8"/>
        <v>0.19819999999999999</v>
      </c>
      <c r="K46" s="1"/>
      <c r="L46" s="1"/>
      <c r="M46" s="1"/>
    </row>
    <row r="47" spans="1:13" x14ac:dyDescent="0.25">
      <c r="A47">
        <f>400-2*23.7</f>
        <v>352.6</v>
      </c>
      <c r="B47" s="1">
        <v>128.30000000000001</v>
      </c>
      <c r="C47" s="1">
        <f t="shared" si="3"/>
        <v>142.56626666313511</v>
      </c>
      <c r="D47" s="1">
        <f t="shared" si="4"/>
        <v>203.52636450367987</v>
      </c>
      <c r="E47" s="1">
        <f t="shared" si="5"/>
        <v>0.35260000000000002</v>
      </c>
      <c r="F47">
        <f>250-2*14.8</f>
        <v>220.4</v>
      </c>
      <c r="G47" s="1">
        <v>67.2</v>
      </c>
      <c r="H47" s="1">
        <f t="shared" si="6"/>
        <v>55.702583900932652</v>
      </c>
      <c r="I47" s="1">
        <f t="shared" si="7"/>
        <v>132.19057695509309</v>
      </c>
      <c r="J47" s="1">
        <f t="shared" si="8"/>
        <v>0.22040000000000001</v>
      </c>
      <c r="K47" s="1"/>
      <c r="L47" s="1"/>
      <c r="M47" s="1"/>
    </row>
    <row r="48" spans="1:13" x14ac:dyDescent="0.25">
      <c r="A48">
        <f>450-2*26.7</f>
        <v>396.6</v>
      </c>
      <c r="B48" s="1">
        <v>162.30000000000001</v>
      </c>
      <c r="C48" s="1">
        <f t="shared" si="3"/>
        <v>180.36720724340049</v>
      </c>
      <c r="D48" s="1">
        <f t="shared" si="4"/>
        <v>326.42397757598258</v>
      </c>
      <c r="E48" s="1">
        <f t="shared" si="5"/>
        <v>0.39660000000000001</v>
      </c>
      <c r="F48">
        <f>280-2*16.6</f>
        <v>246.8</v>
      </c>
      <c r="G48" s="1">
        <v>76.8</v>
      </c>
      <c r="H48" s="1">
        <f t="shared" si="6"/>
        <v>69.846149922635803</v>
      </c>
      <c r="I48" s="1">
        <f t="shared" si="7"/>
        <v>48.356030898458009</v>
      </c>
      <c r="J48" s="1">
        <f t="shared" si="8"/>
        <v>0.24680000000000002</v>
      </c>
      <c r="K48" s="1"/>
      <c r="L48" s="1"/>
      <c r="M48" s="1"/>
    </row>
    <row r="49" spans="1:13" x14ac:dyDescent="0.25">
      <c r="A49">
        <f>500-2*29.7</f>
        <v>440.6</v>
      </c>
      <c r="B49" s="1">
        <v>200.4</v>
      </c>
      <c r="C49" s="1">
        <f t="shared" si="3"/>
        <v>222.60819423458872</v>
      </c>
      <c r="D49" s="1">
        <f t="shared" si="4"/>
        <v>493.20389116121953</v>
      </c>
      <c r="E49" s="1">
        <f t="shared" si="5"/>
        <v>0.44060000000000005</v>
      </c>
      <c r="F49">
        <f>315-2*18.7</f>
        <v>277.60000000000002</v>
      </c>
      <c r="G49" s="1">
        <v>97</v>
      </c>
      <c r="H49" s="1">
        <f t="shared" si="6"/>
        <v>88.367198064926001</v>
      </c>
      <c r="I49" s="1">
        <f t="shared" si="7"/>
        <v>74.525269250217391</v>
      </c>
      <c r="J49" s="1">
        <f t="shared" si="8"/>
        <v>0.27760000000000001</v>
      </c>
      <c r="K49" s="1"/>
      <c r="L49" s="1">
        <f>160/F43</f>
        <v>1.1347517730496455</v>
      </c>
      <c r="M49" s="1"/>
    </row>
    <row r="50" spans="1:13" x14ac:dyDescent="0.25">
      <c r="A50">
        <f>560-2*33.2</f>
        <v>493.6</v>
      </c>
      <c r="B50" s="1">
        <v>251.1</v>
      </c>
      <c r="C50" s="1">
        <f t="shared" si="3"/>
        <v>279.38459969054321</v>
      </c>
      <c r="D50" s="1">
        <f t="shared" si="4"/>
        <v>800.01857965427746</v>
      </c>
      <c r="E50" s="1">
        <f t="shared" si="5"/>
        <v>0.49360000000000004</v>
      </c>
      <c r="F50">
        <f>355-2*21.1</f>
        <v>312.8</v>
      </c>
      <c r="G50" s="1">
        <v>134.5</v>
      </c>
      <c r="H50" s="1">
        <f t="shared" si="6"/>
        <v>112.19813807409706</v>
      </c>
      <c r="I50" s="1">
        <f t="shared" si="7"/>
        <v>497.37304536203925</v>
      </c>
      <c r="J50" s="1">
        <f t="shared" si="8"/>
        <v>0.31280000000000002</v>
      </c>
      <c r="K50" s="1"/>
      <c r="L50" s="1"/>
      <c r="M50" s="1"/>
    </row>
    <row r="51" spans="1:13" x14ac:dyDescent="0.25">
      <c r="A51">
        <f>630-2*37.4</f>
        <v>555.20000000000005</v>
      </c>
      <c r="B51" s="1">
        <v>318.14999999999998</v>
      </c>
      <c r="C51" s="1">
        <f t="shared" si="3"/>
        <v>353.468792259704</v>
      </c>
      <c r="D51" s="1">
        <f t="shared" si="4"/>
        <v>1247.4170866841289</v>
      </c>
      <c r="E51" s="1">
        <f t="shared" si="5"/>
        <v>0.55520000000000003</v>
      </c>
      <c r="F51">
        <f>400-2*23.7</f>
        <v>352.6</v>
      </c>
      <c r="G51" s="1">
        <v>177.6</v>
      </c>
      <c r="H51" s="1">
        <f t="shared" si="6"/>
        <v>142.56626666313511</v>
      </c>
      <c r="I51" s="1">
        <f t="shared" si="7"/>
        <v>1227.3624715185579</v>
      </c>
      <c r="J51" s="1">
        <f t="shared" si="8"/>
        <v>0.35260000000000002</v>
      </c>
      <c r="K51" s="1"/>
      <c r="L51" s="1"/>
      <c r="M51" s="1"/>
    </row>
    <row r="52" spans="1:13" x14ac:dyDescent="0.25">
      <c r="F52">
        <f>450-2*26.7</f>
        <v>396.6</v>
      </c>
      <c r="G52" s="1">
        <v>196.65</v>
      </c>
      <c r="H52" s="1">
        <f t="shared" si="6"/>
        <v>180.36720724340049</v>
      </c>
      <c r="I52" s="1">
        <f t="shared" si="7"/>
        <v>265.12933995436981</v>
      </c>
      <c r="J52" s="1">
        <f t="shared" si="8"/>
        <v>0.39660000000000001</v>
      </c>
      <c r="K52" s="1"/>
      <c r="L52" s="1"/>
      <c r="M52" s="1"/>
    </row>
    <row r="53" spans="1:13" x14ac:dyDescent="0.25">
      <c r="F53">
        <f>500-2*29.7</f>
        <v>440.6</v>
      </c>
      <c r="G53" s="1">
        <v>247.85</v>
      </c>
      <c r="H53" s="1">
        <f t="shared" si="6"/>
        <v>222.60819423458872</v>
      </c>
      <c r="I53" s="1">
        <f t="shared" si="7"/>
        <v>637.14875829874973</v>
      </c>
      <c r="J53" s="1">
        <f t="shared" si="8"/>
        <v>0.44060000000000005</v>
      </c>
      <c r="K53" s="1"/>
      <c r="L53" s="1"/>
      <c r="M53" s="1"/>
    </row>
    <row r="54" spans="1:13" x14ac:dyDescent="0.25">
      <c r="B54" s="1"/>
      <c r="C54" s="1"/>
      <c r="D54" s="1"/>
      <c r="E54" s="1"/>
      <c r="F54">
        <f>560-2*33.2</f>
        <v>493.6</v>
      </c>
      <c r="G54" s="1">
        <v>310.55</v>
      </c>
      <c r="H54" s="1">
        <f t="shared" si="6"/>
        <v>279.38459969054321</v>
      </c>
      <c r="I54" s="1">
        <f t="shared" si="7"/>
        <v>971.28217644868994</v>
      </c>
      <c r="J54" s="1">
        <f t="shared" si="8"/>
        <v>0.49360000000000004</v>
      </c>
      <c r="K54" s="1"/>
      <c r="L54" s="1"/>
      <c r="M54" s="1"/>
    </row>
    <row r="55" spans="1:13" x14ac:dyDescent="0.25">
      <c r="B55" s="1"/>
      <c r="C55" s="1"/>
      <c r="D55" s="1"/>
      <c r="E55" s="1"/>
      <c r="F55">
        <f>630-2*37.4</f>
        <v>555.20000000000005</v>
      </c>
      <c r="G55" s="1">
        <v>393.4</v>
      </c>
      <c r="H55" s="1">
        <f t="shared" si="6"/>
        <v>353.468792259704</v>
      </c>
      <c r="I55" s="1">
        <f t="shared" si="7"/>
        <v>1594.5013515986732</v>
      </c>
      <c r="J55" s="1">
        <f t="shared" si="8"/>
        <v>0.55520000000000003</v>
      </c>
      <c r="K55" s="1"/>
      <c r="L55" s="1"/>
      <c r="M55" s="1"/>
    </row>
    <row r="56" spans="1:13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B59" s="1"/>
      <c r="C59" s="1"/>
      <c r="D59" s="1"/>
      <c r="E59" s="1"/>
      <c r="K59" s="1"/>
      <c r="L59" s="1"/>
      <c r="M59" s="1"/>
    </row>
    <row r="60" spans="1:13" x14ac:dyDescent="0.25">
      <c r="B60" s="1"/>
      <c r="C60" s="1"/>
      <c r="D60" s="1"/>
      <c r="E60" s="1"/>
      <c r="K60" s="1"/>
      <c r="L60" s="1"/>
      <c r="M60" s="1"/>
    </row>
    <row r="61" spans="1:13" x14ac:dyDescent="0.25">
      <c r="B61" s="1"/>
      <c r="C61" s="1"/>
      <c r="D61" s="1"/>
      <c r="E61" s="1"/>
      <c r="K61" s="1"/>
      <c r="L61" s="1"/>
      <c r="M61" s="1"/>
    </row>
    <row r="62" spans="1:13" x14ac:dyDescent="0.25">
      <c r="B62" s="1"/>
      <c r="C62" s="1"/>
      <c r="D62" s="1"/>
      <c r="E62" s="1"/>
      <c r="K62" s="1"/>
      <c r="L62" s="1"/>
      <c r="M62" s="1"/>
    </row>
    <row r="63" spans="1:13" x14ac:dyDescent="0.25">
      <c r="B63" s="1"/>
      <c r="C63" s="1"/>
      <c r="D63" s="1"/>
      <c r="E63" s="1"/>
      <c r="K63" s="1"/>
      <c r="L63" s="1"/>
      <c r="M63" s="1"/>
    </row>
    <row r="64" spans="1:13" x14ac:dyDescent="0.25">
      <c r="B64" s="1"/>
      <c r="C64" s="1"/>
      <c r="D64" s="1"/>
      <c r="E64" s="1"/>
      <c r="K64" s="1"/>
      <c r="L64" s="1"/>
      <c r="M64" s="1"/>
    </row>
    <row r="65" spans="2:13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zoomScale="115" zoomScaleNormal="115" workbookViewId="0">
      <selection activeCell="I24" sqref="I24"/>
    </sheetView>
  </sheetViews>
  <sheetFormatPr baseColWidth="10" defaultRowHeight="15" x14ac:dyDescent="0.25"/>
  <sheetData>
    <row r="1" spans="1:7" x14ac:dyDescent="0.25">
      <c r="F1" t="s">
        <v>1</v>
      </c>
      <c r="G1">
        <v>2553.4399601566397</v>
      </c>
    </row>
    <row r="2" spans="1:7" x14ac:dyDescent="0.25">
      <c r="A2" t="s">
        <v>8</v>
      </c>
      <c r="F2" t="s">
        <v>9</v>
      </c>
      <c r="G2">
        <v>18.27077488323204</v>
      </c>
    </row>
    <row r="4" spans="1:7" x14ac:dyDescent="0.25">
      <c r="A4" t="s">
        <v>10</v>
      </c>
      <c r="B4" t="s">
        <v>11</v>
      </c>
      <c r="C4" t="s">
        <v>12</v>
      </c>
      <c r="E4" t="s">
        <v>15</v>
      </c>
      <c r="F4" t="s">
        <v>13</v>
      </c>
      <c r="G4">
        <f>SUM(D5:D14)</f>
        <v>82.950647755478911</v>
      </c>
    </row>
    <row r="5" spans="1:7" x14ac:dyDescent="0.25">
      <c r="A5">
        <v>2.1700000000000001E-2</v>
      </c>
      <c r="B5">
        <v>16.79</v>
      </c>
      <c r="C5">
        <f>$G$1*A5^2+$G$2</f>
        <v>19.4731642260702</v>
      </c>
      <c r="D5">
        <f>(B5-C5)^2</f>
        <v>7.1993702640628978</v>
      </c>
      <c r="E5">
        <f>A5*1000</f>
        <v>21.7</v>
      </c>
    </row>
    <row r="6" spans="1:7" x14ac:dyDescent="0.25">
      <c r="A6">
        <v>2.8500000000000001E-2</v>
      </c>
      <c r="B6">
        <v>17.61</v>
      </c>
      <c r="C6">
        <f t="shared" ref="C6:C21" si="0">$G$1*A6^2+$G$2</f>
        <v>20.344806490869271</v>
      </c>
      <c r="D6">
        <f t="shared" ref="D6:D21" si="1">(B6-C6)^2</f>
        <v>7.4791665425006979</v>
      </c>
      <c r="E6">
        <f t="shared" ref="E6:E21" si="2">A6*1000</f>
        <v>28.5</v>
      </c>
    </row>
    <row r="7" spans="1:7" x14ac:dyDescent="0.25">
      <c r="A7">
        <v>3.5999999999999997E-2</v>
      </c>
      <c r="B7">
        <v>21.23</v>
      </c>
      <c r="C7">
        <f t="shared" si="0"/>
        <v>21.580033071595043</v>
      </c>
      <c r="D7">
        <f t="shared" si="1"/>
        <v>0.12252315121026022</v>
      </c>
      <c r="E7">
        <f t="shared" si="2"/>
        <v>36</v>
      </c>
    </row>
    <row r="8" spans="1:7" x14ac:dyDescent="0.25">
      <c r="A8">
        <v>4.19E-2</v>
      </c>
      <c r="B8">
        <v>21.95</v>
      </c>
      <c r="C8">
        <f t="shared" si="0"/>
        <v>22.753619611682637</v>
      </c>
      <c r="D8">
        <f t="shared" si="1"/>
        <v>0.64580448028095416</v>
      </c>
      <c r="E8">
        <f t="shared" si="2"/>
        <v>41.9</v>
      </c>
    </row>
    <row r="9" spans="1:7" x14ac:dyDescent="0.25">
      <c r="A9">
        <v>5.3900000000000003E-2</v>
      </c>
      <c r="B9">
        <v>25.87</v>
      </c>
      <c r="C9">
        <f t="shared" si="0"/>
        <v>25.689054189878711</v>
      </c>
      <c r="D9">
        <f t="shared" si="1"/>
        <v>3.2741386200450084E-2</v>
      </c>
      <c r="E9">
        <f t="shared" si="2"/>
        <v>53.900000000000006</v>
      </c>
    </row>
    <row r="10" spans="1:7" x14ac:dyDescent="0.25">
      <c r="A10">
        <v>6.9699999999999998E-2</v>
      </c>
      <c r="B10">
        <v>31.58</v>
      </c>
      <c r="C10">
        <f t="shared" si="0"/>
        <v>30.675616019269409</v>
      </c>
      <c r="D10">
        <f t="shared" si="1"/>
        <v>0.81791038460210697</v>
      </c>
      <c r="E10">
        <f t="shared" si="2"/>
        <v>69.7</v>
      </c>
    </row>
    <row r="11" spans="1:7" x14ac:dyDescent="0.25">
      <c r="A11">
        <v>8.2500000000000004E-2</v>
      </c>
      <c r="B11">
        <v>37.61</v>
      </c>
      <c r="C11">
        <f t="shared" si="0"/>
        <v>35.650125612048171</v>
      </c>
      <c r="D11">
        <f t="shared" si="1"/>
        <v>3.8411076165495528</v>
      </c>
      <c r="E11">
        <f t="shared" si="2"/>
        <v>82.5</v>
      </c>
    </row>
    <row r="12" spans="1:7" x14ac:dyDescent="0.25">
      <c r="A12">
        <v>0.1071</v>
      </c>
      <c r="B12">
        <v>54.03</v>
      </c>
      <c r="C12">
        <f t="shared" si="0"/>
        <v>47.559778136612366</v>
      </c>
      <c r="D12">
        <f t="shared" si="1"/>
        <v>41.863770961459366</v>
      </c>
      <c r="E12">
        <f t="shared" si="2"/>
        <v>107.1</v>
      </c>
    </row>
    <row r="13" spans="1:7" x14ac:dyDescent="0.25">
      <c r="A13">
        <v>0.13250000000000001</v>
      </c>
      <c r="B13">
        <v>64.510000000000005</v>
      </c>
      <c r="C13">
        <f t="shared" si="0"/>
        <v>63.099605183732052</v>
      </c>
      <c r="D13">
        <f t="shared" si="1"/>
        <v>1.9892135377555127</v>
      </c>
      <c r="E13">
        <f t="shared" si="2"/>
        <v>132.5</v>
      </c>
    </row>
    <row r="14" spans="1:7" x14ac:dyDescent="0.25">
      <c r="A14">
        <v>0.1603</v>
      </c>
      <c r="B14">
        <v>79.53</v>
      </c>
      <c r="C14">
        <f t="shared" si="0"/>
        <v>83.884197909013452</v>
      </c>
      <c r="D14">
        <f t="shared" si="1"/>
        <v>18.959039430857104</v>
      </c>
      <c r="E14">
        <f t="shared" si="2"/>
        <v>160.30000000000001</v>
      </c>
      <c r="F14" s="2" t="s">
        <v>14</v>
      </c>
    </row>
    <row r="15" spans="1:7" x14ac:dyDescent="0.25">
      <c r="A15">
        <v>0.21010000000000001</v>
      </c>
      <c r="B15">
        <v>121.82</v>
      </c>
      <c r="C15">
        <f t="shared" si="0"/>
        <v>130.98474713886603</v>
      </c>
      <c r="D15">
        <f t="shared" si="1"/>
        <v>83.992590119353153</v>
      </c>
      <c r="E15">
        <f t="shared" si="2"/>
        <v>210.10000000000002</v>
      </c>
    </row>
    <row r="16" spans="1:7" x14ac:dyDescent="0.25">
      <c r="A16">
        <v>0.26300000000000001</v>
      </c>
      <c r="B16">
        <v>182</v>
      </c>
      <c r="C16">
        <f t="shared" si="0"/>
        <v>194.88966348730668</v>
      </c>
      <c r="D16">
        <f t="shared" si="1"/>
        <v>166.14342481600693</v>
      </c>
      <c r="E16">
        <f t="shared" si="2"/>
        <v>263</v>
      </c>
    </row>
    <row r="17" spans="1:5" x14ac:dyDescent="0.25">
      <c r="A17">
        <v>0.31269999999999998</v>
      </c>
      <c r="B17">
        <v>230.54</v>
      </c>
      <c r="C17">
        <f t="shared" si="0"/>
        <v>267.94942812489688</v>
      </c>
      <c r="D17">
        <f t="shared" si="1"/>
        <v>1399.4653126318265</v>
      </c>
      <c r="E17">
        <f t="shared" si="2"/>
        <v>312.7</v>
      </c>
    </row>
    <row r="18" spans="1:5" x14ac:dyDescent="0.25">
      <c r="A18">
        <v>0.34439999999999998</v>
      </c>
      <c r="B18">
        <v>272.89999999999998</v>
      </c>
      <c r="C18">
        <f t="shared" si="0"/>
        <v>321.13776123575684</v>
      </c>
      <c r="D18">
        <f t="shared" si="1"/>
        <v>2326.8816090378878</v>
      </c>
      <c r="E18">
        <f t="shared" si="2"/>
        <v>344.4</v>
      </c>
    </row>
    <row r="19" spans="1:5" x14ac:dyDescent="0.25">
      <c r="A19">
        <v>0.39379999999999998</v>
      </c>
      <c r="B19">
        <v>340.11</v>
      </c>
      <c r="C19">
        <f t="shared" si="0"/>
        <v>414.25426053798583</v>
      </c>
      <c r="D19">
        <f t="shared" si="1"/>
        <v>5497.3713707247207</v>
      </c>
      <c r="E19">
        <f t="shared" si="2"/>
        <v>393.8</v>
      </c>
    </row>
    <row r="20" spans="1:5" x14ac:dyDescent="0.25">
      <c r="A20">
        <v>0.44440000000000002</v>
      </c>
      <c r="B20">
        <v>350.11</v>
      </c>
      <c r="C20">
        <f t="shared" si="0"/>
        <v>522.55310529291262</v>
      </c>
      <c r="D20">
        <f t="shared" si="1"/>
        <v>29736.624563062542</v>
      </c>
      <c r="E20">
        <f t="shared" si="2"/>
        <v>444.40000000000003</v>
      </c>
    </row>
    <row r="21" spans="1:5" x14ac:dyDescent="0.25">
      <c r="A21">
        <v>0.49540000000000001</v>
      </c>
      <c r="B21">
        <v>418.19</v>
      </c>
      <c r="C21">
        <f t="shared" si="0"/>
        <v>644.93897189522841</v>
      </c>
      <c r="D21">
        <f t="shared" si="1"/>
        <v>51415.096255543081</v>
      </c>
      <c r="E21">
        <f t="shared" si="2"/>
        <v>495.40000000000003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PE</vt:lpstr>
      <vt:lpstr>KMR</vt:lpstr>
      <vt:lpstr>Tabelle3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2019-02-08T22:07:27Z</dcterms:modified>
</cp:coreProperties>
</file>