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-apps\misc\results\zup\"/>
    </mc:Choice>
  </mc:AlternateContent>
  <xr:revisionPtr revIDLastSave="0" documentId="13_ncr:1_{DF43073A-2C2F-43D7-8AA3-EC7AA46A4224}" xr6:coauthVersionLast="45" xr6:coauthVersionMax="45" xr10:uidLastSave="{00000000-0000-0000-0000-000000000000}"/>
  <bookViews>
    <workbookView xWindow="50" yWindow="2330" windowWidth="29930" windowHeight="15460" tabRatio="633" activeTab="4" xr2:uid="{882556CE-AD92-400A-846D-D6BC51444929}"/>
  </bookViews>
  <sheets>
    <sheet name="zup - image (stock2.txt)" sheetId="1" r:id="rId1"/>
    <sheet name="zup - image (client1.txt)" sheetId="6" r:id="rId2"/>
    <sheet name="zup - randa (randa_sidewinder.t" sheetId="2" r:id="rId3"/>
    <sheet name="zup - strm (SW and ZCU)" sheetId="5" r:id="rId4"/>
    <sheet name="zup - rtb (rtb_sidewinder.txt)" sheetId="3" r:id="rId5"/>
    <sheet name="zup - rtb (rtb.txt)" sheetId="7" r:id="rId6"/>
    <sheet name="zup - spmv (spmv.txt)" sheetId="4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8" i="3" l="1"/>
  <c r="K107" i="3"/>
  <c r="K106" i="3"/>
  <c r="K105" i="3"/>
  <c r="K104" i="3"/>
  <c r="K103" i="3"/>
  <c r="K102" i="3"/>
  <c r="K101" i="3"/>
  <c r="K47" i="3"/>
  <c r="K48" i="3"/>
  <c r="K49" i="3"/>
  <c r="K50" i="3"/>
  <c r="K51" i="3"/>
  <c r="K52" i="3"/>
  <c r="K53" i="3"/>
  <c r="K54" i="3"/>
  <c r="I108" i="3"/>
  <c r="I107" i="3"/>
  <c r="I106" i="3"/>
  <c r="I105" i="3"/>
  <c r="I104" i="3"/>
  <c r="I103" i="3"/>
  <c r="I102" i="3"/>
  <c r="I101" i="3"/>
  <c r="F125" i="3"/>
  <c r="F124" i="3"/>
  <c r="F123" i="3"/>
  <c r="F122" i="3"/>
  <c r="F111" i="3"/>
  <c r="F104" i="3"/>
  <c r="F103" i="3"/>
  <c r="F102" i="3"/>
  <c r="F101" i="3"/>
  <c r="D124" i="3"/>
  <c r="D123" i="3"/>
  <c r="D122" i="3"/>
  <c r="D111" i="3"/>
  <c r="D104" i="3"/>
  <c r="D103" i="3"/>
  <c r="D102" i="3"/>
  <c r="D101" i="3"/>
  <c r="D125" i="3"/>
  <c r="K76" i="4" l="1"/>
  <c r="I76" i="4"/>
  <c r="K75" i="4"/>
  <c r="K74" i="4"/>
  <c r="K73" i="4"/>
  <c r="I75" i="4"/>
  <c r="I74" i="4"/>
  <c r="I73" i="4"/>
  <c r="K18" i="4"/>
  <c r="K17" i="4"/>
  <c r="K16" i="4"/>
  <c r="K15" i="4"/>
  <c r="K14" i="4"/>
  <c r="K13" i="4"/>
  <c r="I18" i="4"/>
  <c r="I17" i="4"/>
  <c r="I16" i="4"/>
  <c r="I15" i="4"/>
  <c r="I14" i="4"/>
  <c r="I13" i="4"/>
  <c r="K64" i="7"/>
  <c r="K63" i="7"/>
  <c r="K62" i="7"/>
  <c r="K61" i="7"/>
  <c r="K60" i="7"/>
  <c r="K59" i="7"/>
  <c r="K58" i="7"/>
  <c r="K57" i="7"/>
  <c r="I64" i="7"/>
  <c r="I63" i="7"/>
  <c r="I62" i="7"/>
  <c r="I61" i="7"/>
  <c r="I60" i="7"/>
  <c r="I59" i="7"/>
  <c r="I58" i="7"/>
  <c r="I57" i="7"/>
  <c r="I54" i="3"/>
  <c r="I53" i="3"/>
  <c r="I52" i="3"/>
  <c r="I51" i="3"/>
  <c r="I50" i="3"/>
  <c r="I49" i="3"/>
  <c r="I48" i="3"/>
  <c r="I47" i="3"/>
  <c r="K18" i="3"/>
  <c r="K17" i="3"/>
  <c r="K16" i="3"/>
  <c r="K15" i="3"/>
  <c r="K14" i="3"/>
  <c r="K13" i="3"/>
  <c r="K12" i="3"/>
  <c r="K11" i="3"/>
  <c r="I18" i="3"/>
  <c r="I17" i="3"/>
  <c r="I16" i="3"/>
  <c r="I15" i="3"/>
  <c r="I14" i="3"/>
  <c r="I13" i="3"/>
  <c r="I12" i="3"/>
  <c r="I11" i="3"/>
  <c r="O57" i="5"/>
  <c r="M57" i="5"/>
  <c r="O56" i="5"/>
  <c r="M56" i="5"/>
  <c r="O55" i="5"/>
  <c r="M55" i="5"/>
  <c r="O54" i="5"/>
  <c r="M54" i="5"/>
  <c r="O23" i="5"/>
  <c r="O22" i="5"/>
  <c r="O21" i="5"/>
  <c r="O20" i="5"/>
  <c r="M23" i="5"/>
  <c r="M22" i="5"/>
  <c r="M21" i="5"/>
  <c r="M20" i="5"/>
  <c r="F81" i="2"/>
  <c r="F80" i="2"/>
  <c r="F79" i="2"/>
  <c r="F78" i="2"/>
  <c r="F76" i="2"/>
  <c r="F75" i="2"/>
  <c r="F74" i="2"/>
  <c r="F73" i="2"/>
  <c r="F72" i="2"/>
  <c r="F71" i="2"/>
  <c r="D81" i="2"/>
  <c r="D80" i="2"/>
  <c r="D79" i="2"/>
  <c r="D78" i="2"/>
  <c r="D76" i="2"/>
  <c r="D75" i="2"/>
  <c r="D74" i="2"/>
  <c r="D73" i="2"/>
  <c r="D72" i="2"/>
  <c r="D71" i="2"/>
  <c r="F82" i="4"/>
  <c r="F74" i="4"/>
  <c r="F73" i="4"/>
  <c r="F25" i="4"/>
  <c r="F17" i="4"/>
  <c r="F13" i="4"/>
  <c r="F75" i="4"/>
  <c r="F16" i="4"/>
  <c r="F15" i="4"/>
  <c r="F79" i="7"/>
  <c r="F77" i="7"/>
  <c r="F76" i="7"/>
  <c r="F72" i="7"/>
  <c r="F60" i="7"/>
  <c r="F59" i="7"/>
  <c r="F58" i="7"/>
  <c r="F57" i="7"/>
  <c r="F55" i="7"/>
  <c r="F78" i="7"/>
  <c r="F76" i="3"/>
  <c r="F75" i="3"/>
  <c r="F74" i="3"/>
  <c r="F73" i="3"/>
  <c r="F62" i="3"/>
  <c r="F50" i="3"/>
  <c r="F49" i="3"/>
  <c r="F48" i="3"/>
  <c r="F47" i="3"/>
  <c r="F38" i="3"/>
  <c r="F28" i="3"/>
  <c r="F27" i="3"/>
  <c r="F26" i="3"/>
  <c r="F25" i="3"/>
  <c r="F21" i="3"/>
  <c r="F14" i="3"/>
  <c r="F13" i="3"/>
  <c r="F12" i="3"/>
  <c r="F11" i="3"/>
  <c r="F9" i="3"/>
  <c r="I57" i="5"/>
  <c r="I56" i="5"/>
  <c r="I55" i="5"/>
  <c r="I54" i="5"/>
  <c r="H57" i="5"/>
  <c r="H56" i="5"/>
  <c r="H55" i="5"/>
  <c r="H54" i="5"/>
  <c r="I23" i="5"/>
  <c r="I22" i="5"/>
  <c r="I21" i="5"/>
  <c r="I20" i="5"/>
  <c r="H23" i="5"/>
  <c r="H22" i="5"/>
  <c r="H21" i="5"/>
  <c r="H20" i="5"/>
  <c r="F49" i="2"/>
  <c r="F48" i="2"/>
  <c r="F47" i="2"/>
  <c r="F46" i="2"/>
  <c r="F23" i="2"/>
  <c r="F22" i="2"/>
  <c r="F20" i="2"/>
  <c r="F19" i="2"/>
  <c r="F24" i="2"/>
  <c r="F113" i="6"/>
  <c r="F112" i="6"/>
  <c r="F111" i="6"/>
  <c r="F109" i="6"/>
  <c r="F66" i="6"/>
  <c r="F65" i="6"/>
  <c r="F63" i="6"/>
  <c r="F90" i="6"/>
  <c r="F89" i="6"/>
  <c r="F88" i="6"/>
  <c r="F86" i="6"/>
  <c r="F67" i="6"/>
  <c r="F123" i="6"/>
  <c r="F44" i="6"/>
  <c r="F43" i="6"/>
  <c r="F124" i="6" s="1"/>
  <c r="F42" i="6"/>
  <c r="F40" i="6"/>
  <c r="F21" i="6"/>
  <c r="F20" i="6"/>
  <c r="F19" i="6"/>
  <c r="F17" i="6"/>
  <c r="F122" i="6"/>
  <c r="F94" i="1"/>
  <c r="F93" i="1"/>
  <c r="F92" i="1"/>
  <c r="F75" i="1"/>
  <c r="F101" i="1" s="1"/>
  <c r="F74" i="1"/>
  <c r="F73" i="1"/>
  <c r="F56" i="1"/>
  <c r="F55" i="1"/>
  <c r="F54" i="1"/>
  <c r="F37" i="1"/>
  <c r="F36" i="1"/>
  <c r="F35" i="1"/>
  <c r="F18" i="1"/>
  <c r="F17" i="1"/>
  <c r="F100" i="1" s="1"/>
  <c r="F16" i="1"/>
  <c r="F125" i="6" l="1"/>
  <c r="F121" i="6"/>
  <c r="F99" i="1"/>
  <c r="D49" i="2"/>
  <c r="D48" i="2"/>
  <c r="D47" i="2"/>
  <c r="D46" i="2"/>
  <c r="D94" i="1"/>
  <c r="D93" i="1"/>
  <c r="D92" i="1"/>
  <c r="D75" i="1"/>
  <c r="D74" i="1"/>
  <c r="D73" i="1"/>
  <c r="D56" i="1"/>
  <c r="D55" i="1"/>
  <c r="D54" i="1"/>
  <c r="D37" i="1"/>
  <c r="D36" i="1"/>
  <c r="D35" i="1"/>
  <c r="D18" i="1"/>
  <c r="D17" i="1"/>
  <c r="D16" i="1"/>
  <c r="D79" i="7"/>
  <c r="D78" i="7"/>
  <c r="D77" i="7"/>
  <c r="D76" i="7"/>
  <c r="D72" i="7"/>
  <c r="D60" i="7"/>
  <c r="D59" i="7"/>
  <c r="D58" i="7"/>
  <c r="D57" i="7"/>
  <c r="D55" i="7"/>
  <c r="D76" i="3"/>
  <c r="D75" i="3"/>
  <c r="D74" i="3"/>
  <c r="D73" i="3"/>
  <c r="D62" i="3"/>
  <c r="D50" i="3"/>
  <c r="D49" i="3"/>
  <c r="D48" i="3"/>
  <c r="D47" i="3"/>
  <c r="D38" i="3"/>
  <c r="D28" i="3"/>
  <c r="D26" i="3"/>
  <c r="D25" i="3"/>
  <c r="D21" i="3"/>
  <c r="D14" i="3"/>
  <c r="D12" i="3"/>
  <c r="D11" i="3"/>
  <c r="D9" i="3"/>
  <c r="F57" i="5"/>
  <c r="F56" i="5"/>
  <c r="F55" i="5"/>
  <c r="F54" i="5"/>
  <c r="E57" i="5"/>
  <c r="E56" i="5"/>
  <c r="E55" i="5"/>
  <c r="E54" i="5"/>
  <c r="F23" i="5"/>
  <c r="F22" i="5"/>
  <c r="F21" i="5"/>
  <c r="F20" i="5"/>
  <c r="E23" i="5"/>
  <c r="E22" i="5"/>
  <c r="E21" i="5"/>
  <c r="E20" i="5"/>
  <c r="D113" i="6"/>
  <c r="D112" i="6"/>
  <c r="D111" i="6"/>
  <c r="D109" i="6"/>
  <c r="D89" i="6"/>
  <c r="D88" i="6"/>
  <c r="D86" i="6"/>
  <c r="D66" i="6"/>
  <c r="D65" i="6"/>
  <c r="D63" i="6"/>
  <c r="D44" i="6"/>
  <c r="D43" i="6"/>
  <c r="D42" i="6"/>
  <c r="D40" i="6"/>
  <c r="D21" i="6"/>
  <c r="D20" i="6"/>
  <c r="D19" i="6"/>
  <c r="D17" i="6"/>
  <c r="D23" i="2"/>
  <c r="D22" i="2"/>
  <c r="D20" i="2"/>
  <c r="D19" i="2"/>
  <c r="D25" i="4"/>
  <c r="D17" i="4"/>
  <c r="D16" i="4"/>
  <c r="D15" i="4"/>
  <c r="D13" i="4"/>
  <c r="D82" i="4"/>
  <c r="D75" i="4"/>
  <c r="D74" i="4"/>
  <c r="D73" i="4"/>
  <c r="D27" i="3"/>
  <c r="D13" i="3"/>
  <c r="D67" i="6"/>
  <c r="D90" i="6" l="1"/>
  <c r="D124" i="6" l="1"/>
  <c r="D122" i="6"/>
  <c r="D125" i="6" l="1"/>
  <c r="D123" i="6"/>
  <c r="D121" i="6"/>
  <c r="D100" i="1" l="1"/>
  <c r="D101" i="1"/>
  <c r="D99" i="1"/>
  <c r="D24" i="2" l="1"/>
</calcChain>
</file>

<file path=xl/sharedStrings.xml><?xml version="1.0" encoding="utf-8"?>
<sst xmlns="http://schemas.openxmlformats.org/spreadsheetml/2006/main" count="2448" uniqueCount="847">
  <si>
    <t># make D=CLOCKS,STATS RUN_ARGS="-d&lt;int&gt; -v15 -w24000 -h16000 pat pat"</t>
  </si>
  <si>
    <t>decimate: 4</t>
  </si>
  <si>
    <t>ref1 w:24000 h:16000 element:4 init-time:5.173207 sec</t>
  </si>
  <si>
    <t>ref2 w:24000 h:16000 element:4 init-time:0.737176 sec</t>
  </si>
  <si>
    <t>view w:6000 h:4000</t>
  </si>
  <si>
    <t>ref1:0x10002eb370 ref2:0x105bbc35f0 davg:0x10b749b600</t>
  </si>
  <si>
    <t>SRAM_W:12 SRAM_R:12 DRAM_W:45 DRAM_R:45</t>
  </si>
  <si>
    <t>QUEUE_W:37 QUEUE_R:16 TRANS:24 W:106 R:85</t>
  </si>
  <si>
    <t>ARM_PLL_CTRL:00014200 DDR_PLL_CTRL:00013900 IO_PLL_CTRL:00015A00</t>
  </si>
  <si>
    <t>ARM_CLK_CTRL:03000800 DDR_CLK_CTRL:01000200</t>
  </si>
  <si>
    <t>FPGA0_CLK_CTRL:01011800 FPGA1_CLK_CTRL:01010500</t>
  </si>
  <si>
    <t>Slot 0 - CPU_SRAM_B:164 CPU_SRAM_R:147 CPU_DRAM_B:584 CPU_DRAM_R:441</t>
  </si>
  <si>
    <t>Slot 1 - ACC_SRAM_B:24 ACC_SRAM_R:6 ACC_DRAM_B:444 ACC_DRAM_R:300</t>
  </si>
  <si>
    <t>overall time: 0.286834 sec</t>
  </si>
  <si>
    <t>Oper. time: 0.279940 sec</t>
  </si>
  <si>
    <t>Cache time: 0.006894 sec</t>
  </si>
  <si>
    <t>Slot TranW TranR ByteW ByteR StrobeLW</t>
  </si>
  <si>
    <t>CPU 375005 12433344 24000320 795734144 0</t>
  </si>
  <si>
    <t>max difference: 0</t>
  </si>
  <si>
    <t>decimate: 8</t>
  </si>
  <si>
    <t>ref1 w:24000 h:16000 element:4 init-time:5.109672 sec</t>
  </si>
  <si>
    <t>ref2 w:24000 h:16000 element:4 init-time:0.737188 sec</t>
  </si>
  <si>
    <t>view w:3000 h:2000</t>
  </si>
  <si>
    <t>overall time: 0.122618 sec</t>
  </si>
  <si>
    <t>Oper. time: 0.120873 sec</t>
  </si>
  <si>
    <t>Cache time: 0.001744 sec</t>
  </si>
  <si>
    <t>CPU 93755 6122628 6000320 391848320 0</t>
  </si>
  <si>
    <t>decimate: 16</t>
  </si>
  <si>
    <t>ref1 w:24000 h:16000 element:4 init-time:4.982602 sec</t>
  </si>
  <si>
    <t>ref2 w:24000 h:16000 element:4 init-time:0.737199 sec</t>
  </si>
  <si>
    <t>view w:1500 h:1000</t>
  </si>
  <si>
    <t>overall time: 0.060454 sec</t>
  </si>
  <si>
    <t>Oper. time: 0.060004 sec</t>
  </si>
  <si>
    <t>Cache time: 0.000450 sec</t>
  </si>
  <si>
    <t>CPU 23443 3036505 1500352 194336448 0</t>
  </si>
  <si>
    <t>decimate: 32</t>
  </si>
  <si>
    <t>ref1 w:24000 h:16000 element:4 init-time:4.856012 sec</t>
  </si>
  <si>
    <t>ref2 w:24000 h:16000 element:4 init-time:0.737166 sec</t>
  </si>
  <si>
    <t>view w:750 h:500</t>
  </si>
  <si>
    <t>overall time: 0.015943 sec</t>
  </si>
  <si>
    <t>Oper. time: 0.015487 sec</t>
  </si>
  <si>
    <t>Cache time: 0.000455 sec</t>
  </si>
  <si>
    <t>CPU 5865 760485 375360 48671168 0</t>
  </si>
  <si>
    <t>decimate: 64</t>
  </si>
  <si>
    <t>ref1 w:24000 h:16000 element:4 init-time:4.824389 sec</t>
  </si>
  <si>
    <t>ref2 w:24000 h:16000 element:4 init-time:0.737253 sec</t>
  </si>
  <si>
    <t>view w:375 h:250</t>
  </si>
  <si>
    <t>overall time: 0.004978 sec</t>
  </si>
  <si>
    <t>Oper. time: 0.004859 sec</t>
  </si>
  <si>
    <t>Cache time: 0.000119 sec</t>
  </si>
  <si>
    <t>CPU 1470 190528 94080 12193920 0</t>
  </si>
  <si>
    <t># make D=CLOCKS,STATS,VAR_DELAY=_GDT_ RUN_ARGS="-d&lt;int&gt; -v15 -w24000 -h16000 pat pat"</t>
  </si>
  <si>
    <t>ref1 w:24000 h:16000 element:4 init-time:5.173704 sec</t>
  </si>
  <si>
    <t>ref1:0x1000310370 ref2:0x105bbe85f0 davg:0x10b74c0600</t>
  </si>
  <si>
    <t>ARM_PLL_CTRL:00014200 DDR_PLL_CTRL:00014000 IO_PLL_CTRL:00015A00</t>
  </si>
  <si>
    <t>FPGA0_CLK_CTRL:01011800 FPGA1_CLK_CTRL:01010800</t>
  </si>
  <si>
    <t>Gaussian Delay Tables Initialized</t>
  </si>
  <si>
    <t>Gaussian Delay Tables have been cleared</t>
  </si>
  <si>
    <t>$ make D=STATS,CLOCKS,CLIENT</t>
  </si>
  <si>
    <t>aarch64-none-elf-g++  -O3 -Wall -MMD -DSTATS -DCLOCKS -DCLIENT -DUSE_SP -DUSE_OCM -DZYNQ=_ZU_ -DXILTIME -DUSE_MARGS -DMARGS='"-s29"' -I../src -I../../shared -IC:/cygwin/home/lloyd23/work/lime.tst/standalone/sdk/standalone_bsp_a53/psu_cortexa53_0/include  -c -o randa.o ../src/randa.cpp</t>
  </si>
  <si>
    <t>mb-g++ -mcpu=v9.6 -mlittle-endian -mno-xl-reorder -mxl-barrel-shift -mno-xl-soft-div -mno-xl-soft-mul -O2 -Wall -fno-strict-aliasing -ffunction-sections -fdata-sections -MMD -DSERVER -DUSE_LSU -DUSE_SP -DUSE_OCM -I../src -I../../shared -IC:/cygwin/home/lloyd23/work/lime.tst/standalone/sdk/standalone_bsp_mb/engine_0_mcu_0_microblaze_0/include  -c -o server.o ../src/server.cpp</t>
  </si>
  <si>
    <t>table scale: 29</t>
  </si>
  <si>
    <t>vector length: 1024</t>
  </si>
  <si>
    <t>Begin of SingleRandomAccess_LCG section.</t>
  </si>
  <si>
    <t>Main table addr   = 0x100021d780</t>
  </si>
  <si>
    <t>Main table size   = 2^26 = 67108864 words (8 bytes)</t>
  </si>
  <si>
    <t>Number of updates = 4194304</t>
  </si>
  <si>
    <t>ARM_PLL_CTRL:00014200 DDR_PLL_CTRL:00015300 IO_PLL_CTRL:00015A00</t>
  </si>
  <si>
    <t>ARM_CLK_CTRL:03000800 DDR_CLK_CTRL:01000300</t>
  </si>
  <si>
    <t>Real time used = 0.130437 seconds</t>
  </si>
  <si>
    <t>0.032155835 Billion(10^9) Updates per second [GUP/s]</t>
  </si>
  <si>
    <t>Setup time: 0.000000 sec</t>
  </si>
  <si>
    <t>Reorg time: 0.070967 sec</t>
  </si>
  <si>
    <t>Oper. time: 0.059437 sec</t>
  </si>
  <si>
    <t>Cache time: 0.000032 sec</t>
  </si>
  <si>
    <t>CPU 786582 524495 50341140 33567744 0</t>
  </si>
  <si>
    <t>ACC 8388608 9437184 67108864 83886080 0</t>
  </si>
  <si>
    <t>Found 26 errors in 67108864 locations (passed).</t>
  </si>
  <si>
    <t>End of SingleRandomAccess_LCG section.</t>
  </si>
  <si>
    <t>$ make D=STATS,CLOCKS,CLIENT,VAR_DELAY=_GDT_</t>
  </si>
  <si>
    <t>Main table addr   = 0x1000242780</t>
  </si>
  <si>
    <t>Results from Repository (Sidewinder Board, Master Branch)
from misc/results/zup/randa/randa_sidewinder.txt</t>
  </si>
  <si>
    <t>Results from Repository (Sidewinder Board, Master Branch)
from misc/results/zup/rtb/rtb_sidewinder.txt</t>
  </si>
  <si>
    <t>$ make run</t>
  </si>
  <si>
    <t>aarch64-none-elf-g++ -std=c++11  -O3 -Wall -MMD -DZYNQ=_ZU_ -DXILTIME -DUSE_MARGS -DMARGS='"-e32Mi -l.60 -c -w1Mi -h.90 -z.99"' -I../src -I../../shared -IC:/cygwin/home/lloyd23/work/lime.tst/standalone/sdk/standalone_bsp_a53/psu_cortexa53_0/include  -c -o rtb.o ../src/rtb.cpp</t>
  </si>
  <si>
    <t>########## RTB ##########</t>
  </si>
  <si>
    <t>block length: 1024</t>
  </si>
  <si>
    <t>k-mer length: 18</t>
  </si>
  <si>
    <t>max entries: 33554432</t>
  </si>
  <si>
    <t>key size: 8 data size: 4</t>
  </si>
  <si>
    <t>Startup time: 0.125325 sec</t>
  </si>
  <si>
    <t>Insert count: 20231169</t>
  </si>
  <si>
    <t>Insert  rate: 1305535.818505 ops/sec</t>
  </si>
  <si>
    <t>Run     time: 16.705545 sec</t>
  </si>
  <si>
    <t>Oper.   time: 1.209097 sec</t>
  </si>
  <si>
    <t>Insert  time: 15.496449 sec</t>
  </si>
  <si>
    <t>size: 20228165</t>
  </si>
  <si>
    <t>load_factor (elem): 0.600016</t>
  </si>
  <si>
    <t>bucket_count: 33712729</t>
  </si>
  <si>
    <t>max_elem_per_bucket: 9</t>
  </si>
  <si>
    <t>heap start:0x100024d040 top:0x1036cdc000 end:0x10ff24d040</t>
  </si>
  <si>
    <t>total:4278190080 used:917041088</t>
  </si>
  <si>
    <t>Stats   time: 16.400069 sec</t>
  </si>
  <si>
    <t>Lookup count: 1048576</t>
  </si>
  <si>
    <t>Lookup  hits: 943718 90.00%</t>
  </si>
  <si>
    <t>Lookup  zipf: 0.99</t>
  </si>
  <si>
    <t>Lookup  rate: 1512319.214674 ops/sec</t>
  </si>
  <si>
    <t>Run     time: 0.699567 sec</t>
  </si>
  <si>
    <t>Oper.   time: 0.006211 sec</t>
  </si>
  <si>
    <t>Lookup  time: 0.693356 sec</t>
  </si>
  <si>
    <t>$ make D=STATS,CLOCKS,USE_HASH run</t>
  </si>
  <si>
    <t>aarch64-none-elf-g++ -std=c++11  -O3 -Wall -MMD -DSTATS -DCLOCKS -DUSE_HASH -DUSE_SP -DUSE_OCM -DZYNQ=_ZU_ -DXILTIME -DUSE_MARGS -DMARGS='"-e32Mi -l.60 -c -w1Mi -h.90 -z.99"' -I../src -I../../shared -IC:/cygwin/home/lloyd23/work/lime.tst/standalone/sdk/standalone_bsp_a53/psu_cortexa53_0/include  -c -o rtb.o ../src/rtb.cpp</t>
  </si>
  <si>
    <t>slot size: 16</t>
  </si>
  <si>
    <t>Startup time: 0.630989 sec</t>
  </si>
  <si>
    <t>Insert count: 20135937</t>
  </si>
  <si>
    <t>Insert  rate: 6481788.130853 ops/sec</t>
  </si>
  <si>
    <t>Run     time: 3.674369 sec</t>
  </si>
  <si>
    <t>Oper.   time: 0.567829 sec</t>
  </si>
  <si>
    <t>Insert  time: 3.106540 sec</t>
  </si>
  <si>
    <t xml:space="preserve">  Fill  time: 0.000000 sec</t>
  </si>
  <si>
    <t xml:space="preserve">  Drain time: 0.000000 sec</t>
  </si>
  <si>
    <t xml:space="preserve">  Cache time: 0.000000 sec</t>
  </si>
  <si>
    <t>table addr: 0x1000230600</t>
  </si>
  <si>
    <t>table size: 536870912</t>
  </si>
  <si>
    <t>size: 20132957</t>
  </si>
  <si>
    <t>load_factor (elem): 0.600009</t>
  </si>
  <si>
    <t>bucket_count: 33554448</t>
  </si>
  <si>
    <t>max_psl: 17</t>
  </si>
  <si>
    <t>heap start:0x1000230080 top:0x1020234000 end:0x10ff230080</t>
  </si>
  <si>
    <t>total:4278190080 used:536887168</t>
  </si>
  <si>
    <t>Stats   time: 0.011325 sec</t>
  </si>
  <si>
    <t>Lookup  rate: 30088533.795146 ops/sec</t>
  </si>
  <si>
    <t>Run     time: 0.037326 sec</t>
  </si>
  <si>
    <t>Oper.   time: 0.002477 sec</t>
  </si>
  <si>
    <t>Lookup  time: 0.034850 sec</t>
  </si>
  <si>
    <t xml:space="preserve">  Fill  time: 0.030887 sec</t>
  </si>
  <si>
    <t xml:space="preserve">  Cache time: 0.003908 sec</t>
  </si>
  <si>
    <t>CPU 11 65581 704 4197248 0</t>
  </si>
  <si>
    <t>ACC 1048576 4194304 4194304 293601280 1048576</t>
  </si>
  <si>
    <t>$ make</t>
  </si>
  <si>
    <t>aarch64-none-elf-g++ -std=c++11  -O3 -Wall -MMD -DZYNQ=_ZU_ -DXILTIME -DUSE_MARGS -DMARGS='"-e32Mi -l.60 -c -w1Mi -h.90 -z.99"' -I../src -I../../shared -I../../../standalone/sdk/standalone_bsp_a53/psu_cortexa53_0/include  -c -o rtb.o ../src/rtb.cpp</t>
  </si>
  <si>
    <t>Startup time: 0.037487 sec</t>
  </si>
  <si>
    <t>Insert  rate: 2313832.604773 ops/sec</t>
  </si>
  <si>
    <t>Run     time: 9.952328 sec</t>
  </si>
  <si>
    <t>Oper.   time: 1.208753 sec</t>
  </si>
  <si>
    <t>Insert  time: 8.743575 sec</t>
  </si>
  <si>
    <t>heap start:0x80004d040 top:0x836adc000 end:0x87f04d040</t>
  </si>
  <si>
    <t>total:2130706432 used:917041088</t>
  </si>
  <si>
    <t>Stats   time: 7.186628 sec</t>
  </si>
  <si>
    <t>Lookup  rate: 3263009.364827 ops/sec</t>
  </si>
  <si>
    <t>Run     time: 0.327567 sec</t>
  </si>
  <si>
    <t>Oper.   time: 0.006214 sec</t>
  </si>
  <si>
    <t>Lookup  time: 0.321352 sec</t>
  </si>
  <si>
    <t>$ make D=USE_HASH</t>
  </si>
  <si>
    <t>aarch64-none-elf-g++ -std=c++11  -O3 -Wall -MMD -DUSE_HASH -DUSE_SP -DUSE_OCM -DZYNQ=_ZU_ -DXILTIME -DUSE_MARGS -DMARGS='"-e32Mi -l.60 -c -w1Mi -h.90 -z.99"' -I../src -I../../shared -I../../../standalone/sdk/standalone_bsp_a53/psu_cortexa53_0/include  -c -o rtb.o ../src/rtb.cpp</t>
  </si>
  <si>
    <t>chk_alloc: 0x241800 536879088: NALLOC data in setup()</t>
  </si>
  <si>
    <t>chk_alloc: 0x80000 8192: SP_NALLOC keys in init()</t>
  </si>
  <si>
    <t>chk_alloc: 0x82000 4096: SP_NALLOC result in init()</t>
  </si>
  <si>
    <t>chk_alloc: 0x83000 16384: SP_NALLOC kvpair in init()</t>
  </si>
  <si>
    <t>Startup time: 0.468867 sec</t>
  </si>
  <si>
    <t>Insert  rate: 3374987.477616 ops/sec</t>
  </si>
  <si>
    <t>Run     time: 7.391073 sec</t>
  </si>
  <si>
    <t>Oper.   time: 1.424848 sec</t>
  </si>
  <si>
    <t>Insert  time: 5.966226 sec</t>
  </si>
  <si>
    <t>table addr: 0x241800</t>
  </si>
  <si>
    <t>heap start:0x240100 top:0x20245000 end:0x7f240100</t>
  </si>
  <si>
    <t>total:2130706432 used:536891136</t>
  </si>
  <si>
    <t>Stats   time: 0.010982 sec</t>
  </si>
  <si>
    <t>chk_alloc: 0x20243b00 8388608: NALLOC workload array</t>
  </si>
  <si>
    <t>Lookup  rate: 4143748.601261 ops/sec</t>
  </si>
  <si>
    <t>Run     time: 0.259556 sec</t>
  </si>
  <si>
    <t>Oper.   time: 0.006506 sec</t>
  </si>
  <si>
    <t>Lookup  time: 0.253050 sec</t>
  </si>
  <si>
    <t xml:space="preserve">  Fill  time: 0.242126 sec</t>
  </si>
  <si>
    <t xml:space="preserve">  Cache time: 0.010279 sec</t>
  </si>
  <si>
    <t>$ make D=STATS,CLOCKS,USE_HASH,VAR_DELAY=_GDT_ run</t>
  </si>
  <si>
    <t>heap start:0x100026a040 top:0x1036cf9000 end:0x10ff26a040</t>
  </si>
  <si>
    <t>aarch64-none-elf-g++ -std=c++11  -O3 -Wall -MMD -DSTATS -DCLOCKS -DUSE_HASH -DVAR_DELAY=_GDT_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</si>
  <si>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start:0x1000276080 top:0x1036d05000 end:0x10ff276080</t>
  </si>
  <si>
    <t>total:4278190080 used:917041024</t>
  </si>
  <si>
    <t>Results from Repository (Sidewinder Board, Master Branch)
from  misc/results/zup/image/stock2.txt</t>
  </si>
  <si>
    <t>Results from Repository (Sidewinder Board, Master Branch)
from misc/results/zup/spmv/spmv.txt</t>
  </si>
  <si>
    <t>lloyd23@kome ~/work/apps/spmv/zup</t>
  </si>
  <si>
    <t>$ make D=CLOCKS,STATS,CLIENT</t>
  </si>
  <si>
    <t>aarch64-none-elf-g++  -O3 -Wall -MMD -DCLOCKS -DSTATS -DCLIENT -DUSE_SP -DUSE_OCM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</si>
  <si>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0.291599 sec</t>
  </si>
  <si>
    <t>Reorg time: 0.204410 sec</t>
  </si>
  <si>
    <t>Oper. time: 0.063588 sec</t>
  </si>
  <si>
    <t>Cache time: 0.023601 sec</t>
  </si>
  <si>
    <t>CPU 32783 2277503 2098112 145760192 0</t>
  </si>
  <si>
    <t>ACC 8912896 11141120 71303168 106954752 0</t>
  </si>
  <si>
    <t>Matrix Dim (r x c): (262144 x 262144)</t>
  </si>
  <si>
    <t>Block Dim (r x c):  (1 x 1)</t>
  </si>
  <si>
    <t>Non-zero blocks:    8912896</t>
  </si>
  <si>
    <t>Repetitions:        1</t>
  </si>
  <si>
    <t>Mflop/s:            61.131207</t>
  </si>
  <si>
    <t>num_loads:          36700188</t>
  </si>
  <si>
    <t>num_stores:         71303168</t>
  </si>
  <si>
    <t>$ make D=CLOCKS,STATS,CLIENT ARG=1</t>
  </si>
  <si>
    <t>aarch64-none-elf-g++  -O3 -Wall -MMD -DCLOCKS -DSTATS -DCLIENT -DUSE_SP -DUSE_OCM -DZYNQ=_ZU_ -DXILTIME -DUSE_MARGS -DMARGS='"-c -s23 -n34 -v15"' -I../src -I../src/bebop_util -I../src/matrix_generator -I../src/spmvbench -I../../shared -IM:/work/lime.tst/standalone/sdk/standalone_bsp_a53/psu_cortexa53_0/include  -c -o spmv.o ../src/spmv.cpp</t>
  </si>
  <si>
    <t>*** ERROR:  at line 566 of ../src/matrix_generator/create_rand.c:  failed to malloc 2281701376 bytes! ***</t>
  </si>
  <si>
    <t>aarch64-none-elf-g++  -O3 -Wall -MMD -DCLOCKS -DSTATS -DCLIENT -DUSE_SP -DUSE_OCM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</si>
  <si>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4.667660 sec</t>
  </si>
  <si>
    <t>Reorg time: 3.271879 sec</t>
  </si>
  <si>
    <t>Oper. time: 1.019260 sec</t>
  </si>
  <si>
    <t>Cache time: 0.376521 sec</t>
  </si>
  <si>
    <t>CPU 524303 36438745 33555392 2332079680 0</t>
  </si>
  <si>
    <t>ACC 142606336 178257920 1140850688 1711276032 0</t>
  </si>
  <si>
    <t>Matrix Dim (r x c): (4194304 x 4194304)</t>
  </si>
  <si>
    <t>Non-zero blocks:    142606336</t>
  </si>
  <si>
    <t>Mflop/s:            61.103992</t>
  </si>
  <si>
    <t>num_loads:          587202588</t>
  </si>
  <si>
    <t>num_stores:         1140850688</t>
  </si>
  <si>
    <t>$ make D=CLOCKS,STATS</t>
  </si>
  <si>
    <t>aarch64-none-elf-g++  -O3 -Wall -MMD -DCLOCKS -DSTATS -DZYNQ=_ZU_ -DXILTIME -DUSE_MARGS -DMARGS='"-c -s18 -n34 -v15"' -I../src -I../src/bebop_util -I../src/matrix_generator -I../src/spmvbench -I../../shared -IM:/work/lime.tst/standalone/sdk/standalone_bsp_a53/psu_cortexa53_0/include  -c -o spmv.o ../src/spmv.cpp</t>
  </si>
  <si>
    <t>SpMV time: 0.428357 sec</t>
  </si>
  <si>
    <t>Oper. time: 0.427746 sec</t>
  </si>
  <si>
    <t>Cache time: 0.000611 sec</t>
  </si>
  <si>
    <t>CPU 32776 4124766 2097664 263985152 0</t>
  </si>
  <si>
    <t>Mflop/s:            41.614307</t>
  </si>
  <si>
    <t>$ make D=CLOCKS,STATS ARG=1</t>
  </si>
  <si>
    <t>aarch64-none-elf-g++  -O3 -Wall -MMD -DCLOCKS -DSTATS -DZYNQ=_ZU_ -DXILTIME -DUSE_MARGS -DMARGS='"-c -s22 -n34 -v15"' -I../src -I../src/bebop_util -I../src/matrix_generator -I../src/spmvbench -I../../shared -IM:/work/lime.tst/standalone/sdk/standalone_bsp_a53/psu_cortexa53_0/include  -c -o spmv.o ../src/spmv.cpp</t>
  </si>
  <si>
    <t>SpMV time: 14.437432 sec</t>
  </si>
  <si>
    <t>Oper. time: 14.427882 sec</t>
  </si>
  <si>
    <t>Cache time: 0.009550 sec</t>
  </si>
  <si>
    <t>CPU 524302 161077992 33555328 *1719057088 0</t>
  </si>
  <si>
    <t>Mflop/s:            19.755084</t>
  </si>
  <si>
    <t>lime-apps/spmv/zup</t>
  </si>
  <si>
    <t>$ make D=CLOCKS,STATS,CLIENT,VAR_DELAY=_GDT_</t>
  </si>
  <si>
    <t>aarch64-none-elf-g++  -O3 -Wall -MMD -DCLOCKS -DSTATS -DCLIENT -DVAR_DELAY=_GDT_ -DUSE_LSU -DZYNQ=_ZU_ -DXILTIME -DUSE_MARGS -DMARGS='"-c -s18 -n34 -v15"'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</si>
  <si>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D=CLOCKS,STATS,CLIENT,VAR_DELAY=_GDT_ ARG=1</t>
  </si>
  <si>
    <t>aarch64-none-elf-g++  -O3 -Wall -MMD -DCLOCKS -DSTATS -DCLIENT -DVAR_DELAY=_GDT_ -DUSE_LSU -DZYNQ=_ZU_ -DXILTIME -DUSE_MARGS -DMARGS='"-c -s23 -n34 -v15"' -DUSE_SP -DUSE_OCM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</si>
  <si>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</t>
  </si>
  <si>
    <t>aarch64-none-elf-g++  -O3 -Wall -MMD -DCLOCKS -DSTATS -DVAR_DELAY=_GDT_ -DZYNQ=_ZU_ -DXILTIME -DUSE_MARGS -DMARGS='"-c -s18 -n34 -v15"' -I../src -I../src/bebop_util -I../src/matrix_generator -I../src/spmvbench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spmv.o ../src/spmv.cpp</t>
  </si>
  <si>
    <t>$ make D=CLOCKS,STATS,VAR_DELAY=_GDT_ ARG=1</t>
  </si>
  <si>
    <t>Results from Repository (Sidewinder Board, Master Branch)
from misc/results/zup/strm/strm_sidewinder.txt</t>
  </si>
  <si>
    <t>$ make D=STATS</t>
  </si>
  <si>
    <t>aarch64-none-elf-gcc  -O3 -Wall -MMD -DSTATS -DSTREAM_ARRAY_SIZE=20000000 -DNTIMES=2 -DZYNQ=_ZU_ -DXILTIME -DUSE_MARGS -DMARGS='""' -I../src -I../../shared -I../../../standalone/sdk/standalone_bsp_a53/psu_cortexa53_0/include  -c -o strm.o ../src/strm.c</t>
  </si>
  <si>
    <t>-------------------------------------------------------------</t>
  </si>
  <si>
    <t>STREAM version $Revision: 5.10 $</t>
  </si>
  <si>
    <t>This system uses 8 bytes per array element.</t>
  </si>
  <si>
    <t>Array size = 20000000 (elements), Offset = 0 (elements)</t>
  </si>
  <si>
    <t>Array addr 0x1013346100 0x1009aaf900 0x1000219100</t>
  </si>
  <si>
    <t>Memory per array = 152.6 MiB (= 0.1 GiB).</t>
  </si>
  <si>
    <t>Total memory required = 457.8 MiB (= 0.4 GiB).</t>
  </si>
  <si>
    <t>Each kernel will be executed 2 times.</t>
  </si>
  <si>
    <t xml:space="preserve"> The *best* time for each kernel (excluding the first iteration)</t>
  </si>
  <si>
    <t xml:space="preserve"> will be used to compute the reported bandwidth.</t>
  </si>
  <si>
    <t>Function    Best Rate MB/s  Avg time     Min time     Max time</t>
  </si>
  <si>
    <t>Copy:            1765.5     0.181254     0.181254     0.181254</t>
  </si>
  <si>
    <t>Scale:           1337.4     0.239276     0.239276     0.239276</t>
  </si>
  <si>
    <t>Add:             1334.2     0.359755     0.359755     0.359755</t>
  </si>
  <si>
    <t>Triad:           1326.2     0.361928     0.361928     0.361928</t>
  </si>
  <si>
    <t>Solution Validates: avg error less than 1.000000e-13 on all three arrays</t>
  </si>
  <si>
    <t>CPU 20000195 30000044 1280011868 1920002880 0</t>
  </si>
  <si>
    <t>$ make D=STATS,CLOCKS</t>
  </si>
  <si>
    <t>aarch64-none-elf-gcc  -O3 -Wall -MMD -DSTATS -DCLOCKS -DSTREAM_ARRAY_SIZE=20000000 -DNTIMES=2 -DZYNQ=_ZU_ -DXILTIME -DUSE_MARGS -DMARGS='""' -I../src -I../../shared -I../../../standalone/sdk/standalone_bsp_a53/psu_cortexa53_0/include  -c -o strm.o ../src/strm.c</t>
  </si>
  <si>
    <t>Copy:            6418.9     0.049853     0.049853     0.049853</t>
  </si>
  <si>
    <t>Scale:           6169.1     0.051871     0.051871     0.051871</t>
  </si>
  <si>
    <t>Add:             4667.5     0.102839     0.102839     0.102839</t>
  </si>
  <si>
    <t>Triad:           4581.9     0.104761     0.104761     0.104761</t>
  </si>
  <si>
    <t>CPU 20000181 29999868 1280011248 1919991616 0</t>
  </si>
  <si>
    <t>$ make D=STATS run</t>
  </si>
  <si>
    <t>aarch64-none-elf-gcc  -O3 -Wall -MMD -DSTATS -DSTREAM_ARRAY_SIZE=20000000 -DNTIMES=2 -DZYNQ=_ZU_ -DXILTIME -DUSE_MARGS -DMARGS='""' -I../src -I../../shared -IM:/work/lime/standalone/sdk/standalone_bsp_a53/psu_cortexa53_0/include  -c -o strm.o ../src/strm.c</t>
  </si>
  <si>
    <t>Copy:            1881.4     0.170087     0.170087     0.170087</t>
  </si>
  <si>
    <t>Scale:           1870.7     0.171056     0.171056     0.171056</t>
  </si>
  <si>
    <t>Add:             1414.9     0.339255     0.339255     0.339255</t>
  </si>
  <si>
    <t>Triad:           1415.4     0.339123     0.339123     0.339123</t>
  </si>
  <si>
    <t>CPU 20000185 29999904 1280011336 1919993920 0</t>
  </si>
  <si>
    <t>aarch64-none-elf-gcc  -O3 -Wall -MMD -DSTATS -DCLOCKS -DSTREAM_ARRAY_SIZE=20000000 -DNTIMES=2 -DZYNQ=_ZU_ -DXILTIME -DUSE_MARGS -DMARGS='""' -I../src -I../../shared -IM:/work/lime/standalone/sdk/standalone_bsp_a53/psu_cortexa53_0/include  -c -o strm.o ../src/strm.c</t>
  </si>
  <si>
    <t>Copy:            6497.3     0.049251     0.049251     0.049251</t>
  </si>
  <si>
    <t>Scale:           6225.3     0.051403     0.051403     0.051403</t>
  </si>
  <si>
    <t>Add:             4652.1     0.103180     0.103180     0.103180</t>
  </si>
  <si>
    <t>Triad:           4672.1     0.102737     0.102737     0.102737</t>
  </si>
  <si>
    <t>CPU 20000185 29999992 1280011340 1919999552 0</t>
  </si>
  <si>
    <t>$ make D=STATS,CLOCKS,VAR_DELAY=_GDT_</t>
  </si>
  <si>
    <t>Array addr 0x1013360100 0x1009ac9900 0x1000233100</t>
  </si>
  <si>
    <t>aarch64-none-elf-gcc  -O3 -Wall -MMD -DSTATS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</si>
  <si>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Array addr 0x1013368100 0x1009ad1900 0x100023b100</t>
  </si>
  <si>
    <t>Results from Repository (ZCU102 Board, Master Branch)
from misc/results/zup/strm/strm_zcu102.txt</t>
  </si>
  <si>
    <t># make D=CLIENT,CLOCKS,STATS RUN_ARGS="-d&lt;int&gt; -v15 -w16000 -h8000 pat pat"</t>
  </si>
  <si>
    <t>ref1 w:16000 h:8000 element:4 init-time:2.296247 sec</t>
  </si>
  <si>
    <t>ref2 w:16000 h:8000 element:4 init-time:0.245721 sec</t>
  </si>
  <si>
    <t>view w:4000 h:2000</t>
  </si>
  <si>
    <t>ref1:0x10002ef580 ref2:0x101eb37800 davg:0x103d37f880</t>
  </si>
  <si>
    <t>block size: 32768</t>
  </si>
  <si>
    <t>overall time: 0.153037 sec</t>
  </si>
  <si>
    <t>Setup time: 0.000001 sec</t>
  </si>
  <si>
    <t>Reorg time: 0.092590 sec</t>
  </si>
  <si>
    <t>Oper. time: 0.026792 sec</t>
  </si>
  <si>
    <t>Cache time: 0.033655 sec</t>
  </si>
  <si>
    <t>CPU 139671 1148562 8938944 73507968 0</t>
  </si>
  <si>
    <t>ACC 16000000 16000000 64000000 128000000 16000000</t>
  </si>
  <si>
    <t>ref1 w:16000 h:8000 element:4 init-time:2.264592 sec</t>
  </si>
  <si>
    <t>ref2 w:16000 h:8000 element:4 init-time:0.245723 sec</t>
  </si>
  <si>
    <t>view w:2000 h:1000</t>
  </si>
  <si>
    <t>overall time: 0.038489 sec</t>
  </si>
  <si>
    <t>Reorg time: 0.023316 sec</t>
  </si>
  <si>
    <t>Oper. time: 0.006695 sec</t>
  </si>
  <si>
    <t>Cache time: 0.008477 sec</t>
  </si>
  <si>
    <t>CPU 34941 287238 2236224 18383232 0</t>
  </si>
  <si>
    <t>ACC 4000000 4000000 16000000 32000000 4000000</t>
  </si>
  <si>
    <t>ref1 w:16000 h:8000 element:4 init-time:2.204078 sec</t>
  </si>
  <si>
    <t>view w:1000 h:500</t>
  </si>
  <si>
    <t>ref1:0x10002ee580 ref2:0x101eb36800 davg:0x103d37e880</t>
  </si>
  <si>
    <t>overall time: 0.009773 sec</t>
  </si>
  <si>
    <t>Reorg time: 0.005914 sec</t>
  </si>
  <si>
    <t>Oper. time: 0.001676 sec</t>
  </si>
  <si>
    <t>Cache time: 0.002182 sec</t>
  </si>
  <si>
    <t>CPU 8759 71915 560576 4602688 0</t>
  </si>
  <si>
    <t>ACC 1000000 1000000 4000000 8000000 1000000</t>
  </si>
  <si>
    <t>ref1 w:16000 h:8000 element:4 init-time:2.196629 sec</t>
  </si>
  <si>
    <t>ref2 w:16000 h:8000 element:4 init-time:0.245722 sec</t>
  </si>
  <si>
    <t>view w:500 h:250</t>
  </si>
  <si>
    <t>overall time: 0.002544 sec</t>
  </si>
  <si>
    <t>Reorg time: 0.001521 sec</t>
  </si>
  <si>
    <t>Oper. time: 0.000416 sec</t>
  </si>
  <si>
    <t>Cache time: 0.000605 sec</t>
  </si>
  <si>
    <t>CPU 2210 18079 141440 1157120 0</t>
  </si>
  <si>
    <t>ACC 250000 250000 1000000 2000000 250000</t>
  </si>
  <si>
    <t>ref1 w:16000 h:8000 element:4 init-time:2.181729 sec</t>
  </si>
  <si>
    <t>view w:250 h:125</t>
  </si>
  <si>
    <t>overall time: 0.000713 sec</t>
  </si>
  <si>
    <t>Reorg time: 0.000401 sec</t>
  </si>
  <si>
    <t>Oper. time: 0.000107 sec</t>
  </si>
  <si>
    <t>Cache time: 0.000204 sec</t>
  </si>
  <si>
    <t>CPU 565 4601 36160 294464 0</t>
  </si>
  <si>
    <t>ACC 62500 62500 250000 500000 62500</t>
  </si>
  <si>
    <t># make D=CLIENT,CLOCKS,STATS,VAR_DELAY=_GDT_ RUN_ARGS="-d&lt;int&gt; -v15 -w16000 -h8000 pat pat"</t>
  </si>
  <si>
    <t>ref1 w:16000 h:8000 element:4 init-time:1.714045 sec</t>
  </si>
  <si>
    <t>ref1:0x1000313600 ref2:0x101eb5b880 davg:0x103d3a3890</t>
  </si>
  <si>
    <t>ref1 w:16000 h:8000 element:4 init-time:1.621525 sec</t>
  </si>
  <si>
    <t>ref1 w:16000 h:8000 element:4 init-time:1.597805 sec</t>
  </si>
  <si>
    <t>Results from Repository (Sidewinder Board, Master Branch)
from misc/results/zup/rtb/rtb.txt</t>
  </si>
  <si>
    <t>lloyd23@kome ~/work/apps.tst2/rtb/zup</t>
  </si>
  <si>
    <t>$ make D=USE_HASH,STATS RUN_ARGS="-e512Mi -l.60 -c -w1Mi -h.90 -z.99" run</t>
  </si>
  <si>
    <t>aarch64-none-elf-g++ -std=c++11  -O3 -Wall -MMD -DUSE_HASH -DSTATS -DUSE_SP -DUSE_OCM -DZYNQ=_ZU_ -DXILTIME -DUSE_MARGS -DMARGS='"-e512Mi -l.60 -c -w1Mi -h.90 -z.99"' -I../src -I../../shared -IC:/cygwin/home/lloyd23/work/lime.tst2/standalone/sdk/standalone_bsp_a53/psu_cortexa53_0/include  -c -o rtb.o ../src/rtb.cpp</t>
  </si>
  <si>
    <t># 8 GB hash table</t>
  </si>
  <si>
    <t># hard coded table address</t>
  </si>
  <si>
    <t>max entries: 536870912</t>
  </si>
  <si>
    <t>Startup time: 10.095529 sec</t>
  </si>
  <si>
    <t>Insert count: 322880513</t>
  </si>
  <si>
    <t>Insert  rate: 1873486.435239 ops/sec</t>
  </si>
  <si>
    <t>Run     time: 195.172745 sec</t>
  </si>
  <si>
    <t>Oper.   time: 22.830684 sec</t>
  </si>
  <si>
    <t>Insert  time: 172.342061 sec</t>
  </si>
  <si>
    <t>table addr: 0x1100000000</t>
  </si>
  <si>
    <t>table size: 8589934592</t>
  </si>
  <si>
    <t>size: 322123537</t>
  </si>
  <si>
    <t>load_factor (elem): 0.600002</t>
  </si>
  <si>
    <t>bucket_count: 536870932</t>
  </si>
  <si>
    <t>max_psl: 21</t>
  </si>
  <si>
    <t>heap start:0x1000231080 top:0x1000232000 end:0x10ff231080</t>
  </si>
  <si>
    <t>total:4278190080 used:3968</t>
  </si>
  <si>
    <t>Stats   time: 0.011583 sec</t>
  </si>
  <si>
    <t>Lookup  rate: 5247412.235270 ops/sec</t>
  </si>
  <si>
    <t>Run     time: 0.207021 sec</t>
  </si>
  <si>
    <t>Oper.   time: 0.007194 sec</t>
  </si>
  <si>
    <t>Lookup  time: 0.199827 sec</t>
  </si>
  <si>
    <t xml:space="preserve">  Fill  time: 0.188891 sec</t>
  </si>
  <si>
    <t xml:space="preserve">  Cache time: 0.010289 sec</t>
  </si>
  <si>
    <t>CPU 11 65587 704 4197632 0</t>
  </si>
  <si>
    <t>ACC 1048576 4755455 4194304 360710144 1048576</t>
  </si>
  <si>
    <t>lloyd23@kome ~/work/apps/rtb/zup</t>
  </si>
  <si>
    <t>$ make D=USE_HASH,STATS run</t>
  </si>
  <si>
    <t>aarch64-none-elf-g++ -std=c++11  -O3 -Wall -MMD -DUSE_HASH -DSTATS -DUSE_SP -DUSE_OCM -DZYNQ=_ZU_ -DXILTIME -DUSE_MARGS -DMARGS='"-e32Mi -l.60 -c -w1Mi -h.90 -z.99"' -I../src -I../../shared -IC:/cygwin/home/lloyd23/work/lime.tst2/standalone/sdk/standalone_bsp_a53/psu_cortexa53_0/include  -c -o rtb.o ../src/rtb.cpp</t>
  </si>
  <si>
    <t>Insert  rate: 1867473.600766 ops/sec</t>
  </si>
  <si>
    <t>Run     time: 12.206994 sec</t>
  </si>
  <si>
    <t>Oper.   time: 1.424546 sec</t>
  </si>
  <si>
    <t>Insert  time: 10.782448 sec</t>
  </si>
  <si>
    <t>Lookup  rate: 6272442.781309 ops/sec</t>
  </si>
  <si>
    <t>Run     time: 0.174419 sec</t>
  </si>
  <si>
    <t>Oper.   time: 0.007247 sec</t>
  </si>
  <si>
    <t>Lookup  time: 0.167172 sec</t>
  </si>
  <si>
    <t xml:space="preserve">  Fill  time: 0.156236 sec</t>
  </si>
  <si>
    <t xml:space="preserve">  Cache time: 0.010288 sec</t>
  </si>
  <si>
    <t>CPU 11 65584 704 4197440 0</t>
  </si>
  <si>
    <t>lime-apps/rtb/zup</t>
  </si>
  <si>
    <t>aarch64-none-elf-g++ -std=c++11  -O3 -Wall -MMD -DUSE_HASH -DSTATS -DZYNQ=_ZU_ -DXILTIME -DUSE_MARGS -DMARGS='"-e512Mi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</si>
  <si>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terminate called after throwing an instance of 'std::bad_alloc'</t>
  </si>
  <si>
    <t xml:space="preserve">  what():  std::bad_alloc</t>
  </si>
  <si>
    <t>aarch64-none-elf-g++ -std=c++11  -O3 -Wall -MMD -DUSE_HASH -DSTATS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</si>
  <si>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heap start:0x100026c080 top:0x1036cfb000 end:0x10ff26c080</t>
  </si>
  <si>
    <t>[CM Note]: What changed? The command and options are the same as before, and the compile paths ar ethe same - but this run and succeeding runs passed, whereas the previous one fails?!?</t>
  </si>
  <si>
    <t>Best Rate MB/s</t>
  </si>
  <si>
    <t>Avg time</t>
  </si>
  <si>
    <t>Cache time: 0.000452 sec</t>
  </si>
  <si>
    <t>ref1 w:16000 h:8000 element:4 init-time:1.682272 sec</t>
  </si>
  <si>
    <t>ref1 w:16000 h:8000 element:4 init-time:1.613618 sec</t>
  </si>
  <si>
    <t>Cache time: 0.000231 sec</t>
  </si>
  <si>
    <t>aarch64-none-elf-g++ -std=c++11  -O3 -Wall -MMD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</si>
  <si>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Oper.   time: 0.002381 sec</t>
  </si>
  <si>
    <t>Cache time: 0.023573 sec</t>
  </si>
  <si>
    <t>Not run (same settings as failed test above)</t>
  </si>
  <si>
    <t>Not run (same settings as failed test to the right)</t>
  </si>
  <si>
    <t>Cache time: 0.000609 sec</t>
  </si>
  <si>
    <t>Cache time: 0.000610 sec</t>
  </si>
  <si>
    <t>Not Run</t>
  </si>
  <si>
    <t>ref1 w:16000 h:8000 element:4 init-time:1.613619 sec</t>
  </si>
  <si>
    <t>CPU 573 4623 36672 295808 0</t>
  </si>
  <si>
    <t>Results from Repository (Sidewinder Board, Master Branch @ 300MHz)
from  misc/results/zup/image/client1.txt</t>
  </si>
  <si>
    <t>ref1:0x10002ee600 ref2:0x101eb36880 davg:0x103d37e890</t>
  </si>
  <si>
    <t>Slot 0 - CPU_SRAM_B:102 CPU_SRAM_R:91 CPU_DRAM_B:365 CPU_DRAM_R:275</t>
  </si>
  <si>
    <t>Cache time: 0.000232 sec</t>
  </si>
  <si>
    <t>Cache time: 0.000633 sec</t>
  </si>
  <si>
    <t>aarch64-none-elf-gcc  -O3 -Wall -MMD -DSTATS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</si>
  <si>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Cache time: 0.002209 sec</t>
  </si>
  <si>
    <t>int acc_sram_wr_lat = 48;</t>
  </si>
  <si>
    <t>int acc_sram_rd_lat = 66;</t>
  </si>
  <si>
    <t>ref2 w:16000 h:8000 element:4 init-time:0.320029 sec</t>
  </si>
  <si>
    <t>Slot 1 - ACC_SRAM_B:15 ACC_SRAM_R:3 ACC_DRAM_B:277 ACC_DRAM_R:187</t>
  </si>
  <si>
    <t>overall time: 0.153379 sec</t>
  </si>
  <si>
    <t>Reorg time: 0.092497 sec</t>
  </si>
  <si>
    <t>Oper. time: 0.027230 sec</t>
  </si>
  <si>
    <t>Cache time: 0.033651 sec</t>
  </si>
  <si>
    <t>CPU 141626 1153035 9064064 73794304 0</t>
  </si>
  <si>
    <t>overall time: 0.038616 sec</t>
  </si>
  <si>
    <t>Reorg time: 0.023294 sec</t>
  </si>
  <si>
    <t>Oper. time: 0.006824 sec</t>
  </si>
  <si>
    <t>Cache time: 0.008496 sec</t>
  </si>
  <si>
    <t>CPU 35432 288396 2267648 18457408 0</t>
  </si>
  <si>
    <t>ref1 w:16000 h:8000 element:4 init-time:1.621527 sec</t>
  </si>
  <si>
    <t>overall time: 0.009821 sec</t>
  </si>
  <si>
    <t>Reorg time: 0.005909 sec</t>
  </si>
  <si>
    <t>Oper. time: 0.001701 sec</t>
  </si>
  <si>
    <t>CPU 8883 72203 568512 4621056 0</t>
  </si>
  <si>
    <t>overall time: 0.002582 sec</t>
  </si>
  <si>
    <t>Reorg time: 0.001520 sec</t>
  </si>
  <si>
    <t>Oper. time: 0.000427 sec</t>
  </si>
  <si>
    <t>CPU 2242 18147 143488 1161472 0</t>
  </si>
  <si>
    <t>overall time: 0.000741 sec</t>
  </si>
  <si>
    <t>CPU 573 4622 36672 295872 0</t>
  </si>
  <si>
    <t>Copy:            1480.1     0.216203     0.216203     0.216203</t>
  </si>
  <si>
    <t>Scale:           1492.4     0.214418     0.214418     0.214418</t>
  </si>
  <si>
    <t>Add:             1156.4     0.415066     0.415066     0.415066</t>
  </si>
  <si>
    <t>Triad:           1146.0     0.418836     0.418836     0.418836</t>
  </si>
  <si>
    <t>CPU 20000185 29999872 1280011312 1919991872 6</t>
  </si>
  <si>
    <t>aarch64-none-elf-gcc  -O3 -Wall -MMD -DSTATS -DCLOCKS -DSTREAM_ARRAY_SIZE=20000000 -DNTIMES=2 -DZYNQ=_ZU_ -DXILTIME -DUSE_MARGS -DMARGS='""'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strm.o ../src/strm.c</t>
  </si>
  <si>
    <t>aarch64-none-elf-g++  -O3 -Wall -MMD -DSTATS -DCLOCKS -DCLIENT -DUSE_LSU -DZYNQ=_ZU_ -DXILTIME -DUSE_MARGS -DMARGS='"-s29"' -DUSE_SP -DUSE_OCM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randa.o ../src/randa.cpp</t>
  </si>
  <si>
    <t>Real time used = 0.132705 seconds</t>
  </si>
  <si>
    <t>0.031606128 Billion(10^9) Updates per second [GUP/s]</t>
  </si>
  <si>
    <t>Reorg time: 0.072049 sec</t>
  </si>
  <si>
    <t>Oper. time: 0.060624 sec</t>
  </si>
  <si>
    <t>CPU 786580 524495 50341064 33567808 1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</si>
  <si>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clocks.o c:/users/macaraeg1/projects/comp/repositories/lime_axi_delayv/shared/standalone/clocks.c</t>
  </si>
  <si>
    <t>Scale:           6047.5     0.052914     0.052914     0.052914</t>
  </si>
  <si>
    <t>Copy:            6253.5     0.051172     0.051172     0.051172</t>
  </si>
  <si>
    <t>Add:             4536.2     0.105815     0.105815     0.105815</t>
  </si>
  <si>
    <t>Triad:           4466.9     0.107458     0.107458     0.107458</t>
  </si>
  <si>
    <t>CPU 20000189 29999793 1280011540 1919986880 9</t>
  </si>
  <si>
    <t>Oper. time: 0.000433 sec</t>
  </si>
  <si>
    <t>int cpu_dram_wr_lat = 62;</t>
  </si>
  <si>
    <t>int cpu_dram_rd_lat = 79;</t>
  </si>
  <si>
    <t>aarch64-none-elf-g++ -std=c++11  -O3 -Wall -MMD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</si>
  <si>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make run</t>
  </si>
  <si>
    <t>######### RTB ##########</t>
  </si>
  <si>
    <t>Startup time: 0.170612 sec</t>
  </si>
  <si>
    <t>Insert  rate: 1173176.215677 ops/sec</t>
  </si>
  <si>
    <t>Run     time: 18.453925 sec</t>
  </si>
  <si>
    <t>Oper.   time: 1.209142 sec</t>
  </si>
  <si>
    <t>Insert  time: 17.244783 sec</t>
  </si>
  <si>
    <t>Stats   time: 19.036135 sec</t>
  </si>
  <si>
    <t>Lookup  rate: 1320977.541214 ops/sec</t>
  </si>
  <si>
    <t>Run     time: 0.799998 sec</t>
  </si>
  <si>
    <t>Oper.   time: 0.006210 sec</t>
  </si>
  <si>
    <t>Lookup  time: 0.793788 sec</t>
  </si>
  <si>
    <t>Startup time: 0.170592 sec</t>
  </si>
  <si>
    <t>Insert  rate: 4411063.137370 ops/sec</t>
  </si>
  <si>
    <t>Run     time: 5.068140 sec</t>
  </si>
  <si>
    <t>Oper.   time: 0.481679 sec</t>
  </si>
  <si>
    <t>Insert  time: 4.586461 sec</t>
  </si>
  <si>
    <t>heap start:0x1000251080 top:0x1036ce0000 end:0x10ff251080</t>
  </si>
  <si>
    <t>Stats   time: 19.036023 sec</t>
  </si>
  <si>
    <t>Lookup  rate: 5409510.659765 ops/sec</t>
  </si>
  <si>
    <t>Run     time: 0.196220 sec</t>
  </si>
  <si>
    <t>Lookup  time: 0.193839 sec</t>
  </si>
  <si>
    <t>CPU 72 1809785 4608 115826176 0</t>
  </si>
  <si>
    <t>Startup time: 0.170584 sec</t>
  </si>
  <si>
    <t>Insert  rate: 1173033.686750 ops/sec</t>
  </si>
  <si>
    <t>Run     time: 18.456032 sec</t>
  </si>
  <si>
    <t>Oper.   time: 1.209154 sec</t>
  </si>
  <si>
    <t>Insert  time: 17.246878 sec</t>
  </si>
  <si>
    <t>Stats   time: 19.036152 sec</t>
  </si>
  <si>
    <t>Lookup  rate: 1320929.577523 ops/sec</t>
  </si>
  <si>
    <t>Run     time: 0.800027 sec</t>
  </si>
  <si>
    <t>Lookup  time: 0.793817 sec</t>
  </si>
  <si>
    <t>aarch64-none-elf-g++ -std=c++11  -O3 -Wall -MMD -DUSE_HASH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</si>
  <si>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0.170587 sec</t>
  </si>
  <si>
    <t>Insert  rate: 1173438.608947 ops/sec</t>
  </si>
  <si>
    <t>Run     time: 18.450060 sec</t>
  </si>
  <si>
    <t>Oper.   time: 1.209134 sec</t>
  </si>
  <si>
    <t>Insert  time: 17.240927 sec</t>
  </si>
  <si>
    <t>Stats   time: 19.036788 sec</t>
  </si>
  <si>
    <t>Lookup  rate: 1320919.442685 ops/sec</t>
  </si>
  <si>
    <t>Run     time: 0.800034 sec</t>
  </si>
  <si>
    <t>Lookup  time: 0.793823 sec</t>
  </si>
  <si>
    <t>int cpu_sram_wr_lat = 62;</t>
  </si>
  <si>
    <t>int cpu_sram_rd_lat = 79;</t>
  </si>
  <si>
    <t>aarch64-none-elf-g++ -std=c++11  -O3 -Wall -MMD -DUSE_HASH -DSTATS -DZYNQ=_ZU_ -DXILTIME -DUSE_MARGS -DMARGS='"-e512Mi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</si>
  <si>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aarch64-none-elf-g++ -std=c++11  -O3 -Wall -MMD -DUSE_HASH -DSTATS -DZYNQ=_ZU_ -DXILTIME -DUSE_MARGS -DMARGS='"-e32Mi -l.60 -c -w1Mi -h.90 -z.99"' -I../src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rtb.o ../src/rtb.cpp</t>
  </si>
  <si>
    <t>Startup time: 0.168604 sec</t>
  </si>
  <si>
    <t>Insert  rate: 1182187.281095 ops/sec</t>
  </si>
  <si>
    <t>Run     time: 18.322585 sec</t>
  </si>
  <si>
    <t>Oper.   time: 1.209248 sec</t>
  </si>
  <si>
    <t>Insert  time: 17.113337 sec</t>
  </si>
  <si>
    <t>heap start:0x1000250080 top:0x1036cdf000 end:0x10ff250080</t>
  </si>
  <si>
    <t>Stats   time: 18.939593 sec</t>
  </si>
  <si>
    <t>Lookup  rate: 1337335.947858 ops/sec</t>
  </si>
  <si>
    <t>Run     time: 0.790284 sec</t>
  </si>
  <si>
    <t>Oper.   time: 0.006206 sec</t>
  </si>
  <si>
    <t>Lookup  time: 0.784078 sec</t>
  </si>
  <si>
    <t>CPU 73 1809252 4672 115792128 0</t>
  </si>
  <si>
    <t>aarch64-none-elf-g++  -O3 -Wall -MMD -DCLOCKS -DSTATS -DCLIENT -DUSE_LSU -DZYNQ=_ZU_ -DXILTIME -DUSE_MARGS -DMARGS='"-c -s18 -n34 -v15"'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</si>
  <si>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0.294397 sec</t>
  </si>
  <si>
    <t>Reorg time: 0.204277 sec</t>
  </si>
  <si>
    <t>Oper. time: 0.066536 sec</t>
  </si>
  <si>
    <t>Cache time: 0.023583 sec</t>
  </si>
  <si>
    <t>CPU 32785 2277488 2098240 145759360 0</t>
  </si>
  <si>
    <t>Mflop/s:            60.550232</t>
  </si>
  <si>
    <t>aarch64-none-elf-g++  -O3 -Wall -MMD -DCLOCKS -DSTATS -DCLIENT -DUSE_LSU -DZYNQ=_ZU_ -DXILTIME -DUSE_MARGS -DMARGS='"-c -s23 -n34 -v15"' -DUSE_SP -DUSE_OCM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</si>
  <si>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aarch64-none-elf-g++  -O3 -Wall -MMD -DCLOCKS -DSTATS -DZYNQ=_ZU_ -DXILTIME -DUSE_MARGS -DMARGS='"-c -s18 -n34 -v15"'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</si>
  <si>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SpMV time: 0.437034 sec</t>
  </si>
  <si>
    <t>Oper. time: 0.436424 sec</t>
  </si>
  <si>
    <t>CPU 32775 4123921 2097600 263931008 0</t>
  </si>
  <si>
    <t>Mflop/s:            40.788088</t>
  </si>
  <si>
    <t>aarch64-none-elf-g++  -O3 -Wall -MMD -DCLOCKS -DSTATS -DZYNQ=_ZU_ -DXILTIME -DUSE_MARGS -DMARGS='"-c -s23 -n34 -v15"' -I../src -I../src/bebop_util -I../src/matrix_generator -I../src/spmvbench -Ic:/users/macaraeg1/projects/comp/repositories/temp_for_comparison/lime_master_187.5MHz/shared -Ic:/users/macaraeg1/projects/comp/repositories/temp_for_comparison/lime_master_187.5MHz/shared/standalone -Ic:/users/macaraeg1/projects/comp/repositories/temp_for_comparison/lime_master_187.5MHz/standalone/sdk/standalone_bsp_a53/psu_cortexa53_0/include  -c -o spmv.o ../src/spmv.cpp</t>
  </si>
  <si>
    <t>overall time: 0.000742 sec</t>
  </si>
  <si>
    <t>int acc_dram_wr_lat = 60; //60; //100;</t>
  </si>
  <si>
    <t>int acc_dram_rd_lat = 78; //78; //118;</t>
  </si>
  <si>
    <t>int acc_sram_wr_lat = 48; //28; //48;</t>
  </si>
  <si>
    <t>int acc_sram_rd_lat = 66; //46; //66;</t>
  </si>
  <si>
    <t>SpMV time: 0.437000 sec</t>
  </si>
  <si>
    <t>Oper. time: 0.436390 sec</t>
  </si>
  <si>
    <t>CPU 32774 4124052 2097536 263939136 0</t>
  </si>
  <si>
    <t>Mflop/s:            40.791309</t>
  </si>
  <si>
    <t>SpMV time: 0.292910 sec</t>
  </si>
  <si>
    <t>Reorg time: 0.202854 sec</t>
  </si>
  <si>
    <t>Oper. time: 0.066483 sec</t>
  </si>
  <si>
    <t>CPU 32786 2277503 2098304 145760128 0</t>
  </si>
  <si>
    <t>Mflop/s:            60.857490</t>
  </si>
  <si>
    <t>Real time used = 0.132911 seconds</t>
  </si>
  <si>
    <t>0.031557333 Billion(10^9) Updates per second [GUP/s]</t>
  </si>
  <si>
    <t>Reorg time: 0.072358 sec</t>
  </si>
  <si>
    <t>Oper. time: 0.060520 sec</t>
  </si>
  <si>
    <t>CPU 786579 524493 50341000 33567616 1</t>
  </si>
  <si>
    <t>ref2 w:16000 h:8000 element:4 init-time:0.337029 sec</t>
  </si>
  <si>
    <t>overall time: 0.153460 sec</t>
  </si>
  <si>
    <t>Reorg time: 0.092496 sec</t>
  </si>
  <si>
    <t>Oper. time: 0.027301 sec</t>
  </si>
  <si>
    <t>Cache time: 0.033662 sec</t>
  </si>
  <si>
    <t>CPU 141626 1153064 9064064 73796032 0</t>
  </si>
  <si>
    <t>ref2 w:16000 h:8000 element:4 init-time:0.337021 sec</t>
  </si>
  <si>
    <t>overall time: 0.038611 sec</t>
  </si>
  <si>
    <t>Oper. time: 0.006818 sec</t>
  </si>
  <si>
    <t>Cache time: 0.008497 sec</t>
  </si>
  <si>
    <t>CPU 35432 288426 2267648 18459200 0</t>
  </si>
  <si>
    <t>ref2 w:16000 h:8000 element:4 init-time:0.337042 sec</t>
  </si>
  <si>
    <t>overall time: 0.009818 sec</t>
  </si>
  <si>
    <t>Oper. time: 0.001699 sec</t>
  </si>
  <si>
    <t>CPU 8883 72179 568512 4619392 0</t>
  </si>
  <si>
    <t>ref2 w:16000 h:8000 element:4 init-time:0.337039 sec</t>
  </si>
  <si>
    <t>overall time: 0.002587 sec</t>
  </si>
  <si>
    <t>CPU 2242 18155 143488 1161856 0</t>
  </si>
  <si>
    <t>ref2 w:16000 h:8000 element:4 init-time:0.336990 sec</t>
  </si>
  <si>
    <t>Oper. time: 0.000109 sec</t>
  </si>
  <si>
    <t>Copy:            1380.6     0.231777     0.231777     0.231777</t>
  </si>
  <si>
    <t>Scale:           1199.2     0.266845     0.266845     0.266845</t>
  </si>
  <si>
    <t>Add:             1043.1     0.460150     0.460150     0.460150</t>
  </si>
  <si>
    <t>Triad:           1071.6     0.447910     0.447910     0.447910</t>
  </si>
  <si>
    <t>CPU 20000195 30000049 1280011856 1920003136 8</t>
  </si>
  <si>
    <t>Copy:            6257.5     0.051138     0.051138     0.051138</t>
  </si>
  <si>
    <t>Scale:           6047.4     0.052916     0.052916     0.052916</t>
  </si>
  <si>
    <t>Add:             4539.8     0.105732     0.105732     0.105732</t>
  </si>
  <si>
    <t>Triad:           4456.2     0.107715     0.107715     0.107715</t>
  </si>
  <si>
    <t>CPU 20000188 30000004 1280011364 1920000192 11</t>
  </si>
  <si>
    <t>Startup time: 0.177600 sec</t>
  </si>
  <si>
    <t>Insert  rate: 1114920.432460 ops/sec</t>
  </si>
  <si>
    <t>Run     time: 19.354902 sec</t>
  </si>
  <si>
    <t>Oper.   time: 1.209061 sec</t>
  </si>
  <si>
    <t>Insert  time: 18.145841 sec</t>
  </si>
  <si>
    <t>Stats   time: 20.164467 sec</t>
  </si>
  <si>
    <t>Lookup  rate: 1245527.876370 ops/sec</t>
  </si>
  <si>
    <t>Run     time: 0.848082 sec</t>
  </si>
  <si>
    <t>Lookup  time: 0.841873 sec</t>
  </si>
  <si>
    <t>Startup time: 0.177608 sec</t>
  </si>
  <si>
    <t>Insert  rate: 4419842.727851 ops/sec</t>
  </si>
  <si>
    <t>Run     time: 5.059133 sec</t>
  </si>
  <si>
    <t>Oper.   time: 0.481783 sec</t>
  </si>
  <si>
    <t>Insert  time: 4.577350 sec</t>
  </si>
  <si>
    <t>Stats   time: 20.164347 sec</t>
  </si>
  <si>
    <t>Lookup  rate: 5424983.706168 ops/sec</t>
  </si>
  <si>
    <t>Run     time: 0.195667 sec</t>
  </si>
  <si>
    <t>Lookup  time: 0.193286 sec</t>
  </si>
  <si>
    <t>CPU 72 1809660 4608 115818240 0</t>
  </si>
  <si>
    <t>Startup time: 0.177568 sec</t>
  </si>
  <si>
    <t>Insert  rate: 1113137.696945 ops/sec</t>
  </si>
  <si>
    <t>Run     time: 19.384084 sec</t>
  </si>
  <si>
    <t>Oper.   time: 1.209182 sec</t>
  </si>
  <si>
    <t>Insert  time: 18.174902 sec</t>
  </si>
  <si>
    <t>Lookup  rate: 1245686.733919 ops/sec</t>
  </si>
  <si>
    <t>Run     time: 0.847971 sec</t>
  </si>
  <si>
    <t>Lookup  time: 0.841765 sec</t>
  </si>
  <si>
    <t>CPU 73 1809547 4672 115811008 0</t>
  </si>
  <si>
    <t>int acc_dram_wr_lat = 60;</t>
  </si>
  <si>
    <t>int acc_dram_rd_lat = 78;</t>
  </si>
  <si>
    <t>ref1 w:24000 h:16000 element:4 init-time:5.173702 sec</t>
  </si>
  <si>
    <t>ref2 w:24000 h:16000 element:4 init-time:0.971523 sec</t>
  </si>
  <si>
    <t>overall time: 0.288778 sec</t>
  </si>
  <si>
    <t>Oper. time: 0.281880 sec</t>
  </si>
  <si>
    <t>Cache time: 0.006898 sec</t>
  </si>
  <si>
    <t>CPU 375005 12434591 24000320 795813888 0</t>
  </si>
  <si>
    <t>ref1 w:24000 h:16000 element:4 init-time:5.110161 sec</t>
  </si>
  <si>
    <t>overall time: 0.125955 sec</t>
  </si>
  <si>
    <t>Oper. time: 0.124204 sec</t>
  </si>
  <si>
    <t>Cache time: 0.001751 sec</t>
  </si>
  <si>
    <t>CPU 93755 6122582 6000320 391845312 0</t>
  </si>
  <si>
    <t>ref1 w:24000 h:16000 element:4 init-time:4.983080 sec</t>
  </si>
  <si>
    <t>overall time: 0.062059 sec</t>
  </si>
  <si>
    <t>Oper. time: 0.061608 sec</t>
  </si>
  <si>
    <t>CPU 23443 3036484 1500352 194334976 0</t>
  </si>
  <si>
    <t>ref1 w:24000 h:16000 element:4 init-time:4.856478 sec</t>
  </si>
  <si>
    <t>overall time: 0.016398 sec</t>
  </si>
  <si>
    <t>Oper. time: 0.015932 sec</t>
  </si>
  <si>
    <t>Cache time: 0.000466 sec</t>
  </si>
  <si>
    <t>CPU 5865 760410 375360 48666240 0</t>
  </si>
  <si>
    <t>ref1 w:24000 h:16000 element:4 init-time:4.824853 sec</t>
  </si>
  <si>
    <t>overall time: 0.005109 sec</t>
  </si>
  <si>
    <t>Oper. time: 0.004988 sec</t>
  </si>
  <si>
    <t>Cache time: 0.000122 sec</t>
  </si>
  <si>
    <t>CPU 1470 190534 94080 12194240 0</t>
  </si>
  <si>
    <t>ref2 w:24000 h:16000 element:4 init-time:1.011335 sec</t>
  </si>
  <si>
    <t>overall time: 0.288547 sec</t>
  </si>
  <si>
    <t>Oper. time: 0.281653 sec</t>
  </si>
  <si>
    <t>CPU 375005 12435326 24000320 795860928 0</t>
  </si>
  <si>
    <t>ref1 w:24000 h:16000 element:4 init-time:5.110163 sec</t>
  </si>
  <si>
    <t>ref2 w:24000 h:16000 element:4 init-time:1.011481 sec</t>
  </si>
  <si>
    <t>overall time: 0.125476 sec</t>
  </si>
  <si>
    <t>Oper. time: 0.123730 sec</t>
  </si>
  <si>
    <t>Cache time: 0.001746 sec</t>
  </si>
  <si>
    <t>CPU 93755 6122474 6000320 391838464 0</t>
  </si>
  <si>
    <t>ref1 w:24000 h:16000 element:4 init-time:4.983082 sec</t>
  </si>
  <si>
    <t>ref2 w:24000 h:16000 element:4 init-time:1.011406 sec</t>
  </si>
  <si>
    <t>overall time: 0.061844 sec</t>
  </si>
  <si>
    <t>Oper. time: 0.061391 sec</t>
  </si>
  <si>
    <t>CPU 23443 3036478 1500352 194334720 0</t>
  </si>
  <si>
    <t>ref1 w:24000 h:16000 element:4 init-time:4.856480 sec</t>
  </si>
  <si>
    <t>ref2 w:24000 h:16000 element:4 init-time:1.011362 sec</t>
  </si>
  <si>
    <t>overall time: 0.016349 sec</t>
  </si>
  <si>
    <t>Oper. time: 0.015887 sec</t>
  </si>
  <si>
    <t>Cache time: 0.000462 sec</t>
  </si>
  <si>
    <t>CPU 5865 760367 375360 48663552 0</t>
  </si>
  <si>
    <t>ref1 w:24000 h:16000 element:4 init-time:4.824855 sec</t>
  </si>
  <si>
    <t>ref2 w:24000 h:16000 element:4 init-time:1.011440 sec</t>
  </si>
  <si>
    <t>overall time: 0.005094 sec</t>
  </si>
  <si>
    <t>Oper. time: 0.004973 sec</t>
  </si>
  <si>
    <t>Cache time: 0.000121 sec</t>
  </si>
  <si>
    <t>CPU 1470 190529 94080 12193920 0</t>
  </si>
  <si>
    <t>Main table addr   = 0x100021b660</t>
  </si>
  <si>
    <t>Real time used = 0.441979 seconds</t>
  </si>
  <si>
    <t>0.009489834 Billion(10^9) Updates per second [GUP/s]</t>
  </si>
  <si>
    <t>Oper. time: 0.441740 sec</t>
  </si>
  <si>
    <t>Cache time: 0.000238 sec</t>
  </si>
  <si>
    <t>CPU 4185877 4185908 267896128 267898176 0</t>
  </si>
  <si>
    <t>Found 0 errors in 67108864 locations (passed).</t>
  </si>
  <si>
    <t>Table scale: 29</t>
  </si>
  <si>
    <t>Main table addr   = 0x1000240660</t>
  </si>
  <si>
    <t>Real time used = 0.441037 seconds</t>
  </si>
  <si>
    <t>0.009510094 Billion(10^9) Updates per second [GUP/s]</t>
  </si>
  <si>
    <t>Oper. time: 0.440801 sec</t>
  </si>
  <si>
    <t>Cache time: 0.000236 sec</t>
  </si>
  <si>
    <t>CPU 4185769 4185796 267889216 267890816 0</t>
  </si>
  <si>
    <t xml:space="preserve"> FDU Master Branch @ 187.5MHz (frequency scaling in clocks.c), ZCU102 Board
2020-0929
</t>
  </si>
  <si>
    <t>Performance Percent Difference (FDU - VLD)/FDU</t>
  </si>
  <si>
    <t>VLD axi_delayv branch @ 187.5MHz (GDTs filled with constants, frequency scaling in gdt.c), ZCU102 Board
NOTE: offset/compensation delays adjusted so performance matches FDU@187.5MHz
Date: 20200929</t>
  </si>
  <si>
    <t>VLD axi_delayv branch @ 187.5MHz (GDTs filled with  Gaussians, Std Dev = mu/8)
NOTE: offset/compensation delay values have been adjusted so performance matches FDU@187.5MHz
Date: 20200930</t>
  </si>
  <si>
    <t>ref2 w:24000 h:16000 element:4 init-time:1.011067 sec</t>
  </si>
  <si>
    <t>overall time: 0.314501 sec</t>
  </si>
  <si>
    <t>Oper. time: 0.307603 sec</t>
  </si>
  <si>
    <t>CPU 375005 12431929 24000320 795643584 0</t>
  </si>
  <si>
    <t>ref2 w:24000 h:16000 element:4 init-time:1.011091 sec</t>
  </si>
  <si>
    <t>overall time: 0.145090 sec</t>
  </si>
  <si>
    <t>Oper. time: 0.143338 sec</t>
  </si>
  <si>
    <t>Cache time: 0.001752 sec</t>
  </si>
  <si>
    <t>CPU 93755 6122365 6000320 391831424 0</t>
  </si>
  <si>
    <t>ref2 w:24000 h:16000 element:4 init-time:1.011044 sec</t>
  </si>
  <si>
    <t>overall time: 0.071784 sec</t>
  </si>
  <si>
    <t>Oper. time: 0.071332 sec</t>
  </si>
  <si>
    <t>CPU 23443 3036235 1500352 194319104 0</t>
  </si>
  <si>
    <t>ref2 w:24000 h:16000 element:4 init-time:1.011068 sec</t>
  </si>
  <si>
    <t>overall time: 0.019220 sec</t>
  </si>
  <si>
    <t>Oper. time: 0.018756 sec</t>
  </si>
  <si>
    <t>Cache time: 0.000464 sec</t>
  </si>
  <si>
    <t>CPU 5865 760464 375360 48669824 0</t>
  </si>
  <si>
    <t>ref2 w:24000 h:16000 element:4 init-time:1.011060 sec</t>
  </si>
  <si>
    <t>overall time: 0.005821 sec</t>
  </si>
  <si>
    <t>Oper. time: 0.005701 sec</t>
  </si>
  <si>
    <t>Cache time: 0.000120 sec</t>
  </si>
  <si>
    <t>CPU 1470 190518 94080 12193152 0</t>
  </si>
  <si>
    <t>ref2 w:16000 h:8000 element:4 init-time:0.336970 sec</t>
  </si>
  <si>
    <t>overall time: 0.154886 sec</t>
  </si>
  <si>
    <t>Reorg time: 0.092657 sec</t>
  </si>
  <si>
    <t>Oper. time: 0.028456 sec</t>
  </si>
  <si>
    <t>Cache time: 0.033771 sec</t>
  </si>
  <si>
    <t>CPU 141626 1153194 9064064 73804352 0</t>
  </si>
  <si>
    <t>ref1 w:16000 h:8000 element:4 init-time:1.682273 sec</t>
  </si>
  <si>
    <t>ref2 w:16000 h:8000 element:4 init-time:0.336992 sec</t>
  </si>
  <si>
    <t>overall time: 0.038998 sec</t>
  </si>
  <si>
    <t>Reorg time: 0.023345 sec</t>
  </si>
  <si>
    <t>Oper. time: 0.007126 sec</t>
  </si>
  <si>
    <t>Cache time: 0.008526 sec</t>
  </si>
  <si>
    <t>CPU 35432 288370 2267648 18455616 0</t>
  </si>
  <si>
    <t>ref2 w:16000 h:8000 element:4 init-time:0.337003 sec</t>
  </si>
  <si>
    <t>overall time: 0.009936 sec</t>
  </si>
  <si>
    <t>Reorg time: 0.005926 sec</t>
  </si>
  <si>
    <t>Oper. time: 0.001794 sec</t>
  </si>
  <si>
    <t>Cache time: 0.002215 sec</t>
  </si>
  <si>
    <t>CPU 8883 72205 568512 4621056 0</t>
  </si>
  <si>
    <t>ref2 w:16000 h:8000 element:4 init-time:0.337008 sec</t>
  </si>
  <si>
    <t>overall time: 0.002611 sec</t>
  </si>
  <si>
    <t>Reorg time: 0.001527 sec</t>
  </si>
  <si>
    <t>Oper. time: 0.000449 sec</t>
  </si>
  <si>
    <t>Cache time: 0.000634 sec</t>
  </si>
  <si>
    <t>CPU 2242 18162 143488 1162304 0</t>
  </si>
  <si>
    <t>ref2 w:16000 h:8000 element:4 init-time:0.337013 sec</t>
  </si>
  <si>
    <t>overall time: 0.000750 sec</t>
  </si>
  <si>
    <t>Reorg time: 0.000403 sec</t>
  </si>
  <si>
    <t>Oper. time: 0.000114 sec</t>
  </si>
  <si>
    <t>CPU 573 4626 36672 296128 0</t>
  </si>
  <si>
    <t>Real time used = 0.136970 seconds</t>
  </si>
  <si>
    <t>0.030622123 Billion(10^9) Updates per second [GUP/s]</t>
  </si>
  <si>
    <t>Reorg time: 0.076360 sec</t>
  </si>
  <si>
    <t>Oper. time: 0.060577 sec</t>
  </si>
  <si>
    <t>CPU 786579 524496 50341000 33567872 1</t>
  </si>
  <si>
    <t>aarch64-none-elf-g++  -O3 -Wall -MMD -DSTATS -DCLOCKS -DCLIENT -DVAR_DELAY=_GDT_ -DUSE_LSU -DZYNQ=_ZU_ -DXILTIME -DUSE_MARGS -DMARGS='"-s29"' -DUSE_SP -DUSE_OCM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randa.o ../src/randa.cpp</t>
  </si>
  <si>
    <t>Real time used = 0.444865 seconds</t>
  </si>
  <si>
    <t>0.009428268 Billion(10^9) Updates per second [GUP/s]</t>
  </si>
  <si>
    <t>Oper. time: 0.444611 sec</t>
  </si>
  <si>
    <t>Cache time: 0.000253 sec</t>
  </si>
  <si>
    <t>CPU 4185927 4185952 267899328 267900864 0</t>
  </si>
  <si>
    <t>Copy:            1381.5     0.231634     0.231634     0.231634</t>
  </si>
  <si>
    <t>Scale:           1382.5     0.231471     0.231471     0.231471</t>
  </si>
  <si>
    <t>Add:             1044.3     0.459658     0.459658     0.459658</t>
  </si>
  <si>
    <t>Triad:           1072.3     0.447624     0.447624     0.447624</t>
  </si>
  <si>
    <t>CPU 20000190 29999991 1280011592 1919999424 7</t>
  </si>
  <si>
    <t>aarch64-none-elf-gcc  -O3 -Wall -MMD -DSTATS -DCLOCKS -DVAR_DELAY=_GDT_ -DSTREAM_ARRAY_SIZE=20000000 -DNTIMES=2 -DZYNQ=_ZU_ -DXILTIME -DUSE_MARGS -DMARGS='""'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strm.o ../src/strm.c</t>
  </si>
  <si>
    <t>Copy:            5267.1     0.060754     0.060754     0.060754</t>
  </si>
  <si>
    <t>Scale:           5202.3     0.061511     0.061511     0.061511</t>
  </si>
  <si>
    <t>Add:             4001.6     0.119952     0.119952     0.119952</t>
  </si>
  <si>
    <t>Triad:           3953.1     0.121423     0.121423     0.121423</t>
  </si>
  <si>
    <t>CPU 20000191 29999906 1280011668 1919993920 9</t>
  </si>
  <si>
    <t>Startup time: 0.177572 sec</t>
  </si>
  <si>
    <t>Insert  rate: 1115071.296888 ops/sec</t>
  </si>
  <si>
    <t>Run     time: 19.352483 sec</t>
  </si>
  <si>
    <t>Insert  time: 18.143386 sec</t>
  </si>
  <si>
    <t>Stats   time: 20.164346 sec</t>
  </si>
  <si>
    <t>Lookup  rate: 1245874.381558 ops/sec</t>
  </si>
  <si>
    <t>Run     time: 0.847849 sec</t>
  </si>
  <si>
    <t>Lookup  time: 0.841639 sec</t>
  </si>
  <si>
    <t>Startup time: 0.177565 sec</t>
  </si>
  <si>
    <t>Insert  rate: 4359208.553543 ops/sec</t>
  </si>
  <si>
    <t>Run     time: 5.122823 sec</t>
  </si>
  <si>
    <t>Oper.   time: 0.481804 sec</t>
  </si>
  <si>
    <t>Insert  time: 4.641019 sec</t>
  </si>
  <si>
    <t>Stats   time: 20.164261 sec</t>
  </si>
  <si>
    <t>Lookup  rate: 5365833.741475 ops/sec</t>
  </si>
  <si>
    <t>Run     time: 0.197796 sec</t>
  </si>
  <si>
    <t>Oper.   time: 0.002379 sec</t>
  </si>
  <si>
    <t>Lookup  time: 0.195417 sec</t>
  </si>
  <si>
    <t>CPU 72 1809195 4608 115788416 0</t>
  </si>
  <si>
    <t>aarch64-none-elf-g++ -std=c++11  -O3 -Wall -MMD -DUSE_HASH -DSTATS -DZYNQ=_ZU_ -DXILTIME -DUSE_MARGS -DMARGS='"-e512Mi -l.60 -c -w1Mi -h.90 -z.99"' -I../src -Ic:/uss/macaraeg1/projects/comp/repositories/lime_axi_delayv/shared -Ic:/users/macaraeg1/projects/comp/repositories/lime_axi_delayv/shared/standalone -Ic:/users/macaraeg1rojects/comp/repositories/lime_axi_delayv/standalone/sdk/standalone_bsp_a53/psu_cortexa53_0/include  -c -o rtb.o ../src/rtb.cpp</t>
  </si>
  <si>
    <t>Startup time: 0.177549 sec</t>
  </si>
  <si>
    <t>Insert  rate: 1113194.468189 ops/sec</t>
  </si>
  <si>
    <t>Run     time: 19.383226 sec</t>
  </si>
  <si>
    <t>Oper.   time: 1.209250 sec</t>
  </si>
  <si>
    <t>Insert  time: 18.173976 sec</t>
  </si>
  <si>
    <t>Stats   time: 20.164493 sec</t>
  </si>
  <si>
    <t>Lookup  rate: 1245942.085948 ops/sec</t>
  </si>
  <si>
    <t>Run     time: 0.847799 sec</t>
  </si>
  <si>
    <t>Lookup  time: 0.841593 sec</t>
  </si>
  <si>
    <t>CPU 73 1809352 4672 115798656 0</t>
  </si>
  <si>
    <t>SpMV time: 0.298512 sec</t>
  </si>
  <si>
    <t>Reorg time: 0.202761 sec</t>
  </si>
  <si>
    <t>Oper. time: 0.072174 sec</t>
  </si>
  <si>
    <t>Cache time: 0.023577 sec</t>
  </si>
  <si>
    <t>CPU 32786 2277519 2098304 145761152 0</t>
  </si>
  <si>
    <t>Mflop/s:            59.715446</t>
  </si>
  <si>
    <t>SpMV time: 0.446785 sec</t>
  </si>
  <si>
    <t>Oper. time: 0.446175 sec</t>
  </si>
  <si>
    <t>CPU 32774 4122962 2097536 263869376 0</t>
  </si>
  <si>
    <t>Mflop/s:            39.897911</t>
  </si>
  <si>
    <t>Overall Time</t>
  </si>
  <si>
    <t>Oper. Time</t>
  </si>
  <si>
    <t>Cache Time</t>
  </si>
  <si>
    <t>Setup time</t>
  </si>
  <si>
    <t>Reorg Time</t>
  </si>
  <si>
    <t>Setup Time</t>
  </si>
  <si>
    <t>Real Time Used</t>
  </si>
  <si>
    <t>Updates Per Second</t>
  </si>
  <si>
    <t>Copy</t>
  </si>
  <si>
    <t>Scale</t>
  </si>
  <si>
    <t>Add</t>
  </si>
  <si>
    <t>Triad</t>
  </si>
  <si>
    <t>Run time</t>
  </si>
  <si>
    <t>Insert rate</t>
  </si>
  <si>
    <t>Insert  time</t>
  </si>
  <si>
    <t>Lookup rate</t>
  </si>
  <si>
    <t>Lookup time</t>
  </si>
  <si>
    <t>SpMV time</t>
  </si>
  <si>
    <t>Reorg time</t>
  </si>
  <si>
    <t>Cache time</t>
  </si>
  <si>
    <t>Mflops/s</t>
  </si>
  <si>
    <t xml:space="preserve"> make D=STATS,CLOCKS,VAR_DELAY=_GDT_ run</t>
  </si>
  <si>
    <t>aarch64-none-elf-g++ -std=c++11  -O3 -Wall -MMD -DSTATS -DCLOCKS -DVAR_DELAY=_GDT_ -DZYNQ=_ZU_ -DXILTIME -DUSE_MARGS -DMARGS='"-e32Mi -l.60 -c -w1Mi -h.90 -z.99"' -I../src -Ic:/users/macaraeg1/projects/comp/repositories/lime_axi_delayv/shared -Ic:/users/macaraeg1/projects/comp/repositories/lime_axi_delayv/shared/standalone -Ic:/users/macaraeg1/projects/comp/repositories/lime_axi_delayv/standalone/sdk/standalone_bsp_a53/psu_cortexa53_0/include  -c -o rtb.o ../src/rtb.cpp</t>
  </si>
  <si>
    <t>Oper.   time: 0.002380 sec</t>
  </si>
  <si>
    <t>[This test was run 2020-1014; all others were run on date specified in header]</t>
  </si>
  <si>
    <t xml:space="preserve"> make D=STATS,CLOCKS run</t>
  </si>
  <si>
    <t>aarch64-none-elf-g++ -std=c++11  -O3 -Wall -MMD -DSTATS -DCLOCKS -DZYNQ=_ZU_ -DXILTIME -DUSE_MARGS -DMARGS='"-e32Mi -l.60 -c -w1Mi -h.90 -z.99"' -I../src -Ic:/users/macaraeg1/projects/comp/repositories/lime_master_187.5MHz/shared -Ic:/users/macaraeg1/projects/comp/repositories/lime_master_187.5MHz/shared/standalone -Ic:/users/macaraeg1/projects/comp/repositories/lime_master_187.5MHz/standalone/sdk/standalone_bsp_a53/psu_cortexa53_0/include  -c -o rtb.o ../src/rtb.cpp</t>
  </si>
  <si>
    <t>Insert  rate: 4410573.007165 ops/sec</t>
  </si>
  <si>
    <t>Run     time: 5.068654 sec</t>
  </si>
  <si>
    <t>Oper.   time: 0.481683 sec</t>
  </si>
  <si>
    <t>Insert  time: 4.586971 sec</t>
  </si>
  <si>
    <t>Stats   time: 19.036530 sec</t>
  </si>
  <si>
    <t>Lookup  rate: 5412221.140987 ops/sec</t>
  </si>
  <si>
    <t>Run     time: 0.196121 sec</t>
  </si>
  <si>
    <t>Oper.   time: 0.002378 sec</t>
  </si>
  <si>
    <t>Lookup  time: 0.193742 sec</t>
  </si>
  <si>
    <t>CPU 72 1809189 4608 115788096 0</t>
  </si>
  <si>
    <t>Startup time: 0.179142 sec</t>
  </si>
  <si>
    <t>Insert  rate: 4411753.022732 ops/sec</t>
  </si>
  <si>
    <t>Run     time: 5.067529 sec</t>
  </si>
  <si>
    <t>Oper.   time: 0.481785 sec</t>
  </si>
  <si>
    <t>Insert  time: 4.585744 sec</t>
  </si>
  <si>
    <t>Stats   time: 20.238777 sec</t>
  </si>
  <si>
    <t>Lookup  rate: 5412609.185070 ops/sec</t>
  </si>
  <si>
    <t>Run     time: 0.196109 sec</t>
  </si>
  <si>
    <t>Lookup  time: 0.193728 sec</t>
  </si>
  <si>
    <t>CPU 72 1809023 4608 115777536 0</t>
  </si>
  <si>
    <t>Startup time: 0.179141 sec</t>
  </si>
  <si>
    <t>Insert  rate: 4345655.991761 ops/sec</t>
  </si>
  <si>
    <t>Run     time: 5.137299 sec</t>
  </si>
  <si>
    <t>Oper.   time: 0.481806 sec</t>
  </si>
  <si>
    <t>Insert  time: 4.655493 sec</t>
  </si>
  <si>
    <t>Stats   time: 20.242415 sec</t>
  </si>
  <si>
    <t>Lookup  rate: 5355981.808256 ops/sec</t>
  </si>
  <si>
    <t>Run     time: 0.198156 sec</t>
  </si>
  <si>
    <t>Lookup  time: 0.195777 sec</t>
  </si>
  <si>
    <t>CPU 72 1809227 4608 115790528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</si>
</sst>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 style="medium">
        <color rgb="FFC1C7D0"/>
      </right>
      <top/>
      <bottom style="medium">
        <color rgb="FFC1C7D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wrapText="1"/>
    </xf>
    <xf numFmtId="10" fontId="1" fillId="0" borderId="0" xfId="0" applyNumberFormat="1" applyFont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0" fontId="1" fillId="0" borderId="0" xfId="0" applyNumberFormat="1" applyFont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0" fontId="1" fillId="0" borderId="2" xfId="0" applyNumberFormat="1" applyFont="1" applyBorder="1" applyAlignment="1">
      <alignment horizontal="left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10" fontId="0" fillId="0" borderId="2" xfId="0" applyNumberFormat="1" applyBorder="1" applyAlignment="1">
      <alignment wrapText="1"/>
    </xf>
    <xf numFmtId="10" fontId="1" fillId="0" borderId="2" xfId="0" applyNumberFormat="1" applyFont="1" applyBorder="1" applyAlignment="1">
      <alignment horizontal="right" wrapText="1"/>
    </xf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4" xfId="0" applyFont="1" applyBorder="1" applyAlignment="1">
      <alignment horizontal="center" vertical="center" wrapText="1"/>
    </xf>
    <xf numFmtId="10" fontId="1" fillId="0" borderId="14" xfId="0" applyNumberFormat="1" applyFont="1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10" fontId="0" fillId="0" borderId="18" xfId="0" applyNumberFormat="1" applyBorder="1" applyAlignment="1">
      <alignment wrapText="1"/>
    </xf>
    <xf numFmtId="10" fontId="0" fillId="0" borderId="19" xfId="0" applyNumberFormat="1" applyBorder="1" applyAlignment="1">
      <alignment wrapText="1"/>
    </xf>
    <xf numFmtId="0" fontId="1" fillId="0" borderId="0" xfId="0" applyFont="1"/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wrapText="1"/>
    </xf>
    <xf numFmtId="10" fontId="1" fillId="0" borderId="1" xfId="0" applyNumberFormat="1" applyFont="1" applyBorder="1" applyAlignment="1">
      <alignment wrapText="1"/>
    </xf>
    <xf numFmtId="10" fontId="1" fillId="0" borderId="2" xfId="0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1" fillId="0" borderId="0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horizontal="left" wrapText="1"/>
    </xf>
    <xf numFmtId="10" fontId="1" fillId="0" borderId="3" xfId="0" applyNumberFormat="1" applyFont="1" applyBorder="1" applyAlignment="1">
      <alignment horizontal="left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10" fontId="0" fillId="0" borderId="7" xfId="0" applyNumberFormat="1" applyBorder="1" applyAlignment="1">
      <alignment wrapText="1"/>
    </xf>
    <xf numFmtId="10" fontId="0" fillId="0" borderId="17" xfId="0" applyNumberFormat="1" applyBorder="1" applyAlignment="1">
      <alignment wrapText="1"/>
    </xf>
    <xf numFmtId="10" fontId="0" fillId="0" borderId="8" xfId="0" applyNumberFormat="1" applyBorder="1" applyAlignment="1">
      <alignment wrapText="1"/>
    </xf>
    <xf numFmtId="10" fontId="1" fillId="0" borderId="8" xfId="0" applyNumberFormat="1" applyFont="1" applyBorder="1" applyAlignment="1">
      <alignment horizontal="left" vertical="center" wrapText="1"/>
    </xf>
    <xf numFmtId="10" fontId="1" fillId="0" borderId="18" xfId="0" applyNumberFormat="1" applyFont="1" applyBorder="1" applyAlignment="1">
      <alignment horizontal="left" vertical="center" wrapText="1"/>
    </xf>
    <xf numFmtId="10" fontId="2" fillId="0" borderId="18" xfId="1" applyNumberFormat="1" applyFill="1" applyBorder="1" applyAlignment="1">
      <alignment wrapText="1"/>
    </xf>
    <xf numFmtId="10" fontId="0" fillId="0" borderId="9" xfId="0" applyNumberFormat="1" applyBorder="1" applyAlignment="1">
      <alignment wrapText="1"/>
    </xf>
    <xf numFmtId="10" fontId="1" fillId="0" borderId="3" xfId="0" applyNumberFormat="1" applyFont="1" applyBorder="1" applyAlignment="1">
      <alignment horizontal="right" wrapText="1"/>
    </xf>
    <xf numFmtId="10" fontId="1" fillId="0" borderId="0" xfId="0" applyNumberFormat="1" applyFont="1" applyBorder="1" applyAlignment="1">
      <alignment horizontal="right" wrapText="1"/>
    </xf>
    <xf numFmtId="0" fontId="0" fillId="0" borderId="2" xfId="0" applyFill="1" applyBorder="1" applyAlignment="1">
      <alignment wrapText="1"/>
    </xf>
    <xf numFmtId="10" fontId="1" fillId="0" borderId="20" xfId="0" applyNumberFormat="1" applyFont="1" applyBorder="1" applyAlignment="1">
      <alignment horizontal="center" vertical="center" wrapText="1"/>
    </xf>
    <xf numFmtId="10" fontId="1" fillId="0" borderId="2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0" fontId="1" fillId="0" borderId="17" xfId="0" applyNumberFormat="1" applyFont="1" applyBorder="1" applyAlignment="1">
      <alignment wrapText="1"/>
    </xf>
    <xf numFmtId="10" fontId="1" fillId="0" borderId="18" xfId="0" applyNumberFormat="1" applyFont="1" applyBorder="1" applyAlignment="1">
      <alignment wrapText="1"/>
    </xf>
    <xf numFmtId="10" fontId="1" fillId="0" borderId="18" xfId="0" applyNumberFormat="1" applyFont="1" applyBorder="1" applyAlignment="1">
      <alignment horizontal="right" wrapText="1"/>
    </xf>
    <xf numFmtId="10" fontId="1" fillId="0" borderId="19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(D=CLOCKS,STATS)</a:t>
            </a:r>
          </a:p>
          <a:p>
            <a:pPr>
              <a:defRPr/>
            </a:pPr>
            <a:r>
              <a:rPr lang="en-US"/>
              <a:t>Performance Metric Delta:</a:t>
            </a:r>
            <a:r>
              <a:rPr lang="en-US" baseline="0"/>
              <a:t> FDU@187.5MHz vs VLD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(stock2.txt)'!$D$99:$D$101</c:f>
              <c:numCache>
                <c:formatCode>0.00%</c:formatCode>
                <c:ptCount val="3"/>
                <c:pt idx="0">
                  <c:v>2.7982955288634983E-3</c:v>
                </c:pt>
                <c:pt idx="1">
                  <c:v>2.7951201469370779E-3</c:v>
                </c:pt>
                <c:pt idx="2">
                  <c:v>4.0431603321331696E-3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C04-BBE5-EE276ED7BADD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(stock2.txt)'!$C$99:$C$101</c:f>
              <c:strCache>
                <c:ptCount val="3"/>
                <c:pt idx="0">
                  <c:v>Overall Time</c:v>
                </c:pt>
                <c:pt idx="1">
                  <c:v>Oper. Time</c:v>
                </c:pt>
                <c:pt idx="2">
                  <c:v>Cache Time</c:v>
                </c:pt>
              </c:strCache>
            </c:strRef>
          </c:cat>
          <c:val>
            <c:numRef>
              <c:f>'zup - image (stock2.txt)'!$F$99:$F$101</c:f>
              <c:numCache>
                <c:formatCode>0.00%</c:formatCode>
                <c:ptCount val="3"/>
                <c:pt idx="0">
                  <c:v>0.14183129301056527</c:v>
                </c:pt>
                <c:pt idx="1">
                  <c:v>0.14466823763593997</c:v>
                </c:pt>
                <c:pt idx="2">
                  <c:v>4.2512780687623515E-3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C04-BBE5-EE276ED7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58488"/>
        <c:axId val="788158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(stock2.txt)'!$C$99:$C$101</c15:sqref>
                        </c15:formulaRef>
                      </c:ext>
                    </c:extLst>
                    <c:strCache>
                      <c:ptCount val="3"/>
                      <c:pt idx="0">
                        <c:v>Overall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(stock2.txt)'!$E$99:$E$101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AE-4C04-BBE5-EE276ED7BADD}"/>
                  </c:ext>
                </c:extLst>
              </c15:ser>
            </c15:filteredBarSeries>
          </c:ext>
        </c:extLst>
      </c:barChart>
      <c:catAx>
        <c:axId val="7881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816"/>
        <c:crosses val="autoZero"/>
        <c:auto val="1"/>
        <c:lblAlgn val="ctr"/>
        <c:lblOffset val="100"/>
        <c:noMultiLvlLbl val="0"/>
      </c:catAx>
      <c:valAx>
        <c:axId val="788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(rtb.txt)'!$I$57:$I$64</c:f>
              <c:numCache>
                <c:formatCode>0.00%</c:formatCode>
                <c:ptCount val="8"/>
                <c:pt idx="0">
                  <c:v>5.8408329419720108E-2</c:v>
                </c:pt>
                <c:pt idx="1">
                  <c:v>5.7933910526271337E-2</c:v>
                </c:pt>
                <c:pt idx="2">
                  <c:v>5.4579374950482874E-5</c:v>
                </c:pt>
                <c:pt idx="3">
                  <c:v>6.2031443662916123E-2</c:v>
                </c:pt>
                <c:pt idx="4">
                  <c:v>6.8531182524326606E-2</c:v>
                </c:pt>
                <c:pt idx="5">
                  <c:v>7.2995277647023155E-2</c:v>
                </c:pt>
                <c:pt idx="6">
                  <c:v>0</c:v>
                </c:pt>
                <c:pt idx="7">
                  <c:v>7.3573037376383377E-2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258-BCCD-9FB86AE1FF81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(rtb.txt)'!$H$57:$H$64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(rtb.txt)'!$K$57:$K$64</c:f>
              <c:numCache>
                <c:formatCode>0.00%</c:formatCode>
                <c:ptCount val="8"/>
                <c:pt idx="0">
                  <c:v>5.8360307211303718E-2</c:v>
                </c:pt>
                <c:pt idx="1">
                  <c:v>5.7887083072612318E-2</c:v>
                </c:pt>
                <c:pt idx="2">
                  <c:v>1.6539204529058279E-6</c:v>
                </c:pt>
                <c:pt idx="3">
                  <c:v>6.1977333818646722E-2</c:v>
                </c:pt>
                <c:pt idx="4">
                  <c:v>6.8340241699465856E-2</c:v>
                </c:pt>
                <c:pt idx="5">
                  <c:v>7.2777634369416547E-2</c:v>
                </c:pt>
                <c:pt idx="6">
                  <c:v>0</c:v>
                </c:pt>
                <c:pt idx="7">
                  <c:v>7.3353671445953048E-2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C-4258-BCCD-9FB86AE1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81416"/>
        <c:axId val="759687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(rtb.txt)'!$H$57:$H$64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(rtb.txt)'!$J$57:$J$64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9C-4258-BCCD-9FB86AE1FF81}"/>
                  </c:ext>
                </c:extLst>
              </c15:ser>
            </c15:filteredBarSeries>
          </c:ext>
        </c:extLst>
      </c:barChart>
      <c:catAx>
        <c:axId val="7596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7648"/>
        <c:crosses val="autoZero"/>
        <c:auto val="1"/>
        <c:lblAlgn val="ctr"/>
        <c:lblOffset val="100"/>
        <c:noMultiLvlLbl val="0"/>
      </c:catAx>
      <c:valAx>
        <c:axId val="759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(spmv.txt)'!$I$73:$I$76</c:f>
              <c:numCache>
                <c:formatCode>0.00%</c:formatCode>
                <c:ptCount val="4"/>
                <c:pt idx="0">
                  <c:v>7.779715079371054E-5</c:v>
                </c:pt>
                <c:pt idx="1">
                  <c:v>7.7905889685210927E-5</c:v>
                </c:pt>
                <c:pt idx="2">
                  <c:v>1.6393442622951219E-3</c:v>
                </c:pt>
                <c:pt idx="3">
                  <c:v>7.8969134321676607E-5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055-836F-216C4266B54E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(spmv.txt)'!$H$73:$H$76</c:f>
              <c:strCache>
                <c:ptCount val="4"/>
                <c:pt idx="0">
                  <c:v>SpMV time</c:v>
                </c:pt>
                <c:pt idx="1">
                  <c:v>Oper. Time</c:v>
                </c:pt>
                <c:pt idx="2">
                  <c:v>Cache time</c:v>
                </c:pt>
                <c:pt idx="3">
                  <c:v>Mflops/s</c:v>
                </c:pt>
              </c:strCache>
            </c:strRef>
          </c:cat>
          <c:val>
            <c:numRef>
              <c:f>'zup - spmv (spmv.txt)'!$K$73:$K$76</c:f>
              <c:numCache>
                <c:formatCode>0.00%</c:formatCode>
                <c:ptCount val="4"/>
                <c:pt idx="0">
                  <c:v>2.2311765217351533E-2</c:v>
                </c:pt>
                <c:pt idx="1">
                  <c:v>2.2342950891793324E-2</c:v>
                </c:pt>
                <c:pt idx="2">
                  <c:v>1.6393442622951219E-3</c:v>
                </c:pt>
                <c:pt idx="3">
                  <c:v>2.1824435604826616E-2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A-4055-836F-216C4266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91912"/>
        <c:axId val="759692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(spmv.txt)'!$H$73:$H$76</c15:sqref>
                        </c15:formulaRef>
                      </c:ext>
                    </c:extLst>
                    <c:strCache>
                      <c:ptCount val="4"/>
                      <c:pt idx="0">
                        <c:v>SpMV time</c:v>
                      </c:pt>
                      <c:pt idx="1">
                        <c:v>Oper. Time</c:v>
                      </c:pt>
                      <c:pt idx="2">
                        <c:v>Cache time</c:v>
                      </c:pt>
                      <c:pt idx="3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(spmv.txt)'!$J$73:$J$76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A-4055-836F-216C4266B54E}"/>
                  </c:ext>
                </c:extLst>
              </c15:ser>
            </c15:filteredBarSeries>
          </c:ext>
        </c:extLst>
      </c:barChart>
      <c:catAx>
        <c:axId val="759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2568"/>
        <c:crosses val="autoZero"/>
        <c:auto val="1"/>
        <c:lblAlgn val="ctr"/>
        <c:lblOffset val="100"/>
        <c:noMultiLvlLbl val="0"/>
      </c:catAx>
      <c:valAx>
        <c:axId val="7596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spmv (D=STATS, CLOCKS, CLIENT)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(spmv.txt)'!$I$13:$I$18</c:f>
              <c:numCache>
                <c:formatCode>0.00%</c:formatCode>
                <c:ptCount val="6"/>
                <c:pt idx="0">
                  <c:v>5.0510025577706836E-3</c:v>
                </c:pt>
                <c:pt idx="1">
                  <c:v>0</c:v>
                </c:pt>
                <c:pt idx="2">
                  <c:v>6.9660314181233321E-3</c:v>
                </c:pt>
                <c:pt idx="3">
                  <c:v>7.9656126006969906E-4</c:v>
                </c:pt>
                <c:pt idx="4">
                  <c:v>4.2403426196834979E-4</c:v>
                </c:pt>
                <c:pt idx="5">
                  <c:v>5.0744314241437981E-3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8-4D2A-BB52-1AEEA6FBE17F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spmv (spmv.txt)'!$H$13:$H$18</c:f>
              <c:strCache>
                <c:ptCount val="6"/>
                <c:pt idx="0">
                  <c:v>SpMV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  <c:pt idx="5">
                  <c:v>Mflops/s</c:v>
                </c:pt>
              </c:strCache>
            </c:strRef>
          </c:cat>
          <c:val>
            <c:numRef>
              <c:f>'zup - spmv (spmv.txt)'!$K$13:$K$18</c:f>
              <c:numCache>
                <c:formatCode>0.00%</c:formatCode>
                <c:ptCount val="6"/>
                <c:pt idx="0">
                  <c:v>1.3977723957784826E-2</c:v>
                </c:pt>
                <c:pt idx="1">
                  <c:v>0</c:v>
                </c:pt>
                <c:pt idx="2">
                  <c:v>7.4212955937280733E-3</c:v>
                </c:pt>
                <c:pt idx="3">
                  <c:v>8.4736082722135453E-2</c:v>
                </c:pt>
                <c:pt idx="4">
                  <c:v>2.5442055718098044E-4</c:v>
                </c:pt>
                <c:pt idx="5">
                  <c:v>1.3786668893357851E-2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8-4D2A-BB52-1AEEA6FB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1712"/>
        <c:axId val="635877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spmv (spmv.txt)'!$H$13:$H$18</c15:sqref>
                        </c15:formulaRef>
                      </c:ext>
                    </c:extLst>
                    <c:strCache>
                      <c:ptCount val="6"/>
                      <c:pt idx="0">
                        <c:v>SpMV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  <c:pt idx="5">
                        <c:v>Mflops/s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spmv (spmv.txt)'!$J$13:$J$18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C08-4D2A-BB52-1AEEA6FBE17F}"/>
                  </c:ext>
                </c:extLst>
              </c15:ser>
            </c15:filteredBarSeries>
          </c:ext>
        </c:extLst>
      </c:barChart>
      <c:catAx>
        <c:axId val="6358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7288"/>
        <c:crosses val="autoZero"/>
        <c:auto val="1"/>
        <c:lblAlgn val="ctr"/>
        <c:lblOffset val="100"/>
        <c:noMultiLvlLbl val="0"/>
      </c:catAx>
      <c:valAx>
        <c:axId val="6358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image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(client1.txt)'!$D$121:$D$125</c:f>
              <c:numCache>
                <c:formatCode>0.00%</c:formatCode>
                <c:ptCount val="5"/>
                <c:pt idx="0">
                  <c:v>8.4981249626989023E-4</c:v>
                </c:pt>
                <c:pt idx="1">
                  <c:v>0</c:v>
                </c:pt>
                <c:pt idx="2">
                  <c:v>2.1622322886169284E-6</c:v>
                </c:pt>
                <c:pt idx="3">
                  <c:v>7.4811115964831974E-3</c:v>
                </c:pt>
                <c:pt idx="4">
                  <c:v>9.5098641275351693E-4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37B-A602-C8881F52CDA4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image (client1.txt)'!$C$121:$C$125</c:f>
              <c:strCache>
                <c:ptCount val="5"/>
                <c:pt idx="0">
                  <c:v>Overall Time</c:v>
                </c:pt>
                <c:pt idx="1">
                  <c:v>Setup Time</c:v>
                </c:pt>
                <c:pt idx="2">
                  <c:v>Reorg Time</c:v>
                </c:pt>
                <c:pt idx="3">
                  <c:v>Oper. Time</c:v>
                </c:pt>
                <c:pt idx="4">
                  <c:v>Cache Time</c:v>
                </c:pt>
              </c:strCache>
            </c:strRef>
          </c:cat>
          <c:val>
            <c:numRef>
              <c:f>'zup - image (client1.txt)'!$F$121:$F$125</c:f>
              <c:numCache>
                <c:formatCode>0.00%</c:formatCode>
                <c:ptCount val="5"/>
                <c:pt idx="0">
                  <c:v>1.0960912306261308E-2</c:v>
                </c:pt>
                <c:pt idx="1">
                  <c:v>0</c:v>
                </c:pt>
                <c:pt idx="2">
                  <c:v>3.2777904991620728E-3</c:v>
                </c:pt>
                <c:pt idx="3">
                  <c:v>5.2179193928779996E-2</c:v>
                </c:pt>
                <c:pt idx="4">
                  <c:v>2.2786058609915037E-3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4-437B-A602-C8881F52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0864"/>
        <c:axId val="661384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image (client1.txt)'!$C$121:$C$125</c15:sqref>
                        </c15:formulaRef>
                      </c:ext>
                    </c:extLst>
                    <c:strCache>
                      <c:ptCount val="5"/>
                      <c:pt idx="0">
                        <c:v>Overall Time</c:v>
                      </c:pt>
                      <c:pt idx="1">
                        <c:v>Setup Time</c:v>
                      </c:pt>
                      <c:pt idx="2">
                        <c:v>Reorg Time</c:v>
                      </c:pt>
                      <c:pt idx="3">
                        <c:v>Oper. Time</c:v>
                      </c:pt>
                      <c:pt idx="4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image (client1.txt)'!$E$121:$E$125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B4-437B-A602-C8881F52CDA4}"/>
                  </c:ext>
                </c:extLst>
              </c15:ser>
            </c15:filteredBarSeries>
          </c:ext>
        </c:extLst>
      </c:barChart>
      <c:catAx>
        <c:axId val="661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4472"/>
        <c:crosses val="autoZero"/>
        <c:auto val="1"/>
        <c:lblAlgn val="ctr"/>
        <c:lblOffset val="100"/>
        <c:noMultiLvlLbl val="0"/>
      </c:catAx>
      <c:valAx>
        <c:axId val="6613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(D=CLIENT, 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(randa_sidewinder.t'!$D$71:$D$76</c:f>
              <c:numCache>
                <c:formatCode>0.00%</c:formatCode>
                <c:ptCount val="6"/>
                <c:pt idx="0">
                  <c:v>1.5523152857843468E-3</c:v>
                </c:pt>
                <c:pt idx="1">
                  <c:v>1.5438461807152498E-3</c:v>
                </c:pt>
                <c:pt idx="2">
                  <c:v>0</c:v>
                </c:pt>
                <c:pt idx="3">
                  <c:v>4.2887479354328821E-3</c:v>
                </c:pt>
                <c:pt idx="4">
                  <c:v>1.7154922143045646E-3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C3F-8C0F-47D803AA7F1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(randa_sidewinder.t'!$C$71:$C$76</c:f>
              <c:strCache>
                <c:ptCount val="6"/>
                <c:pt idx="0">
                  <c:v>Real Time Used</c:v>
                </c:pt>
                <c:pt idx="1">
                  <c:v>Updates Per Second</c:v>
                </c:pt>
                <c:pt idx="2">
                  <c:v>Setup Time</c:v>
                </c:pt>
                <c:pt idx="3">
                  <c:v>Reorg Time</c:v>
                </c:pt>
                <c:pt idx="4">
                  <c:v>Oper. Time</c:v>
                </c:pt>
                <c:pt idx="5">
                  <c:v>Cache Time</c:v>
                </c:pt>
              </c:strCache>
            </c:strRef>
          </c:cat>
          <c:val>
            <c:numRef>
              <c:f>'zup - randa (randa_sidewinder.t'!$F$71:$F$76</c:f>
              <c:numCache>
                <c:formatCode>0.00%</c:formatCode>
                <c:ptCount val="6"/>
                <c:pt idx="0">
                  <c:v>3.213895482461112E-2</c:v>
                </c:pt>
                <c:pt idx="1">
                  <c:v>3.1133361226658204E-2</c:v>
                </c:pt>
                <c:pt idx="2">
                  <c:v>0</c:v>
                </c:pt>
                <c:pt idx="3">
                  <c:v>5.983427944870845E-2</c:v>
                </c:pt>
                <c:pt idx="4">
                  <c:v>7.7527051992607604E-4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C3F-8C0F-47D803AA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3488"/>
        <c:axId val="661381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(randa_sidewinder.t'!$C$71:$C$76</c15:sqref>
                        </c15:formulaRef>
                      </c:ext>
                    </c:extLst>
                    <c:strCache>
                      <c:ptCount val="6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Setup Time</c:v>
                      </c:pt>
                      <c:pt idx="3">
                        <c:v>Reorg Time</c:v>
                      </c:pt>
                      <c:pt idx="4">
                        <c:v>Oper. Time</c:v>
                      </c:pt>
                      <c:pt idx="5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(randa_sidewinder.t'!$E$71:$E$76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BF-4C3F-8C0F-47D803AA7F17}"/>
                  </c:ext>
                </c:extLst>
              </c15:ser>
            </c15:filteredBarSeries>
          </c:ext>
        </c:extLst>
      </c:barChart>
      <c:catAx>
        <c:axId val="6613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1520"/>
        <c:crosses val="autoZero"/>
        <c:auto val="1"/>
        <c:lblAlgn val="ctr"/>
        <c:lblOffset val="100"/>
        <c:noMultiLvlLbl val="0"/>
      </c:catAx>
      <c:valAx>
        <c:axId val="661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randa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(randa_sidewinder.t'!$D$78:$D$81</c:f>
              <c:numCache>
                <c:formatCode>0.00%</c:formatCode>
                <c:ptCount val="4"/>
                <c:pt idx="0">
                  <c:v>2.1313229814086151E-3</c:v>
                </c:pt>
                <c:pt idx="1">
                  <c:v>2.1349161639707685E-3</c:v>
                </c:pt>
                <c:pt idx="2">
                  <c:v>2.1256847919591234E-3</c:v>
                </c:pt>
                <c:pt idx="3">
                  <c:v>8.403361344537905E-3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3-4220-BF3D-291DFB723446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randa (randa_sidewinder.t'!$C$78:$C$81</c:f>
              <c:strCache>
                <c:ptCount val="4"/>
                <c:pt idx="0">
                  <c:v>Real Time Used</c:v>
                </c:pt>
                <c:pt idx="1">
                  <c:v>Updates Per Second</c:v>
                </c:pt>
                <c:pt idx="2">
                  <c:v>Oper. Time</c:v>
                </c:pt>
                <c:pt idx="3">
                  <c:v>Cache Time</c:v>
                </c:pt>
              </c:strCache>
            </c:strRef>
          </c:cat>
          <c:val>
            <c:numRef>
              <c:f>'zup - randa (randa_sidewinder.t'!$F$78:$F$81</c:f>
              <c:numCache>
                <c:formatCode>0.00%</c:formatCode>
                <c:ptCount val="4"/>
                <c:pt idx="0">
                  <c:v>6.5297220003665323E-3</c:v>
                </c:pt>
                <c:pt idx="1">
                  <c:v>6.487573965993582E-3</c:v>
                </c:pt>
                <c:pt idx="2">
                  <c:v>6.4992982297277964E-3</c:v>
                </c:pt>
                <c:pt idx="3">
                  <c:v>6.3025210084033667E-2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3-4220-BF3D-291DFB72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2096"/>
        <c:axId val="13660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randa (randa_sidewinder.t'!$C$78:$C$81</c15:sqref>
                        </c15:formulaRef>
                      </c:ext>
                    </c:extLst>
                    <c:strCache>
                      <c:ptCount val="4"/>
                      <c:pt idx="0">
                        <c:v>Real Time Used</c:v>
                      </c:pt>
                      <c:pt idx="1">
                        <c:v>Updates Per Second</c:v>
                      </c:pt>
                      <c:pt idx="2">
                        <c:v>Oper. Time</c:v>
                      </c:pt>
                      <c:pt idx="3">
                        <c:v>Cache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randa (randa_sidewinder.t'!$E$78:$E$81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03-4220-BF3D-291DFB723446}"/>
                  </c:ext>
                </c:extLst>
              </c15:ser>
            </c15:filteredBarSeries>
          </c:ext>
        </c:extLst>
      </c:barChart>
      <c:catAx>
        <c:axId val="1366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752"/>
        <c:crosses val="autoZero"/>
        <c:auto val="1"/>
        <c:lblAlgn val="ctr"/>
        <c:lblOffset val="100"/>
        <c:noMultiLvlLbl val="0"/>
      </c:catAx>
      <c:valAx>
        <c:axId val="13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ZCU)'!$M$20:$M$23</c:f>
              <c:numCache>
                <c:formatCode>0.00%</c:formatCode>
                <c:ptCount val="4"/>
                <c:pt idx="0">
                  <c:v>6.7225187487331944E-2</c:v>
                </c:pt>
                <c:pt idx="1">
                  <c:v>0.19646207451085501</c:v>
                </c:pt>
                <c:pt idx="2">
                  <c:v>9.7976478727084204E-2</c:v>
                </c:pt>
                <c:pt idx="3">
                  <c:v>6.4921465968586473E-2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885-8B0D-D3DD34D0D2A7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ZCU)'!$L$20:$L$23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ZCU)'!$O$20:$O$23</c:f>
              <c:numCache>
                <c:formatCode>0.00%</c:formatCode>
                <c:ptCount val="4"/>
                <c:pt idx="0">
                  <c:v>6.6617120464833396E-2</c:v>
                </c:pt>
                <c:pt idx="1">
                  <c:v>7.3639774859287105E-2</c:v>
                </c:pt>
                <c:pt idx="2">
                  <c:v>9.6938775510204189E-2</c:v>
                </c:pt>
                <c:pt idx="3">
                  <c:v>6.4310645724258333E-2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3-4885-8B0D-D3DD34D0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02656"/>
        <c:axId val="65976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ZCU)'!$L$20:$L$23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ZCU)'!$N$20:$N$23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33-4885-8B0D-D3DD34D0D2A7}"/>
                  </c:ext>
                </c:extLst>
              </c15:ser>
            </c15:filteredBarSeries>
          </c:ext>
        </c:extLst>
      </c:barChart>
      <c:catAx>
        <c:axId val="6602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000"/>
        <c:crosses val="autoZero"/>
        <c:auto val="1"/>
        <c:lblAlgn val="ctr"/>
        <c:lblOffset val="100"/>
        <c:noMultiLvlLbl val="0"/>
      </c:catAx>
      <c:valAx>
        <c:axId val="659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strm (D=CLOCKS, STATS)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ZCU)'!$M$54:$M$57</c:f>
              <c:numCache>
                <c:formatCode>0.00%</c:formatCode>
                <c:ptCount val="4"/>
                <c:pt idx="0">
                  <c:v>6.3964180059166863E-4</c:v>
                </c:pt>
                <c:pt idx="1">
                  <c:v>1.6535758577984919E-5</c:v>
                </c:pt>
                <c:pt idx="2">
                  <c:v>7.9361580177248891E-4</c:v>
                </c:pt>
                <c:pt idx="3">
                  <c:v>2.3953972553672166E-3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30B-85C1-506ADFD1004A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strm (SW and ZCU)'!$L$54:$L$57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'zup - strm (SW and ZCU)'!$O$54:$O$57</c:f>
              <c:numCache>
                <c:formatCode>0.00%</c:formatCode>
                <c:ptCount val="4"/>
                <c:pt idx="0">
                  <c:v>0.15773566802590544</c:v>
                </c:pt>
                <c:pt idx="1">
                  <c:v>0.13976023150062006</c:v>
                </c:pt>
                <c:pt idx="2">
                  <c:v>0.11785194656320266</c:v>
                </c:pt>
                <c:pt idx="3">
                  <c:v>0.11502384203810244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4-430B-85C1-506ADFD1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291200"/>
        <c:axId val="651291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strm (SW and ZCU)'!$L$54:$L$57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strm (SW and ZCU)'!$N$54:$N$57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4-430B-85C1-506ADFD1004A}"/>
                  </c:ext>
                </c:extLst>
              </c15:ser>
            </c15:filteredBarSeries>
          </c:ext>
        </c:extLst>
      </c:barChart>
      <c:catAx>
        <c:axId val="6512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856"/>
        <c:crosses val="autoZero"/>
        <c:auto val="1"/>
        <c:lblAlgn val="ctr"/>
        <c:lblOffset val="100"/>
        <c:noMultiLvlLbl val="0"/>
      </c:catAx>
      <c:valAx>
        <c:axId val="651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(no run-time options)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(rtb_sidewinder.txt)'!$I$11:$I$18</c:f>
              <c:numCache>
                <c:formatCode>0.00%</c:formatCode>
                <c:ptCount val="8"/>
                <c:pt idx="0">
                  <c:v>4.9656464594606889E-2</c:v>
                </c:pt>
                <c:pt idx="1">
                  <c:v>4.8823055257892149E-2</c:v>
                </c:pt>
                <c:pt idx="2">
                  <c:v>3.0600210727807584E-5</c:v>
                </c:pt>
                <c:pt idx="3">
                  <c:v>5.2251048911430134E-2</c:v>
                </c:pt>
                <c:pt idx="4">
                  <c:v>5.7116538691990584E-2</c:v>
                </c:pt>
                <c:pt idx="5">
                  <c:v>6.0105150262875676E-2</c:v>
                </c:pt>
                <c:pt idx="6">
                  <c:v>0</c:v>
                </c:pt>
                <c:pt idx="7">
                  <c:v>6.0576627512635525E-2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2C2-8655-592838C19AB2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(rtb_sidewinder.txt)'!$H$11:$H$18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(rtb_sidewinder.txt)'!$K$11:$K$18</c:f>
              <c:numCache>
                <c:formatCode>0.00%</c:formatCode>
                <c:ptCount val="8"/>
                <c:pt idx="0">
                  <c:v>4.9527869737343272E-2</c:v>
                </c:pt>
                <c:pt idx="1">
                  <c:v>4.869197203304975E-2</c:v>
                </c:pt>
                <c:pt idx="2">
                  <c:v>3.721647250682775E-5</c:v>
                </c:pt>
                <c:pt idx="3">
                  <c:v>5.2108687015661362E-2</c:v>
                </c:pt>
                <c:pt idx="4">
                  <c:v>5.6854229018139725E-2</c:v>
                </c:pt>
                <c:pt idx="5">
                  <c:v>5.9813899534748811E-2</c:v>
                </c:pt>
                <c:pt idx="6">
                  <c:v>1.6103059581322587E-4</c:v>
                </c:pt>
                <c:pt idx="7">
                  <c:v>6.0281838475764279E-2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D-42C2-8655-592838C1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79648"/>
        <c:axId val="800980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(rtb_sidewinder.txt)'!$H$11:$H$18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(rtb_sidewinder.txt)'!$J$11:$J$18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AD-42C2-8655-592838C19AB2}"/>
                  </c:ext>
                </c:extLst>
              </c15:ser>
            </c15:filteredBarSeries>
          </c:ext>
        </c:extLst>
      </c:barChart>
      <c:catAx>
        <c:axId val="8009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80304"/>
        <c:crosses val="autoZero"/>
        <c:auto val="1"/>
        <c:lblAlgn val="ctr"/>
        <c:lblOffset val="100"/>
        <c:noMultiLvlLbl val="0"/>
      </c:catAx>
      <c:valAx>
        <c:axId val="8009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rtb (D=STATS, CLOCKS, USE_HASH)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Performance Metric Delta: FDU@187.5MHz vs VLD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(rtb_sidewinder.txt)'!$I$47:$I$54</c:f>
              <c:numCache>
                <c:formatCode>0.00%</c:formatCode>
                <c:ptCount val="8"/>
                <c:pt idx="0">
                  <c:v>1.9903570199710768E-3</c:v>
                </c:pt>
                <c:pt idx="1">
                  <c:v>1.777180583014586E-3</c:v>
                </c:pt>
                <c:pt idx="2">
                  <c:v>2.1591142648941095E-4</c:v>
                </c:pt>
                <c:pt idx="3">
                  <c:v>1.9864989585651922E-3</c:v>
                </c:pt>
                <c:pt idx="4">
                  <c:v>2.8603412353145042E-3</c:v>
                </c:pt>
                <c:pt idx="5">
                  <c:v>2.8182652125165525E-3</c:v>
                </c:pt>
                <c:pt idx="6">
                  <c:v>0</c:v>
                </c:pt>
                <c:pt idx="7">
                  <c:v>2.8528830627479397E-3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6-4091-AB7F-B0E864CA8D6C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(rtb_sidewinder.txt)'!$H$47:$H$54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(rtb_sidewinder.txt)'!$K$47:$K$54</c:f>
              <c:numCache>
                <c:formatCode>0.00%</c:formatCode>
                <c:ptCount val="8"/>
                <c:pt idx="0">
                  <c:v>1.1755575064816977E-2</c:v>
                </c:pt>
                <c:pt idx="1">
                  <c:v>1.0789559877982989E-2</c:v>
                </c:pt>
                <c:pt idx="2">
                  <c:v>2.5950892606899247E-4</c:v>
                </c:pt>
                <c:pt idx="3">
                  <c:v>1.1895446183887775E-2</c:v>
                </c:pt>
                <c:pt idx="4">
                  <c:v>8.0740978319650478E-3</c:v>
                </c:pt>
                <c:pt idx="5">
                  <c:v>8.0318010396493427E-3</c:v>
                </c:pt>
                <c:pt idx="6">
                  <c:v>8.3998320033592264E-4</c:v>
                </c:pt>
                <c:pt idx="7">
                  <c:v>8.1407766238991951E-3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6-4091-AB7F-B0E864CA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52552"/>
        <c:axId val="912451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(rtb_sidewinder.txt)'!$H$47:$H$54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(rtb_sidewinder.txt)'!$J$47:$J$54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46-4091-AB7F-B0E864CA8D6C}"/>
                  </c:ext>
                </c:extLst>
              </c15:ser>
            </c15:filteredBarSeries>
          </c:ext>
        </c:extLst>
      </c:barChart>
      <c:catAx>
        <c:axId val="9124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1896"/>
        <c:crosses val="autoZero"/>
        <c:auto val="1"/>
        <c:lblAlgn val="ctr"/>
        <c:lblOffset val="100"/>
        <c:noMultiLvlLbl val="0"/>
      </c:catAx>
      <c:valAx>
        <c:axId val="9124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Performance Delta, Absolute Value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rtb (D=STATS,CLOCKS)</a:t>
            </a:r>
          </a:p>
          <a:p>
            <a:pPr>
              <a:defRPr/>
            </a:pPr>
            <a:r>
              <a:rPr lang="en-US"/>
              <a:t>Performance Metric Delta: FDU@187.5MHz</a:t>
            </a:r>
            <a:r>
              <a:rPr lang="en-US" baseline="0"/>
              <a:t> vs VLD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FDU vs VLD (constants)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(rtb_sidewinder.txt)'!$H$101:$H$108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(rtb_sidewinder.txt)'!$I$101:$I$108</c:f>
              <c:numCache>
                <c:formatCode>0.00%</c:formatCode>
                <c:ptCount val="8"/>
                <c:pt idx="0">
                  <c:v>2.6754246332235797E-4</c:v>
                </c:pt>
                <c:pt idx="1">
                  <c:v>2.2195241576955985E-4</c:v>
                </c:pt>
                <c:pt idx="2">
                  <c:v>2.1175752517744347E-4</c:v>
                </c:pt>
                <c:pt idx="3">
                  <c:v>2.6749678600542474E-4</c:v>
                </c:pt>
                <c:pt idx="4">
                  <c:v>7.1697750866193117E-5</c:v>
                </c:pt>
                <c:pt idx="5">
                  <c:v>6.1186716363797078E-5</c:v>
                </c:pt>
                <c:pt idx="6">
                  <c:v>1.2615643397813139E-3</c:v>
                </c:pt>
                <c:pt idx="7">
                  <c:v>7.2261048198048151E-5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4248-8208-83151A0CB23A}"/>
            </c:ext>
          </c:extLst>
        </c:ser>
        <c:ser>
          <c:idx val="2"/>
          <c:order val="2"/>
          <c:tx>
            <c:v>FDU vs VLD (Gaussians)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'zup - rtb (rtb_sidewinder.txt)'!$H$101:$H$108</c:f>
              <c:strCache>
                <c:ptCount val="8"/>
                <c:pt idx="0">
                  <c:v>Insert rate</c:v>
                </c:pt>
                <c:pt idx="1">
                  <c:v>Run time</c:v>
                </c:pt>
                <c:pt idx="2">
                  <c:v>Oper. Time</c:v>
                </c:pt>
                <c:pt idx="3">
                  <c:v>Insert  time</c:v>
                </c:pt>
                <c:pt idx="4">
                  <c:v>Lookup rate</c:v>
                </c:pt>
                <c:pt idx="5">
                  <c:v>Run time</c:v>
                </c:pt>
                <c:pt idx="6">
                  <c:v>Oper. Time</c:v>
                </c:pt>
                <c:pt idx="7">
                  <c:v>Lookup time</c:v>
                </c:pt>
              </c:strCache>
            </c:strRef>
          </c:cat>
          <c:val>
            <c:numRef>
              <c:f>'zup - rtb (rtb_sidewinder.txt)'!$K$101:$K$108</c:f>
              <c:numCache>
                <c:formatCode>0.00%</c:formatCode>
                <c:ptCount val="8"/>
                <c:pt idx="0">
                  <c:v>1.471849922868115E-2</c:v>
                </c:pt>
                <c:pt idx="1">
                  <c:v>1.3543043182667266E-2</c:v>
                </c:pt>
                <c:pt idx="2">
                  <c:v>2.5535466271394205E-4</c:v>
                </c:pt>
                <c:pt idx="3">
                  <c:v>1.4938398346098057E-2</c:v>
                </c:pt>
                <c:pt idx="4">
                  <c:v>1.0391174208514336E-2</c:v>
                </c:pt>
                <c:pt idx="5">
                  <c:v>1.0376247316707589E-2</c:v>
                </c:pt>
                <c:pt idx="6">
                  <c:v>8.410428931876642E-4</c:v>
                </c:pt>
                <c:pt idx="7">
                  <c:v>1.0503659505940937E-2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2-4248-8208-83151A0C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26952"/>
        <c:axId val="652125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'zup - rtb (rtb_sidewinder.txt)'!$H$101:$H$108</c15:sqref>
                        </c15:formulaRef>
                      </c:ext>
                    </c:extLst>
                    <c:strCache>
                      <c:ptCount val="8"/>
                      <c:pt idx="0">
                        <c:v>Insert rate</c:v>
                      </c:pt>
                      <c:pt idx="1">
                        <c:v>Run time</c:v>
                      </c:pt>
                      <c:pt idx="2">
                        <c:v>Oper. Time</c:v>
                      </c:pt>
                      <c:pt idx="3">
                        <c:v>Insert  time</c:v>
                      </c:pt>
                      <c:pt idx="4">
                        <c:v>Lookup rate</c:v>
                      </c:pt>
                      <c:pt idx="5">
                        <c:v>Run time</c:v>
                      </c:pt>
                      <c:pt idx="6">
                        <c:v>Oper. Time</c:v>
                      </c:pt>
                      <c:pt idx="7">
                        <c:v>Lookup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'zup - rtb (rtb_sidewinder.txt)'!$J$101:$J$108</c15:sqref>
                        </c15:formulaRef>
                      </c:ext>
                    </c:extLst>
                    <c:numCache>
                      <c:formatCode>0.00%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82-4248-8208-83151A0CB23A}"/>
                  </c:ext>
                </c:extLst>
              </c15:ser>
            </c15:filteredBarSeries>
          </c:ext>
        </c:extLst>
      </c:barChart>
      <c:catAx>
        <c:axId val="65212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25312"/>
        <c:crosses val="autoZero"/>
        <c:auto val="1"/>
        <c:lblAlgn val="ctr"/>
        <c:lblOffset val="100"/>
        <c:noMultiLvlLbl val="0"/>
      </c:catAx>
      <c:valAx>
        <c:axId val="652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Delta, Absolute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2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3654424</xdr:colOff>
      <xdr:row>104</xdr:row>
      <xdr:rowOff>44450</xdr:rowOff>
    </xdr:from>
    <xdr:to>
      <xdr:col>4</xdr:col>
      <xdr:colOff>4063999</xdr:colOff>
      <xdr:row>126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F070A-C939-4434-B6F7-30575050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4435474</xdr:colOff>
      <xdr:row>127</xdr:row>
      <xdr:rowOff>133350</xdr:rowOff>
    </xdr:from>
    <xdr:to>
      <xdr:col>4</xdr:col>
      <xdr:colOff>3213100</xdr:colOff>
      <xdr:row>144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EE5B-E7F4-4E86-82AF-46975A81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3886200</xdr:colOff>
      <xdr:row>63</xdr:row>
      <xdr:rowOff>171450</xdr:rowOff>
    </xdr:from>
    <xdr:to>
      <xdr:col>1</xdr:col>
      <xdr:colOff>4403725</xdr:colOff>
      <xdr:row>81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041FF-1CF6-4007-86BB-A352C032D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3873500</xdr:colOff>
      <xdr:row>82</xdr:row>
      <xdr:rowOff>3175</xdr:rowOff>
    </xdr:from>
    <xdr:to>
      <xdr:col>1</xdr:col>
      <xdr:colOff>4403725</xdr:colOff>
      <xdr:row>101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BD339-ACE2-4D27-A730-E5B412B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212724</xdr:colOff>
      <xdr:row>3</xdr:row>
      <xdr:rowOff>1473200</xdr:rowOff>
    </xdr:from>
    <xdr:to>
      <xdr:col>17</xdr:col>
      <xdr:colOff>590549</xdr:colOff>
      <xdr:row>17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B7DC04-293D-452A-85B0-C85A1A7CA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377824</xdr:colOff>
      <xdr:row>36</xdr:row>
      <xdr:rowOff>139700</xdr:rowOff>
    </xdr:from>
    <xdr:to>
      <xdr:col>18</xdr:col>
      <xdr:colOff>165099</xdr:colOff>
      <xdr:row>50</xdr:row>
      <xdr:rowOff>333375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B425A-E63D-42B3-86C9-1941543D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307974</xdr:colOff>
      <xdr:row>0</xdr:row>
      <xdr:rowOff>539750</xdr:rowOff>
    </xdr:from>
    <xdr:to>
      <xdr:col>12</xdr:col>
      <xdr:colOff>158750</xdr:colOff>
      <xdr:row>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6CC1-6144-4D28-9FB5-ED1FB1CA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949324</xdr:colOff>
      <xdr:row>30</xdr:row>
      <xdr:rowOff>609600</xdr:rowOff>
    </xdr:from>
    <xdr:to>
      <xdr:col>11</xdr:col>
      <xdr:colOff>539749</xdr:colOff>
      <xdr:row>42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36AC6-D780-47FA-859A-9BC65F370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492124</xdr:colOff>
      <xdr:row>85</xdr:row>
      <xdr:rowOff>727074</xdr:rowOff>
    </xdr:from>
    <xdr:to>
      <xdr:col>11</xdr:col>
      <xdr:colOff>120649</xdr:colOff>
      <xdr:row>99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A7A81-6D3C-40B6-8573-879B0B563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320674</xdr:colOff>
      <xdr:row>47</xdr:row>
      <xdr:rowOff>6350</xdr:rowOff>
    </xdr:from>
    <xdr:to>
      <xdr:col>11</xdr:col>
      <xdr:colOff>609599</xdr:colOff>
      <xdr:row>54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AA31E-383F-4E87-902F-6987BB77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460374</xdr:colOff>
      <xdr:row>63</xdr:row>
      <xdr:rowOff>73024</xdr:rowOff>
    </xdr:from>
    <xdr:to>
      <xdr:col>12</xdr:col>
      <xdr:colOff>546099</xdr:colOff>
      <xdr:row>71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97AC-B7F8-48A0-8B9B-2486AD6E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822324</xdr:colOff>
      <xdr:row>1</xdr:row>
      <xdr:rowOff>76200</xdr:rowOff>
    </xdr:from>
    <xdr:to>
      <xdr:col>13</xdr:col>
      <xdr:colOff>279399</xdr:colOff>
      <xdr:row>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EC9ED-0A55-422F-9026-3D240BD2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D300-48B2-4F89-BEDC-E90A60934DE5}">
  <dimension ref="A1:F118"/>
  <sheetViews>
    <sheetView topLeftCell="A91" workbookViewId="0">
      <selection activeCell="H118" sqref="H118"/>
    </sheetView>
  </sheetViews>
  <sheetFormatPr defaultRowHeight="14.5" x14ac:dyDescent="0.35"/>
  <cols>
    <col min="1" max="2" width="70.54296875" style="3" customWidth="1"/>
    <col min="3" max="3" width="71" style="3" customWidth="1"/>
    <col min="4" max="4" width="15" style="10" customWidth="1"/>
    <col min="5" max="5" width="64.81640625" style="3" customWidth="1"/>
    <col min="6" max="6" width="15" style="10" customWidth="1"/>
    <col min="7" max="16384" width="8.7265625" style="3"/>
  </cols>
  <sheetData>
    <row r="1" spans="1:6" s="2" customFormat="1" ht="73" thickBot="1" x14ac:dyDescent="0.4">
      <c r="A1" s="2" t="s">
        <v>180</v>
      </c>
      <c r="B1" s="33" t="s">
        <v>671</v>
      </c>
      <c r="C1" s="33" t="s">
        <v>673</v>
      </c>
      <c r="D1" s="14" t="s">
        <v>672</v>
      </c>
      <c r="E1" s="2" t="s">
        <v>674</v>
      </c>
      <c r="F1" s="14" t="s">
        <v>672</v>
      </c>
    </row>
    <row r="2" spans="1:6" ht="29" x14ac:dyDescent="0.35">
      <c r="A2" s="3" t="s">
        <v>0</v>
      </c>
      <c r="B2" s="3" t="s">
        <v>0</v>
      </c>
      <c r="C2" s="3" t="s">
        <v>51</v>
      </c>
      <c r="E2" s="3" t="s">
        <v>51</v>
      </c>
    </row>
    <row r="4" spans="1:6" x14ac:dyDescent="0.35">
      <c r="A4" s="3" t="s">
        <v>1</v>
      </c>
      <c r="B4" s="3" t="s">
        <v>1</v>
      </c>
      <c r="C4" s="3" t="s">
        <v>1</v>
      </c>
      <c r="E4" s="3" t="s">
        <v>1</v>
      </c>
    </row>
    <row r="5" spans="1:6" x14ac:dyDescent="0.35">
      <c r="A5" s="3" t="s">
        <v>2</v>
      </c>
      <c r="B5" s="3" t="s">
        <v>605</v>
      </c>
      <c r="C5" s="3" t="s">
        <v>52</v>
      </c>
      <c r="E5" s="3" t="s">
        <v>52</v>
      </c>
    </row>
    <row r="6" spans="1:6" x14ac:dyDescent="0.35">
      <c r="A6" s="3" t="s">
        <v>3</v>
      </c>
      <c r="B6" s="3" t="s">
        <v>606</v>
      </c>
      <c r="C6" s="3" t="s">
        <v>630</v>
      </c>
      <c r="E6" s="3" t="s">
        <v>675</v>
      </c>
    </row>
    <row r="7" spans="1:6" x14ac:dyDescent="0.35">
      <c r="A7" s="3" t="s">
        <v>4</v>
      </c>
      <c r="B7" s="3" t="s">
        <v>4</v>
      </c>
      <c r="C7" s="3" t="s">
        <v>4</v>
      </c>
      <c r="E7" s="3" t="s">
        <v>4</v>
      </c>
    </row>
    <row r="8" spans="1:6" x14ac:dyDescent="0.35">
      <c r="A8" s="3" t="s">
        <v>5</v>
      </c>
      <c r="B8" s="3" t="s">
        <v>5</v>
      </c>
      <c r="C8" s="3" t="s">
        <v>53</v>
      </c>
      <c r="E8" s="3" t="s">
        <v>53</v>
      </c>
    </row>
    <row r="9" spans="1:6" x14ac:dyDescent="0.35">
      <c r="A9" s="3" t="s">
        <v>6</v>
      </c>
      <c r="B9" s="3" t="s">
        <v>6</v>
      </c>
      <c r="C9" s="3" t="s">
        <v>6</v>
      </c>
      <c r="E9" s="3" t="s">
        <v>6</v>
      </c>
    </row>
    <row r="10" spans="1:6" x14ac:dyDescent="0.35">
      <c r="A10" s="3" t="s">
        <v>7</v>
      </c>
      <c r="B10" s="3" t="s">
        <v>7</v>
      </c>
      <c r="C10" s="3" t="s">
        <v>7</v>
      </c>
      <c r="E10" s="3" t="s">
        <v>7</v>
      </c>
    </row>
    <row r="11" spans="1:6" x14ac:dyDescent="0.35">
      <c r="A11" s="3" t="s">
        <v>8</v>
      </c>
      <c r="B11" s="3" t="s">
        <v>54</v>
      </c>
      <c r="C11" s="3" t="s">
        <v>54</v>
      </c>
      <c r="E11" s="3" t="s">
        <v>54</v>
      </c>
    </row>
    <row r="12" spans="1:6" x14ac:dyDescent="0.35">
      <c r="A12" s="3" t="s">
        <v>9</v>
      </c>
      <c r="B12" s="3" t="s">
        <v>9</v>
      </c>
      <c r="C12" s="3" t="s">
        <v>9</v>
      </c>
      <c r="E12" s="3" t="s">
        <v>9</v>
      </c>
    </row>
    <row r="13" spans="1:6" x14ac:dyDescent="0.35">
      <c r="A13" s="3" t="s">
        <v>10</v>
      </c>
      <c r="B13" s="3" t="s">
        <v>55</v>
      </c>
      <c r="C13" s="3" t="s">
        <v>55</v>
      </c>
      <c r="E13" s="3" t="s">
        <v>55</v>
      </c>
    </row>
    <row r="14" spans="1:6" x14ac:dyDescent="0.35">
      <c r="A14" s="3" t="s">
        <v>11</v>
      </c>
      <c r="B14" s="3" t="s">
        <v>402</v>
      </c>
      <c r="C14" s="3" t="s">
        <v>56</v>
      </c>
      <c r="E14" s="3" t="s">
        <v>56</v>
      </c>
    </row>
    <row r="15" spans="1:6" x14ac:dyDescent="0.35">
      <c r="A15" s="3" t="s">
        <v>12</v>
      </c>
      <c r="B15" s="3" t="s">
        <v>410</v>
      </c>
      <c r="C15" s="3" t="s">
        <v>57</v>
      </c>
      <c r="E15" s="3" t="s">
        <v>57</v>
      </c>
    </row>
    <row r="16" spans="1:6" x14ac:dyDescent="0.35">
      <c r="A16" s="3" t="s">
        <v>13</v>
      </c>
      <c r="B16" s="3" t="s">
        <v>607</v>
      </c>
      <c r="C16" s="3" t="s">
        <v>631</v>
      </c>
      <c r="D16" s="10">
        <f>(0.288547-0.288778)/0.288778</f>
        <v>-7.999224317641276E-4</v>
      </c>
      <c r="E16" s="3" t="s">
        <v>676</v>
      </c>
      <c r="F16" s="10">
        <f>(0.314501-0.288778)/0.288778</f>
        <v>8.9075345074763307E-2</v>
      </c>
    </row>
    <row r="17" spans="1:6" x14ac:dyDescent="0.35">
      <c r="A17" s="3" t="s">
        <v>14</v>
      </c>
      <c r="B17" s="3" t="s">
        <v>608</v>
      </c>
      <c r="C17" s="3" t="s">
        <v>632</v>
      </c>
      <c r="D17" s="10">
        <f>(0.281653-0.28188)/0.28188</f>
        <v>-8.0530722293186004E-4</v>
      </c>
      <c r="E17" s="3" t="s">
        <v>677</v>
      </c>
      <c r="F17" s="10">
        <f>(0.307603-0.28188)/0.28188</f>
        <v>9.1255144032921787E-2</v>
      </c>
    </row>
    <row r="18" spans="1:6" x14ac:dyDescent="0.35">
      <c r="A18" s="3" t="s">
        <v>15</v>
      </c>
      <c r="B18" s="3" t="s">
        <v>609</v>
      </c>
      <c r="C18" s="3" t="s">
        <v>15</v>
      </c>
      <c r="D18" s="10">
        <f>(0.006894-0.006898)/0.006898</f>
        <v>-5.7987822557258105E-4</v>
      </c>
      <c r="E18" s="3" t="s">
        <v>609</v>
      </c>
      <c r="F18" s="10">
        <f>(0.006898-0.006898)/0.006898</f>
        <v>0</v>
      </c>
    </row>
    <row r="19" spans="1:6" x14ac:dyDescent="0.35">
      <c r="A19" s="3" t="s">
        <v>16</v>
      </c>
      <c r="B19" s="3" t="s">
        <v>16</v>
      </c>
      <c r="C19" s="3" t="s">
        <v>16</v>
      </c>
      <c r="E19" s="3" t="s">
        <v>16</v>
      </c>
    </row>
    <row r="20" spans="1:6" x14ac:dyDescent="0.35">
      <c r="A20" s="3" t="s">
        <v>17</v>
      </c>
      <c r="B20" s="3" t="s">
        <v>610</v>
      </c>
      <c r="C20" s="3" t="s">
        <v>633</v>
      </c>
      <c r="E20" s="3" t="s">
        <v>678</v>
      </c>
    </row>
    <row r="21" spans="1:6" x14ac:dyDescent="0.35">
      <c r="A21" s="3" t="s">
        <v>18</v>
      </c>
      <c r="B21" s="3" t="s">
        <v>18</v>
      </c>
      <c r="C21" s="3" t="s">
        <v>18</v>
      </c>
      <c r="E21" s="3" t="s">
        <v>18</v>
      </c>
    </row>
    <row r="23" spans="1:6" x14ac:dyDescent="0.35">
      <c r="A23" s="3" t="s">
        <v>19</v>
      </c>
      <c r="B23" s="3" t="s">
        <v>19</v>
      </c>
      <c r="C23" s="3" t="s">
        <v>19</v>
      </c>
      <c r="E23" s="3" t="s">
        <v>19</v>
      </c>
    </row>
    <row r="24" spans="1:6" x14ac:dyDescent="0.35">
      <c r="A24" s="3" t="s">
        <v>20</v>
      </c>
      <c r="B24" s="3" t="s">
        <v>611</v>
      </c>
      <c r="C24" s="3" t="s">
        <v>634</v>
      </c>
      <c r="E24" s="3" t="s">
        <v>634</v>
      </c>
    </row>
    <row r="25" spans="1:6" x14ac:dyDescent="0.35">
      <c r="A25" s="3" t="s">
        <v>21</v>
      </c>
      <c r="B25" s="3" t="s">
        <v>606</v>
      </c>
      <c r="C25" s="3" t="s">
        <v>635</v>
      </c>
      <c r="E25" s="3" t="s">
        <v>679</v>
      </c>
    </row>
    <row r="26" spans="1:6" x14ac:dyDescent="0.35">
      <c r="A26" s="3" t="s">
        <v>22</v>
      </c>
      <c r="B26" s="3" t="s">
        <v>22</v>
      </c>
      <c r="C26" s="3" t="s">
        <v>22</v>
      </c>
      <c r="E26" s="3" t="s">
        <v>22</v>
      </c>
    </row>
    <row r="27" spans="1:6" x14ac:dyDescent="0.35">
      <c r="A27" s="3" t="s">
        <v>5</v>
      </c>
      <c r="B27" s="3" t="s">
        <v>5</v>
      </c>
      <c r="C27" s="3" t="s">
        <v>53</v>
      </c>
      <c r="E27" s="3" t="s">
        <v>53</v>
      </c>
    </row>
    <row r="28" spans="1:6" x14ac:dyDescent="0.35">
      <c r="A28" s="3" t="s">
        <v>6</v>
      </c>
      <c r="B28" s="3" t="s">
        <v>6</v>
      </c>
      <c r="C28" s="3" t="s">
        <v>6</v>
      </c>
      <c r="E28" s="3" t="s">
        <v>6</v>
      </c>
    </row>
    <row r="29" spans="1:6" x14ac:dyDescent="0.35">
      <c r="A29" s="3" t="s">
        <v>7</v>
      </c>
      <c r="B29" s="3" t="s">
        <v>7</v>
      </c>
      <c r="C29" s="3" t="s">
        <v>7</v>
      </c>
      <c r="E29" s="3" t="s">
        <v>7</v>
      </c>
    </row>
    <row r="30" spans="1:6" x14ac:dyDescent="0.35">
      <c r="A30" s="3" t="s">
        <v>8</v>
      </c>
      <c r="B30" s="3" t="s">
        <v>54</v>
      </c>
      <c r="C30" s="3" t="s">
        <v>54</v>
      </c>
      <c r="E30" s="3" t="s">
        <v>54</v>
      </c>
    </row>
    <row r="31" spans="1:6" x14ac:dyDescent="0.35">
      <c r="A31" s="3" t="s">
        <v>9</v>
      </c>
      <c r="B31" s="3" t="s">
        <v>9</v>
      </c>
      <c r="C31" s="3" t="s">
        <v>9</v>
      </c>
      <c r="E31" s="3" t="s">
        <v>9</v>
      </c>
    </row>
    <row r="32" spans="1:6" x14ac:dyDescent="0.35">
      <c r="A32" s="3" t="s">
        <v>10</v>
      </c>
      <c r="B32" s="3" t="s">
        <v>55</v>
      </c>
      <c r="C32" s="3" t="s">
        <v>55</v>
      </c>
      <c r="E32" s="3" t="s">
        <v>55</v>
      </c>
    </row>
    <row r="33" spans="1:6" x14ac:dyDescent="0.35">
      <c r="A33" s="3" t="s">
        <v>11</v>
      </c>
      <c r="B33" s="3" t="s">
        <v>402</v>
      </c>
      <c r="C33" s="3" t="s">
        <v>56</v>
      </c>
      <c r="E33" s="3" t="s">
        <v>56</v>
      </c>
    </row>
    <row r="34" spans="1:6" x14ac:dyDescent="0.35">
      <c r="A34" s="3" t="s">
        <v>12</v>
      </c>
      <c r="B34" s="3" t="s">
        <v>410</v>
      </c>
      <c r="C34" s="3" t="s">
        <v>57</v>
      </c>
      <c r="E34" s="3" t="s">
        <v>57</v>
      </c>
    </row>
    <row r="35" spans="1:6" x14ac:dyDescent="0.35">
      <c r="A35" s="3" t="s">
        <v>23</v>
      </c>
      <c r="B35" s="3" t="s">
        <v>612</v>
      </c>
      <c r="C35" s="3" t="s">
        <v>636</v>
      </c>
      <c r="D35" s="10">
        <f>(0.125476-0.125955)/0.125955</f>
        <v>-3.8029454964075039E-3</v>
      </c>
      <c r="E35" s="3" t="s">
        <v>680</v>
      </c>
      <c r="F35" s="10">
        <f>(0.14509-0.125955)/0.125955</f>
        <v>0.15191933627089027</v>
      </c>
    </row>
    <row r="36" spans="1:6" x14ac:dyDescent="0.35">
      <c r="A36" s="3" t="s">
        <v>24</v>
      </c>
      <c r="B36" s="3" t="s">
        <v>613</v>
      </c>
      <c r="C36" s="3" t="s">
        <v>637</v>
      </c>
      <c r="D36" s="10">
        <f>(0.12373-0.124204)/0.124204</f>
        <v>-3.8163022124890369E-3</v>
      </c>
      <c r="E36" s="3" t="s">
        <v>681</v>
      </c>
      <c r="F36" s="10">
        <f>(0.143338-0.124204)/0.124204</f>
        <v>0.15405300956490933</v>
      </c>
    </row>
    <row r="37" spans="1:6" x14ac:dyDescent="0.35">
      <c r="A37" s="3" t="s">
        <v>25</v>
      </c>
      <c r="B37" s="3" t="s">
        <v>614</v>
      </c>
      <c r="C37" s="3" t="s">
        <v>638</v>
      </c>
      <c r="D37" s="10">
        <f>(0.001746-0.001751)/0.001751</f>
        <v>-2.8555111364934401E-3</v>
      </c>
      <c r="E37" s="3" t="s">
        <v>682</v>
      </c>
      <c r="F37" s="10">
        <f>(0.001752-0.001751)/0.001751</f>
        <v>5.7110222729876226E-4</v>
      </c>
    </row>
    <row r="38" spans="1:6" x14ac:dyDescent="0.35">
      <c r="A38" s="3" t="s">
        <v>16</v>
      </c>
      <c r="B38" s="3" t="s">
        <v>16</v>
      </c>
      <c r="C38" s="3" t="s">
        <v>16</v>
      </c>
      <c r="E38" s="3" t="s">
        <v>16</v>
      </c>
    </row>
    <row r="39" spans="1:6" x14ac:dyDescent="0.35">
      <c r="A39" s="3" t="s">
        <v>26</v>
      </c>
      <c r="B39" s="3" t="s">
        <v>615</v>
      </c>
      <c r="C39" s="3" t="s">
        <v>639</v>
      </c>
      <c r="E39" s="3" t="s">
        <v>683</v>
      </c>
    </row>
    <row r="40" spans="1:6" x14ac:dyDescent="0.35">
      <c r="A40" s="3" t="s">
        <v>18</v>
      </c>
      <c r="B40" s="3" t="s">
        <v>18</v>
      </c>
      <c r="C40" s="3" t="s">
        <v>18</v>
      </c>
      <c r="E40" s="3" t="s">
        <v>18</v>
      </c>
    </row>
    <row r="42" spans="1:6" x14ac:dyDescent="0.35">
      <c r="A42" s="3" t="s">
        <v>27</v>
      </c>
      <c r="B42" s="3" t="s">
        <v>27</v>
      </c>
      <c r="C42" s="3" t="s">
        <v>27</v>
      </c>
      <c r="E42" s="3" t="s">
        <v>27</v>
      </c>
    </row>
    <row r="43" spans="1:6" x14ac:dyDescent="0.35">
      <c r="A43" s="3" t="s">
        <v>28</v>
      </c>
      <c r="B43" s="3" t="s">
        <v>616</v>
      </c>
      <c r="C43" s="3" t="s">
        <v>640</v>
      </c>
      <c r="E43" s="3" t="s">
        <v>640</v>
      </c>
    </row>
    <row r="44" spans="1:6" x14ac:dyDescent="0.35">
      <c r="A44" s="3" t="s">
        <v>29</v>
      </c>
      <c r="B44" s="3" t="s">
        <v>606</v>
      </c>
      <c r="C44" s="3" t="s">
        <v>641</v>
      </c>
      <c r="E44" s="3" t="s">
        <v>684</v>
      </c>
    </row>
    <row r="45" spans="1:6" x14ac:dyDescent="0.35">
      <c r="A45" s="3" t="s">
        <v>30</v>
      </c>
      <c r="B45" s="3" t="s">
        <v>30</v>
      </c>
      <c r="C45" s="3" t="s">
        <v>30</v>
      </c>
      <c r="E45" s="3" t="s">
        <v>30</v>
      </c>
    </row>
    <row r="46" spans="1:6" x14ac:dyDescent="0.35">
      <c r="A46" s="3" t="s">
        <v>5</v>
      </c>
      <c r="B46" s="3" t="s">
        <v>5</v>
      </c>
      <c r="C46" s="3" t="s">
        <v>53</v>
      </c>
      <c r="E46" s="3" t="s">
        <v>53</v>
      </c>
    </row>
    <row r="47" spans="1:6" x14ac:dyDescent="0.35">
      <c r="A47" s="3" t="s">
        <v>6</v>
      </c>
      <c r="B47" s="3" t="s">
        <v>6</v>
      </c>
      <c r="C47" s="3" t="s">
        <v>6</v>
      </c>
      <c r="E47" s="3" t="s">
        <v>6</v>
      </c>
    </row>
    <row r="48" spans="1:6" x14ac:dyDescent="0.35">
      <c r="A48" s="3" t="s">
        <v>7</v>
      </c>
      <c r="B48" s="3" t="s">
        <v>7</v>
      </c>
      <c r="C48" s="3" t="s">
        <v>7</v>
      </c>
      <c r="E48" s="3" t="s">
        <v>7</v>
      </c>
    </row>
    <row r="49" spans="1:6" x14ac:dyDescent="0.35">
      <c r="A49" s="3" t="s">
        <v>8</v>
      </c>
      <c r="B49" s="3" t="s">
        <v>54</v>
      </c>
      <c r="C49" s="3" t="s">
        <v>54</v>
      </c>
      <c r="E49" s="3" t="s">
        <v>54</v>
      </c>
    </row>
    <row r="50" spans="1:6" x14ac:dyDescent="0.35">
      <c r="A50" s="3" t="s">
        <v>9</v>
      </c>
      <c r="B50" s="3" t="s">
        <v>9</v>
      </c>
      <c r="C50" s="3" t="s">
        <v>9</v>
      </c>
      <c r="E50" s="3" t="s">
        <v>9</v>
      </c>
    </row>
    <row r="51" spans="1:6" x14ac:dyDescent="0.35">
      <c r="A51" s="3" t="s">
        <v>10</v>
      </c>
      <c r="B51" s="3" t="s">
        <v>55</v>
      </c>
      <c r="C51" s="3" t="s">
        <v>55</v>
      </c>
      <c r="E51" s="3" t="s">
        <v>55</v>
      </c>
    </row>
    <row r="52" spans="1:6" x14ac:dyDescent="0.35">
      <c r="A52" s="3" t="s">
        <v>11</v>
      </c>
      <c r="B52" s="3" t="s">
        <v>402</v>
      </c>
      <c r="C52" s="3" t="s">
        <v>56</v>
      </c>
      <c r="E52" s="3" t="s">
        <v>56</v>
      </c>
    </row>
    <row r="53" spans="1:6" x14ac:dyDescent="0.35">
      <c r="A53" s="3" t="s">
        <v>12</v>
      </c>
      <c r="B53" s="3" t="s">
        <v>410</v>
      </c>
      <c r="C53" s="3" t="s">
        <v>57</v>
      </c>
      <c r="E53" s="3" t="s">
        <v>57</v>
      </c>
    </row>
    <row r="54" spans="1:6" x14ac:dyDescent="0.35">
      <c r="A54" s="3" t="s">
        <v>31</v>
      </c>
      <c r="B54" s="3" t="s">
        <v>617</v>
      </c>
      <c r="C54" s="3" t="s">
        <v>642</v>
      </c>
      <c r="D54" s="10">
        <f>(0.061844-0.062059)/0.062059</f>
        <v>-3.4644451248005913E-3</v>
      </c>
      <c r="E54" s="3" t="s">
        <v>685</v>
      </c>
      <c r="F54" s="10">
        <f>(0.071784-0.062059)/0.062059</f>
        <v>0.15670571552877097</v>
      </c>
    </row>
    <row r="55" spans="1:6" x14ac:dyDescent="0.35">
      <c r="A55" s="3" t="s">
        <v>32</v>
      </c>
      <c r="B55" s="3" t="s">
        <v>618</v>
      </c>
      <c r="C55" s="3" t="s">
        <v>643</v>
      </c>
      <c r="D55" s="10">
        <f>(0.061391-0.061608)/0.061608</f>
        <v>-3.5222698350863835E-3</v>
      </c>
      <c r="E55" s="3" t="s">
        <v>686</v>
      </c>
      <c r="F55" s="10">
        <f>(0.071332-0.061608)/0.061608</f>
        <v>0.15783664459161154</v>
      </c>
    </row>
    <row r="56" spans="1:6" x14ac:dyDescent="0.35">
      <c r="A56" s="3" t="s">
        <v>33</v>
      </c>
      <c r="B56" s="3" t="s">
        <v>386</v>
      </c>
      <c r="C56" s="3" t="s">
        <v>386</v>
      </c>
      <c r="D56" s="10">
        <f>(0.000452-0.000452)/0.000452</f>
        <v>0</v>
      </c>
      <c r="E56" s="3" t="s">
        <v>386</v>
      </c>
      <c r="F56" s="10">
        <f>(0.000452-0.000452)/0.000452</f>
        <v>0</v>
      </c>
    </row>
    <row r="57" spans="1:6" x14ac:dyDescent="0.35">
      <c r="A57" s="3" t="s">
        <v>16</v>
      </c>
      <c r="B57" s="3" t="s">
        <v>16</v>
      </c>
      <c r="C57" s="3" t="s">
        <v>16</v>
      </c>
      <c r="E57" s="3" t="s">
        <v>16</v>
      </c>
    </row>
    <row r="58" spans="1:6" x14ac:dyDescent="0.35">
      <c r="A58" s="3" t="s">
        <v>34</v>
      </c>
      <c r="B58" s="3" t="s">
        <v>619</v>
      </c>
      <c r="C58" s="3" t="s">
        <v>644</v>
      </c>
      <c r="E58" s="3" t="s">
        <v>687</v>
      </c>
    </row>
    <row r="59" spans="1:6" x14ac:dyDescent="0.35">
      <c r="A59" s="3" t="s">
        <v>18</v>
      </c>
      <c r="B59" s="3" t="s">
        <v>18</v>
      </c>
      <c r="C59" s="3" t="s">
        <v>18</v>
      </c>
      <c r="E59" s="3" t="s">
        <v>18</v>
      </c>
    </row>
    <row r="61" spans="1:6" x14ac:dyDescent="0.35">
      <c r="A61" s="3" t="s">
        <v>35</v>
      </c>
      <c r="B61" s="3" t="s">
        <v>35</v>
      </c>
      <c r="C61" s="3" t="s">
        <v>35</v>
      </c>
      <c r="E61" s="3" t="s">
        <v>35</v>
      </c>
    </row>
    <row r="62" spans="1:6" x14ac:dyDescent="0.35">
      <c r="A62" s="3" t="s">
        <v>36</v>
      </c>
      <c r="B62" s="3" t="s">
        <v>620</v>
      </c>
      <c r="C62" s="3" t="s">
        <v>645</v>
      </c>
      <c r="E62" s="3" t="s">
        <v>645</v>
      </c>
    </row>
    <row r="63" spans="1:6" x14ac:dyDescent="0.35">
      <c r="A63" s="3" t="s">
        <v>37</v>
      </c>
      <c r="B63" s="3" t="s">
        <v>606</v>
      </c>
      <c r="C63" s="3" t="s">
        <v>646</v>
      </c>
      <c r="E63" s="3" t="s">
        <v>688</v>
      </c>
    </row>
    <row r="64" spans="1:6" x14ac:dyDescent="0.35">
      <c r="A64" s="3" t="s">
        <v>38</v>
      </c>
      <c r="B64" s="3" t="s">
        <v>38</v>
      </c>
      <c r="C64" s="3" t="s">
        <v>38</v>
      </c>
      <c r="E64" s="3" t="s">
        <v>38</v>
      </c>
    </row>
    <row r="65" spans="1:6" x14ac:dyDescent="0.35">
      <c r="A65" s="3" t="s">
        <v>5</v>
      </c>
      <c r="B65" s="3" t="s">
        <v>5</v>
      </c>
      <c r="C65" s="3" t="s">
        <v>53</v>
      </c>
      <c r="E65" s="3" t="s">
        <v>53</v>
      </c>
    </row>
    <row r="66" spans="1:6" x14ac:dyDescent="0.35">
      <c r="A66" s="3" t="s">
        <v>6</v>
      </c>
      <c r="B66" s="3" t="s">
        <v>6</v>
      </c>
      <c r="C66" s="3" t="s">
        <v>6</v>
      </c>
      <c r="E66" s="3" t="s">
        <v>6</v>
      </c>
    </row>
    <row r="67" spans="1:6" x14ac:dyDescent="0.35">
      <c r="A67" s="3" t="s">
        <v>7</v>
      </c>
      <c r="B67" s="3" t="s">
        <v>7</v>
      </c>
      <c r="C67" s="3" t="s">
        <v>7</v>
      </c>
      <c r="E67" s="3" t="s">
        <v>7</v>
      </c>
    </row>
    <row r="68" spans="1:6" x14ac:dyDescent="0.35">
      <c r="A68" s="3" t="s">
        <v>8</v>
      </c>
      <c r="B68" s="3" t="s">
        <v>54</v>
      </c>
      <c r="C68" s="3" t="s">
        <v>54</v>
      </c>
      <c r="E68" s="3" t="s">
        <v>54</v>
      </c>
    </row>
    <row r="69" spans="1:6" x14ac:dyDescent="0.35">
      <c r="A69" s="3" t="s">
        <v>9</v>
      </c>
      <c r="B69" s="3" t="s">
        <v>9</v>
      </c>
      <c r="C69" s="3" t="s">
        <v>9</v>
      </c>
      <c r="E69" s="3" t="s">
        <v>9</v>
      </c>
    </row>
    <row r="70" spans="1:6" x14ac:dyDescent="0.35">
      <c r="A70" s="3" t="s">
        <v>10</v>
      </c>
      <c r="B70" s="3" t="s">
        <v>55</v>
      </c>
      <c r="C70" s="3" t="s">
        <v>55</v>
      </c>
      <c r="E70" s="3" t="s">
        <v>55</v>
      </c>
    </row>
    <row r="71" spans="1:6" x14ac:dyDescent="0.35">
      <c r="A71" s="3" t="s">
        <v>11</v>
      </c>
      <c r="B71" s="3" t="s">
        <v>402</v>
      </c>
      <c r="C71" s="3" t="s">
        <v>56</v>
      </c>
      <c r="E71" s="3" t="s">
        <v>56</v>
      </c>
    </row>
    <row r="72" spans="1:6" x14ac:dyDescent="0.35">
      <c r="A72" s="3" t="s">
        <v>12</v>
      </c>
      <c r="B72" s="3" t="s">
        <v>410</v>
      </c>
      <c r="C72" s="3" t="s">
        <v>57</v>
      </c>
      <c r="E72" s="3" t="s">
        <v>57</v>
      </c>
    </row>
    <row r="73" spans="1:6" x14ac:dyDescent="0.35">
      <c r="A73" s="3" t="s">
        <v>39</v>
      </c>
      <c r="B73" s="3" t="s">
        <v>621</v>
      </c>
      <c r="C73" s="3" t="s">
        <v>647</v>
      </c>
      <c r="D73" s="10">
        <f>(0.016349-0.016398)/0.016398</f>
        <v>-2.9881692889377016E-3</v>
      </c>
      <c r="E73" s="3" t="s">
        <v>689</v>
      </c>
      <c r="F73" s="10">
        <f>(0.01922-0.016398)/0.016398</f>
        <v>0.17209415782412499</v>
      </c>
    </row>
    <row r="74" spans="1:6" x14ac:dyDescent="0.35">
      <c r="A74" s="3" t="s">
        <v>40</v>
      </c>
      <c r="B74" s="3" t="s">
        <v>622</v>
      </c>
      <c r="C74" s="3" t="s">
        <v>648</v>
      </c>
      <c r="D74" s="10">
        <f>(0.015887-0.015932)/0.015932</f>
        <v>-2.8245041426062873E-3</v>
      </c>
      <c r="E74" s="3" t="s">
        <v>690</v>
      </c>
      <c r="F74" s="10">
        <f>(0.018756-0.015932)/0.015932</f>
        <v>0.17725332663821217</v>
      </c>
    </row>
    <row r="75" spans="1:6" x14ac:dyDescent="0.35">
      <c r="A75" s="3" t="s">
        <v>41</v>
      </c>
      <c r="B75" s="3" t="s">
        <v>623</v>
      </c>
      <c r="C75" s="3" t="s">
        <v>649</v>
      </c>
      <c r="D75" s="10">
        <f>(0.000462-0.000466)/0.000466</f>
        <v>-8.5836909871244392E-3</v>
      </c>
      <c r="E75" s="3" t="s">
        <v>691</v>
      </c>
      <c r="F75" s="10">
        <f>(0.000464-0.000466)/0.000466</f>
        <v>-4.2918454935622196E-3</v>
      </c>
    </row>
    <row r="76" spans="1:6" x14ac:dyDescent="0.35">
      <c r="A76" s="3" t="s">
        <v>16</v>
      </c>
      <c r="B76" s="3" t="s">
        <v>16</v>
      </c>
      <c r="C76" s="3" t="s">
        <v>16</v>
      </c>
      <c r="E76" s="3" t="s">
        <v>16</v>
      </c>
    </row>
    <row r="77" spans="1:6" x14ac:dyDescent="0.35">
      <c r="A77" s="3" t="s">
        <v>42</v>
      </c>
      <c r="B77" s="3" t="s">
        <v>624</v>
      </c>
      <c r="C77" s="3" t="s">
        <v>650</v>
      </c>
      <c r="E77" s="3" t="s">
        <v>692</v>
      </c>
    </row>
    <row r="78" spans="1:6" x14ac:dyDescent="0.35">
      <c r="A78" s="3" t="s">
        <v>18</v>
      </c>
      <c r="B78" s="3" t="s">
        <v>18</v>
      </c>
      <c r="C78" s="3" t="s">
        <v>18</v>
      </c>
      <c r="E78" s="3" t="s">
        <v>18</v>
      </c>
    </row>
    <row r="80" spans="1:6" x14ac:dyDescent="0.35">
      <c r="A80" s="3" t="s">
        <v>43</v>
      </c>
      <c r="B80" s="3" t="s">
        <v>43</v>
      </c>
      <c r="C80" s="3" t="s">
        <v>43</v>
      </c>
      <c r="E80" s="3" t="s">
        <v>43</v>
      </c>
    </row>
    <row r="81" spans="1:6" x14ac:dyDescent="0.35">
      <c r="A81" s="3" t="s">
        <v>44</v>
      </c>
      <c r="B81" s="3" t="s">
        <v>625</v>
      </c>
      <c r="C81" s="3" t="s">
        <v>651</v>
      </c>
      <c r="E81" s="3" t="s">
        <v>651</v>
      </c>
    </row>
    <row r="82" spans="1:6" x14ac:dyDescent="0.35">
      <c r="A82" s="3" t="s">
        <v>45</v>
      </c>
      <c r="B82" s="3" t="s">
        <v>606</v>
      </c>
      <c r="C82" s="3" t="s">
        <v>652</v>
      </c>
      <c r="E82" s="3" t="s">
        <v>693</v>
      </c>
    </row>
    <row r="83" spans="1:6" x14ac:dyDescent="0.35">
      <c r="A83" s="3" t="s">
        <v>46</v>
      </c>
      <c r="B83" s="3" t="s">
        <v>46</v>
      </c>
      <c r="C83" s="3" t="s">
        <v>46</v>
      </c>
      <c r="E83" s="3" t="s">
        <v>46</v>
      </c>
    </row>
    <row r="84" spans="1:6" x14ac:dyDescent="0.35">
      <c r="A84" s="3" t="s">
        <v>5</v>
      </c>
      <c r="B84" s="3" t="s">
        <v>5</v>
      </c>
      <c r="C84" s="3" t="s">
        <v>53</v>
      </c>
      <c r="E84" s="3" t="s">
        <v>53</v>
      </c>
    </row>
    <row r="85" spans="1:6" x14ac:dyDescent="0.35">
      <c r="A85" s="3" t="s">
        <v>6</v>
      </c>
      <c r="B85" s="3" t="s">
        <v>6</v>
      </c>
      <c r="C85" s="3" t="s">
        <v>6</v>
      </c>
      <c r="E85" s="3" t="s">
        <v>6</v>
      </c>
    </row>
    <row r="86" spans="1:6" x14ac:dyDescent="0.35">
      <c r="A86" s="3" t="s">
        <v>7</v>
      </c>
      <c r="B86" s="3" t="s">
        <v>7</v>
      </c>
      <c r="C86" s="3" t="s">
        <v>7</v>
      </c>
      <c r="E86" s="3" t="s">
        <v>7</v>
      </c>
    </row>
    <row r="87" spans="1:6" x14ac:dyDescent="0.35">
      <c r="A87" s="3" t="s">
        <v>8</v>
      </c>
      <c r="B87" s="3" t="s">
        <v>54</v>
      </c>
      <c r="C87" s="3" t="s">
        <v>54</v>
      </c>
      <c r="E87" s="3" t="s">
        <v>54</v>
      </c>
    </row>
    <row r="88" spans="1:6" x14ac:dyDescent="0.35">
      <c r="A88" s="3" t="s">
        <v>9</v>
      </c>
      <c r="B88" s="3" t="s">
        <v>9</v>
      </c>
      <c r="C88" s="3" t="s">
        <v>9</v>
      </c>
      <c r="E88" s="3" t="s">
        <v>9</v>
      </c>
    </row>
    <row r="89" spans="1:6" x14ac:dyDescent="0.35">
      <c r="A89" s="3" t="s">
        <v>10</v>
      </c>
      <c r="B89" s="3" t="s">
        <v>55</v>
      </c>
      <c r="C89" s="3" t="s">
        <v>55</v>
      </c>
      <c r="E89" s="3" t="s">
        <v>55</v>
      </c>
    </row>
    <row r="90" spans="1:6" x14ac:dyDescent="0.35">
      <c r="A90" s="3" t="s">
        <v>11</v>
      </c>
      <c r="B90" s="3" t="s">
        <v>402</v>
      </c>
      <c r="C90" s="3" t="s">
        <v>56</v>
      </c>
      <c r="E90" s="3" t="s">
        <v>56</v>
      </c>
    </row>
    <row r="91" spans="1:6" x14ac:dyDescent="0.35">
      <c r="A91" s="3" t="s">
        <v>12</v>
      </c>
      <c r="B91" s="3" t="s">
        <v>410</v>
      </c>
      <c r="C91" s="3" t="s">
        <v>57</v>
      </c>
      <c r="E91" s="3" t="s">
        <v>57</v>
      </c>
    </row>
    <row r="92" spans="1:6" x14ac:dyDescent="0.35">
      <c r="A92" s="3" t="s">
        <v>47</v>
      </c>
      <c r="B92" s="3" t="s">
        <v>626</v>
      </c>
      <c r="C92" s="3" t="s">
        <v>653</v>
      </c>
      <c r="D92" s="10">
        <f>(0.005094-0.005109)/0.005109</f>
        <v>-2.9359953024075663E-3</v>
      </c>
      <c r="E92" s="3" t="s">
        <v>694</v>
      </c>
      <c r="F92" s="10">
        <f>(0.005821-0.005109)/0.005109</f>
        <v>0.13936191035427675</v>
      </c>
    </row>
    <row r="93" spans="1:6" x14ac:dyDescent="0.35">
      <c r="A93" s="3" t="s">
        <v>48</v>
      </c>
      <c r="B93" s="3" t="s">
        <v>627</v>
      </c>
      <c r="C93" s="3" t="s">
        <v>654</v>
      </c>
      <c r="D93" s="10">
        <f>(0.004973-0.004988)/0.004988</f>
        <v>-3.0072173215718234E-3</v>
      </c>
      <c r="E93" s="3" t="s">
        <v>695</v>
      </c>
      <c r="F93" s="10">
        <f>(0.005701-0.004988)/0.004988</f>
        <v>0.14294306335204493</v>
      </c>
    </row>
    <row r="94" spans="1:6" x14ac:dyDescent="0.35">
      <c r="A94" s="3" t="s">
        <v>49</v>
      </c>
      <c r="B94" s="3" t="s">
        <v>628</v>
      </c>
      <c r="C94" s="3" t="s">
        <v>655</v>
      </c>
      <c r="D94" s="10">
        <f>(0.000121-0.000122)/0.000122</f>
        <v>-8.1967213114753877E-3</v>
      </c>
      <c r="E94" s="3" t="s">
        <v>696</v>
      </c>
      <c r="F94" s="10">
        <f>(0.00012-0.000122)/0.000122</f>
        <v>-1.6393442622950775E-2</v>
      </c>
    </row>
    <row r="95" spans="1:6" x14ac:dyDescent="0.35">
      <c r="A95" s="3" t="s">
        <v>16</v>
      </c>
      <c r="B95" s="3" t="s">
        <v>16</v>
      </c>
      <c r="C95" s="3" t="s">
        <v>16</v>
      </c>
      <c r="E95" s="3" t="s">
        <v>16</v>
      </c>
    </row>
    <row r="96" spans="1:6" x14ac:dyDescent="0.35">
      <c r="A96" s="3" t="s">
        <v>50</v>
      </c>
      <c r="B96" s="3" t="s">
        <v>629</v>
      </c>
      <c r="C96" s="3" t="s">
        <v>656</v>
      </c>
      <c r="E96" s="3" t="s">
        <v>697</v>
      </c>
    </row>
    <row r="97" spans="1:6" x14ac:dyDescent="0.35">
      <c r="A97" s="3" t="s">
        <v>18</v>
      </c>
      <c r="B97" s="3" t="s">
        <v>18</v>
      </c>
      <c r="C97" s="3" t="s">
        <v>18</v>
      </c>
      <c r="E97" s="3" t="s">
        <v>18</v>
      </c>
    </row>
    <row r="99" spans="1:6" x14ac:dyDescent="0.35">
      <c r="C99" s="53" t="s">
        <v>790</v>
      </c>
      <c r="D99" s="10">
        <f>((ABS(D16)+ABS(D35)+ABS(D54)+ABS(D73)+ABS(D92))/5)</f>
        <v>2.7982955288634983E-3</v>
      </c>
      <c r="F99" s="10">
        <f>((ABS(F16)+ABS(F35)+ABS(F54)+ABS(F73)+ABS(F92))/5)</f>
        <v>0.14183129301056527</v>
      </c>
    </row>
    <row r="100" spans="1:6" x14ac:dyDescent="0.35">
      <c r="C100" s="53" t="s">
        <v>791</v>
      </c>
      <c r="D100" s="10">
        <f>((ABS(D17)+ABS(D36)+ABS(D55)+ABS(D74)+ABS(D93))/5)</f>
        <v>2.7951201469370779E-3</v>
      </c>
      <c r="F100" s="10">
        <f>((ABS(F17)+ABS(F36)+ABS(F55)+ABS(F74)+ABS(F93))/5)</f>
        <v>0.14466823763593997</v>
      </c>
    </row>
    <row r="101" spans="1:6" x14ac:dyDescent="0.35">
      <c r="C101" s="53" t="s">
        <v>792</v>
      </c>
      <c r="D101" s="10">
        <f>((ABS(D18)+ABS(D37)+ABS(D56)+ABS(D75)+ABS(D94))/5)</f>
        <v>4.0431603321331696E-3</v>
      </c>
      <c r="F101" s="10">
        <f>((ABS(F18)+ABS(F37)+ABS(F56)+ABS(F75)+ABS(F94))/5)</f>
        <v>4.2512780687623515E-3</v>
      </c>
    </row>
    <row r="103" spans="1:6" x14ac:dyDescent="0.35">
      <c r="C103" s="54" t="s">
        <v>451</v>
      </c>
    </row>
    <row r="104" spans="1:6" x14ac:dyDescent="0.35">
      <c r="C104" s="54" t="s">
        <v>452</v>
      </c>
    </row>
    <row r="105" spans="1:6" x14ac:dyDescent="0.35">
      <c r="C105" s="54" t="s">
        <v>527</v>
      </c>
    </row>
    <row r="106" spans="1:6" x14ac:dyDescent="0.35">
      <c r="C106" s="54" t="s">
        <v>528</v>
      </c>
    </row>
    <row r="107" spans="1:6" x14ac:dyDescent="0.35">
      <c r="C107" s="54"/>
    </row>
    <row r="108" spans="1:6" x14ac:dyDescent="0.35">
      <c r="C108" s="54" t="s">
        <v>496</v>
      </c>
    </row>
    <row r="109" spans="1:6" x14ac:dyDescent="0.35">
      <c r="C109" s="54" t="s">
        <v>497</v>
      </c>
    </row>
    <row r="110" spans="1:6" x14ac:dyDescent="0.35">
      <c r="C110" s="54" t="s">
        <v>529</v>
      </c>
    </row>
    <row r="111" spans="1:6" x14ac:dyDescent="0.35">
      <c r="C111" s="54" t="s">
        <v>530</v>
      </c>
    </row>
    <row r="116" spans="3:5" x14ac:dyDescent="0.35">
      <c r="C116" s="53"/>
      <c r="E116" s="4"/>
    </row>
    <row r="117" spans="3:5" x14ac:dyDescent="0.35">
      <c r="C117" s="53"/>
      <c r="E117" s="4"/>
    </row>
    <row r="118" spans="3:5" x14ac:dyDescent="0.35">
      <c r="C118" s="53"/>
      <c r="E11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3E43-E2FF-4192-BE1B-6EF1391D9098}">
  <dimension ref="A1:F135"/>
  <sheetViews>
    <sheetView topLeftCell="B91" workbookViewId="0">
      <selection activeCell="C141" sqref="C141"/>
    </sheetView>
  </sheetViews>
  <sheetFormatPr defaultRowHeight="14.5" x14ac:dyDescent="0.35"/>
  <cols>
    <col min="1" max="2" width="70.54296875" customWidth="1"/>
    <col min="3" max="3" width="74.6328125" customWidth="1"/>
    <col min="4" max="4" width="16.54296875" style="10" customWidth="1"/>
    <col min="5" max="5" width="65.08984375" customWidth="1"/>
    <col min="6" max="6" width="16.54296875" style="10" customWidth="1"/>
  </cols>
  <sheetData>
    <row r="1" spans="1:6" s="1" customFormat="1" ht="73" thickBot="1" x14ac:dyDescent="0.4">
      <c r="A1" s="33" t="s">
        <v>400</v>
      </c>
      <c r="B1" s="33" t="s">
        <v>671</v>
      </c>
      <c r="C1" s="33" t="s">
        <v>673</v>
      </c>
      <c r="D1" s="34" t="s">
        <v>672</v>
      </c>
      <c r="E1" s="33" t="s">
        <v>674</v>
      </c>
      <c r="F1" s="34" t="s">
        <v>672</v>
      </c>
    </row>
    <row r="2" spans="1:6" s="3" customFormat="1" ht="29" x14ac:dyDescent="0.35">
      <c r="A2" s="3" t="s">
        <v>280</v>
      </c>
      <c r="B2" s="3" t="s">
        <v>280</v>
      </c>
      <c r="C2" s="3" t="s">
        <v>328</v>
      </c>
      <c r="D2" s="10"/>
      <c r="E2" s="3" t="s">
        <v>328</v>
      </c>
      <c r="F2" s="10"/>
    </row>
    <row r="3" spans="1:6" ht="15" thickBot="1" x14ac:dyDescent="0.4"/>
    <row r="4" spans="1:6" x14ac:dyDescent="0.35">
      <c r="A4" s="27" t="s">
        <v>1</v>
      </c>
      <c r="B4" s="27" t="s">
        <v>1</v>
      </c>
      <c r="C4" s="30" t="s">
        <v>1</v>
      </c>
      <c r="E4" s="30" t="s">
        <v>1</v>
      </c>
    </row>
    <row r="5" spans="1:6" x14ac:dyDescent="0.35">
      <c r="A5" s="28" t="s">
        <v>281</v>
      </c>
      <c r="B5" s="28" t="s">
        <v>329</v>
      </c>
      <c r="C5" s="31" t="s">
        <v>329</v>
      </c>
      <c r="E5" s="31" t="s">
        <v>329</v>
      </c>
    </row>
    <row r="6" spans="1:6" x14ac:dyDescent="0.35">
      <c r="A6" s="28" t="s">
        <v>282</v>
      </c>
      <c r="B6" s="28" t="s">
        <v>409</v>
      </c>
      <c r="C6" s="31" t="s">
        <v>545</v>
      </c>
      <c r="E6" s="31" t="s">
        <v>698</v>
      </c>
    </row>
    <row r="7" spans="1:6" x14ac:dyDescent="0.35">
      <c r="A7" s="28" t="s">
        <v>283</v>
      </c>
      <c r="B7" s="28" t="s">
        <v>283</v>
      </c>
      <c r="C7" s="31" t="s">
        <v>283</v>
      </c>
      <c r="E7" s="31" t="s">
        <v>283</v>
      </c>
    </row>
    <row r="8" spans="1:6" x14ac:dyDescent="0.35">
      <c r="A8" s="28" t="s">
        <v>284</v>
      </c>
      <c r="B8" s="28" t="s">
        <v>401</v>
      </c>
      <c r="C8" s="31" t="s">
        <v>330</v>
      </c>
      <c r="E8" s="31" t="s">
        <v>330</v>
      </c>
    </row>
    <row r="9" spans="1:6" x14ac:dyDescent="0.35">
      <c r="A9" s="28" t="s">
        <v>285</v>
      </c>
      <c r="B9" s="28" t="s">
        <v>285</v>
      </c>
      <c r="C9" s="31" t="s">
        <v>285</v>
      </c>
      <c r="E9" s="31" t="s">
        <v>285</v>
      </c>
    </row>
    <row r="10" spans="1:6" x14ac:dyDescent="0.35">
      <c r="A10" s="28" t="s">
        <v>6</v>
      </c>
      <c r="B10" s="28" t="s">
        <v>6</v>
      </c>
      <c r="C10" s="31" t="s">
        <v>6</v>
      </c>
      <c r="E10" s="31" t="s">
        <v>6</v>
      </c>
    </row>
    <row r="11" spans="1:6" x14ac:dyDescent="0.35">
      <c r="A11" s="28" t="s">
        <v>7</v>
      </c>
      <c r="B11" s="28" t="s">
        <v>7</v>
      </c>
      <c r="C11" s="31" t="s">
        <v>7</v>
      </c>
      <c r="E11" s="31" t="s">
        <v>7</v>
      </c>
    </row>
    <row r="12" spans="1:6" x14ac:dyDescent="0.35">
      <c r="A12" s="28" t="s">
        <v>8</v>
      </c>
      <c r="B12" s="28" t="s">
        <v>54</v>
      </c>
      <c r="C12" s="31" t="s">
        <v>54</v>
      </c>
      <c r="E12" s="31" t="s">
        <v>54</v>
      </c>
    </row>
    <row r="13" spans="1:6" x14ac:dyDescent="0.35">
      <c r="A13" s="28" t="s">
        <v>9</v>
      </c>
      <c r="B13" s="28" t="s">
        <v>9</v>
      </c>
      <c r="C13" s="31" t="s">
        <v>9</v>
      </c>
      <c r="E13" s="31" t="s">
        <v>9</v>
      </c>
    </row>
    <row r="14" spans="1:6" x14ac:dyDescent="0.35">
      <c r="A14" s="28" t="s">
        <v>10</v>
      </c>
      <c r="B14" s="28" t="s">
        <v>55</v>
      </c>
      <c r="C14" s="31" t="s">
        <v>55</v>
      </c>
      <c r="E14" s="31" t="s">
        <v>55</v>
      </c>
    </row>
    <row r="15" spans="1:6" x14ac:dyDescent="0.35">
      <c r="A15" s="28" t="s">
        <v>11</v>
      </c>
      <c r="B15" s="28" t="s">
        <v>402</v>
      </c>
      <c r="C15" s="31" t="s">
        <v>56</v>
      </c>
      <c r="E15" s="31" t="s">
        <v>56</v>
      </c>
    </row>
    <row r="16" spans="1:6" x14ac:dyDescent="0.35">
      <c r="A16" s="28" t="s">
        <v>12</v>
      </c>
      <c r="B16" s="28" t="s">
        <v>410</v>
      </c>
      <c r="C16" s="31" t="s">
        <v>57</v>
      </c>
      <c r="E16" s="31" t="s">
        <v>57</v>
      </c>
    </row>
    <row r="17" spans="1:6" x14ac:dyDescent="0.35">
      <c r="A17" s="28" t="s">
        <v>286</v>
      </c>
      <c r="B17" s="28" t="s">
        <v>411</v>
      </c>
      <c r="C17" s="31" t="s">
        <v>546</v>
      </c>
      <c r="D17" s="10">
        <f>(0.15346-0.153379)/0.153379</f>
        <v>5.2810358654069658E-4</v>
      </c>
      <c r="E17" s="31" t="s">
        <v>699</v>
      </c>
      <c r="F17" s="10">
        <f>(0.154886-0.153379)/0.153379</f>
        <v>9.8253346285997988E-3</v>
      </c>
    </row>
    <row r="18" spans="1:6" x14ac:dyDescent="0.35">
      <c r="A18" s="28" t="s">
        <v>287</v>
      </c>
      <c r="B18" s="28" t="s">
        <v>287</v>
      </c>
      <c r="C18" s="31" t="s">
        <v>287</v>
      </c>
      <c r="D18" s="10">
        <v>0</v>
      </c>
      <c r="E18" s="31" t="s">
        <v>287</v>
      </c>
      <c r="F18" s="10">
        <v>0</v>
      </c>
    </row>
    <row r="19" spans="1:6" x14ac:dyDescent="0.35">
      <c r="A19" s="28" t="s">
        <v>288</v>
      </c>
      <c r="B19" s="28" t="s">
        <v>412</v>
      </c>
      <c r="C19" s="31" t="s">
        <v>547</v>
      </c>
      <c r="D19" s="10">
        <f>(0.092496-0.092497)/0.092497</f>
        <v>-1.0811161443084641E-5</v>
      </c>
      <c r="E19" s="31" t="s">
        <v>700</v>
      </c>
      <c r="F19" s="10">
        <f>(0.092657-0.092497)/0.092497</f>
        <v>1.7297858308918924E-3</v>
      </c>
    </row>
    <row r="20" spans="1:6" x14ac:dyDescent="0.35">
      <c r="A20" s="28" t="s">
        <v>289</v>
      </c>
      <c r="B20" s="28" t="s">
        <v>413</v>
      </c>
      <c r="C20" s="31" t="s">
        <v>548</v>
      </c>
      <c r="D20" s="10">
        <f>(0.027301-0.02723)/0.02723</f>
        <v>2.6074182886521536E-3</v>
      </c>
      <c r="E20" s="31" t="s">
        <v>701</v>
      </c>
      <c r="F20" s="10">
        <f>(0.028456-0.02723)/0.02723</f>
        <v>4.502387073081153E-2</v>
      </c>
    </row>
    <row r="21" spans="1:6" x14ac:dyDescent="0.35">
      <c r="A21" s="28" t="s">
        <v>290</v>
      </c>
      <c r="B21" s="28" t="s">
        <v>414</v>
      </c>
      <c r="C21" s="31" t="s">
        <v>549</v>
      </c>
      <c r="D21" s="10">
        <f>(0.033662-0.033651)/0.033651</f>
        <v>3.2688478797055431E-4</v>
      </c>
      <c r="E21" s="31" t="s">
        <v>702</v>
      </c>
      <c r="F21" s="10">
        <f>(0.033771-0.033651)/0.033651</f>
        <v>3.566015868770677E-3</v>
      </c>
    </row>
    <row r="22" spans="1:6" x14ac:dyDescent="0.35">
      <c r="A22" s="28" t="s">
        <v>16</v>
      </c>
      <c r="B22" s="28" t="s">
        <v>16</v>
      </c>
      <c r="C22" s="31" t="s">
        <v>16</v>
      </c>
      <c r="E22" s="31" t="s">
        <v>16</v>
      </c>
    </row>
    <row r="23" spans="1:6" x14ac:dyDescent="0.35">
      <c r="A23" s="28" t="s">
        <v>291</v>
      </c>
      <c r="B23" s="28" t="s">
        <v>415</v>
      </c>
      <c r="C23" s="31" t="s">
        <v>550</v>
      </c>
      <c r="E23" s="31" t="s">
        <v>703</v>
      </c>
    </row>
    <row r="24" spans="1:6" x14ac:dyDescent="0.35">
      <c r="A24" s="28" t="s">
        <v>292</v>
      </c>
      <c r="B24" s="28" t="s">
        <v>292</v>
      </c>
      <c r="C24" s="31" t="s">
        <v>292</v>
      </c>
      <c r="E24" s="31" t="s">
        <v>292</v>
      </c>
    </row>
    <row r="25" spans="1:6" ht="15" thickBot="1" x14ac:dyDescent="0.4">
      <c r="A25" s="29" t="s">
        <v>18</v>
      </c>
      <c r="B25" s="29" t="s">
        <v>18</v>
      </c>
      <c r="C25" s="32" t="s">
        <v>18</v>
      </c>
      <c r="E25" s="32" t="s">
        <v>18</v>
      </c>
    </row>
    <row r="26" spans="1:6" ht="15" thickBot="1" x14ac:dyDescent="0.4"/>
    <row r="27" spans="1:6" x14ac:dyDescent="0.35">
      <c r="A27" s="27" t="s">
        <v>19</v>
      </c>
      <c r="B27" s="27" t="s">
        <v>19</v>
      </c>
      <c r="C27" s="30" t="s">
        <v>19</v>
      </c>
      <c r="E27" s="30" t="s">
        <v>19</v>
      </c>
    </row>
    <row r="28" spans="1:6" x14ac:dyDescent="0.35">
      <c r="A28" s="28" t="s">
        <v>293</v>
      </c>
      <c r="B28" s="28" t="s">
        <v>387</v>
      </c>
      <c r="C28" s="31" t="s">
        <v>387</v>
      </c>
      <c r="E28" s="31" t="s">
        <v>704</v>
      </c>
    </row>
    <row r="29" spans="1:6" x14ac:dyDescent="0.35">
      <c r="A29" s="28" t="s">
        <v>294</v>
      </c>
      <c r="B29" s="28" t="s">
        <v>409</v>
      </c>
      <c r="C29" s="31" t="s">
        <v>551</v>
      </c>
      <c r="E29" s="31" t="s">
        <v>705</v>
      </c>
    </row>
    <row r="30" spans="1:6" x14ac:dyDescent="0.35">
      <c r="A30" s="28" t="s">
        <v>295</v>
      </c>
      <c r="B30" s="28" t="s">
        <v>295</v>
      </c>
      <c r="C30" s="31" t="s">
        <v>295</v>
      </c>
      <c r="E30" s="31" t="s">
        <v>295</v>
      </c>
    </row>
    <row r="31" spans="1:6" x14ac:dyDescent="0.35">
      <c r="A31" s="28" t="s">
        <v>284</v>
      </c>
      <c r="B31" s="28" t="s">
        <v>401</v>
      </c>
      <c r="C31" s="31" t="s">
        <v>330</v>
      </c>
      <c r="E31" s="31" t="s">
        <v>330</v>
      </c>
    </row>
    <row r="32" spans="1:6" x14ac:dyDescent="0.35">
      <c r="A32" s="28" t="s">
        <v>285</v>
      </c>
      <c r="B32" s="28" t="s">
        <v>285</v>
      </c>
      <c r="C32" s="31" t="s">
        <v>285</v>
      </c>
      <c r="E32" s="31" t="s">
        <v>285</v>
      </c>
    </row>
    <row r="33" spans="1:6" x14ac:dyDescent="0.35">
      <c r="A33" s="28" t="s">
        <v>6</v>
      </c>
      <c r="B33" s="28" t="s">
        <v>6</v>
      </c>
      <c r="C33" s="31" t="s">
        <v>6</v>
      </c>
      <c r="E33" s="31" t="s">
        <v>6</v>
      </c>
    </row>
    <row r="34" spans="1:6" x14ac:dyDescent="0.35">
      <c r="A34" s="28" t="s">
        <v>7</v>
      </c>
      <c r="B34" s="28" t="s">
        <v>7</v>
      </c>
      <c r="C34" s="31" t="s">
        <v>7</v>
      </c>
      <c r="E34" s="31" t="s">
        <v>7</v>
      </c>
    </row>
    <row r="35" spans="1:6" x14ac:dyDescent="0.35">
      <c r="A35" s="28" t="s">
        <v>8</v>
      </c>
      <c r="B35" s="28" t="s">
        <v>54</v>
      </c>
      <c r="C35" s="31" t="s">
        <v>54</v>
      </c>
      <c r="E35" s="31" t="s">
        <v>54</v>
      </c>
    </row>
    <row r="36" spans="1:6" x14ac:dyDescent="0.35">
      <c r="A36" s="28" t="s">
        <v>9</v>
      </c>
      <c r="B36" s="28" t="s">
        <v>9</v>
      </c>
      <c r="C36" s="31" t="s">
        <v>9</v>
      </c>
      <c r="E36" s="31" t="s">
        <v>9</v>
      </c>
    </row>
    <row r="37" spans="1:6" x14ac:dyDescent="0.35">
      <c r="A37" s="28" t="s">
        <v>10</v>
      </c>
      <c r="B37" s="28" t="s">
        <v>55</v>
      </c>
      <c r="C37" s="31" t="s">
        <v>55</v>
      </c>
      <c r="E37" s="31" t="s">
        <v>55</v>
      </c>
    </row>
    <row r="38" spans="1:6" x14ac:dyDescent="0.35">
      <c r="A38" s="28" t="s">
        <v>11</v>
      </c>
      <c r="B38" s="28" t="s">
        <v>402</v>
      </c>
      <c r="C38" s="31" t="s">
        <v>56</v>
      </c>
      <c r="E38" s="31" t="s">
        <v>56</v>
      </c>
    </row>
    <row r="39" spans="1:6" x14ac:dyDescent="0.35">
      <c r="A39" s="28" t="s">
        <v>12</v>
      </c>
      <c r="B39" s="28" t="s">
        <v>410</v>
      </c>
      <c r="C39" s="31" t="s">
        <v>57</v>
      </c>
      <c r="E39" s="31" t="s">
        <v>57</v>
      </c>
    </row>
    <row r="40" spans="1:6" x14ac:dyDescent="0.35">
      <c r="A40" s="28" t="s">
        <v>296</v>
      </c>
      <c r="B40" s="28" t="s">
        <v>416</v>
      </c>
      <c r="C40" s="31" t="s">
        <v>552</v>
      </c>
      <c r="D40" s="10">
        <f>(0.038611-0.038616)/0.038616</f>
        <v>-1.2948000828667033E-4</v>
      </c>
      <c r="E40" s="31" t="s">
        <v>706</v>
      </c>
      <c r="F40" s="10">
        <f>(0.038998-0.038616)/0.038616</f>
        <v>9.8922726331054592E-3</v>
      </c>
    </row>
    <row r="41" spans="1:6" x14ac:dyDescent="0.35">
      <c r="A41" s="28" t="s">
        <v>287</v>
      </c>
      <c r="B41" s="28" t="s">
        <v>287</v>
      </c>
      <c r="C41" s="31" t="s">
        <v>287</v>
      </c>
      <c r="D41" s="10">
        <v>0</v>
      </c>
      <c r="E41" s="31" t="s">
        <v>287</v>
      </c>
      <c r="F41" s="10">
        <v>0</v>
      </c>
    </row>
    <row r="42" spans="1:6" x14ac:dyDescent="0.35">
      <c r="A42" s="28" t="s">
        <v>297</v>
      </c>
      <c r="B42" s="28" t="s">
        <v>417</v>
      </c>
      <c r="C42" s="31" t="s">
        <v>417</v>
      </c>
      <c r="D42" s="10">
        <f>(0.023294-0.023294)/0.023294</f>
        <v>0</v>
      </c>
      <c r="E42" s="31" t="s">
        <v>707</v>
      </c>
      <c r="F42" s="10">
        <f>(0.023345-0.023294)/0.023294</f>
        <v>2.1894049969950389E-3</v>
      </c>
    </row>
    <row r="43" spans="1:6" x14ac:dyDescent="0.35">
      <c r="A43" s="28" t="s">
        <v>298</v>
      </c>
      <c r="B43" s="28" t="s">
        <v>418</v>
      </c>
      <c r="C43" s="31" t="s">
        <v>553</v>
      </c>
      <c r="D43" s="10">
        <f>(0.006818-0.006824)/0.006824</f>
        <v>-8.7924970691675389E-4</v>
      </c>
      <c r="E43" s="31" t="s">
        <v>708</v>
      </c>
      <c r="F43" s="10">
        <f>(0.007126-0.006824)/0.006824</f>
        <v>4.4255568581477167E-2</v>
      </c>
    </row>
    <row r="44" spans="1:6" x14ac:dyDescent="0.35">
      <c r="A44" s="28" t="s">
        <v>299</v>
      </c>
      <c r="B44" s="28" t="s">
        <v>419</v>
      </c>
      <c r="C44" s="31" t="s">
        <v>554</v>
      </c>
      <c r="D44" s="10">
        <f>(0.008497-0.008496)/0.008496</f>
        <v>1.1770244821083632E-4</v>
      </c>
      <c r="E44" s="31" t="s">
        <v>709</v>
      </c>
      <c r="F44" s="10">
        <f>(0.008526-0.008496)/0.008496</f>
        <v>3.5310734463277439E-3</v>
      </c>
    </row>
    <row r="45" spans="1:6" x14ac:dyDescent="0.35">
      <c r="A45" s="28" t="s">
        <v>16</v>
      </c>
      <c r="B45" s="28" t="s">
        <v>16</v>
      </c>
      <c r="C45" s="31" t="s">
        <v>16</v>
      </c>
      <c r="E45" s="31" t="s">
        <v>16</v>
      </c>
    </row>
    <row r="46" spans="1:6" x14ac:dyDescent="0.35">
      <c r="A46" s="28" t="s">
        <v>300</v>
      </c>
      <c r="B46" s="28" t="s">
        <v>420</v>
      </c>
      <c r="C46" s="31" t="s">
        <v>555</v>
      </c>
      <c r="E46" s="31" t="s">
        <v>710</v>
      </c>
    </row>
    <row r="47" spans="1:6" x14ac:dyDescent="0.35">
      <c r="A47" s="28" t="s">
        <v>301</v>
      </c>
      <c r="B47" s="28" t="s">
        <v>301</v>
      </c>
      <c r="C47" s="31" t="s">
        <v>301</v>
      </c>
      <c r="E47" s="31" t="s">
        <v>301</v>
      </c>
    </row>
    <row r="48" spans="1:6" ht="15" thickBot="1" x14ac:dyDescent="0.4">
      <c r="A48" s="29" t="s">
        <v>18</v>
      </c>
      <c r="B48" s="29" t="s">
        <v>18</v>
      </c>
      <c r="C48" s="32" t="s">
        <v>18</v>
      </c>
      <c r="E48" s="32" t="s">
        <v>18</v>
      </c>
    </row>
    <row r="49" spans="1:6" ht="15" thickBot="1" x14ac:dyDescent="0.4"/>
    <row r="50" spans="1:6" x14ac:dyDescent="0.35">
      <c r="A50" s="27" t="s">
        <v>27</v>
      </c>
      <c r="B50" s="27" t="s">
        <v>27</v>
      </c>
      <c r="C50" s="30" t="s">
        <v>27</v>
      </c>
      <c r="E50" s="30" t="s">
        <v>27</v>
      </c>
    </row>
    <row r="51" spans="1:6" x14ac:dyDescent="0.35">
      <c r="A51" s="28" t="s">
        <v>302</v>
      </c>
      <c r="B51" s="28" t="s">
        <v>421</v>
      </c>
      <c r="C51" s="31" t="s">
        <v>331</v>
      </c>
      <c r="E51" s="31" t="s">
        <v>331</v>
      </c>
    </row>
    <row r="52" spans="1:6" x14ac:dyDescent="0.35">
      <c r="A52" s="28" t="s">
        <v>294</v>
      </c>
      <c r="B52" s="28" t="s">
        <v>409</v>
      </c>
      <c r="C52" s="31" t="s">
        <v>556</v>
      </c>
      <c r="E52" s="31" t="s">
        <v>711</v>
      </c>
    </row>
    <row r="53" spans="1:6" x14ac:dyDescent="0.35">
      <c r="A53" s="28" t="s">
        <v>303</v>
      </c>
      <c r="B53" s="28" t="s">
        <v>303</v>
      </c>
      <c r="C53" s="31" t="s">
        <v>303</v>
      </c>
      <c r="E53" s="31" t="s">
        <v>303</v>
      </c>
    </row>
    <row r="54" spans="1:6" x14ac:dyDescent="0.35">
      <c r="A54" s="28" t="s">
        <v>304</v>
      </c>
      <c r="B54" s="28" t="s">
        <v>401</v>
      </c>
      <c r="C54" s="31" t="s">
        <v>330</v>
      </c>
      <c r="E54" s="31" t="s">
        <v>330</v>
      </c>
    </row>
    <row r="55" spans="1:6" x14ac:dyDescent="0.35">
      <c r="A55" s="28" t="s">
        <v>285</v>
      </c>
      <c r="B55" s="28" t="s">
        <v>285</v>
      </c>
      <c r="C55" s="31" t="s">
        <v>285</v>
      </c>
      <c r="E55" s="31" t="s">
        <v>285</v>
      </c>
    </row>
    <row r="56" spans="1:6" x14ac:dyDescent="0.35">
      <c r="A56" s="28" t="s">
        <v>6</v>
      </c>
      <c r="B56" s="28" t="s">
        <v>6</v>
      </c>
      <c r="C56" s="31" t="s">
        <v>6</v>
      </c>
      <c r="E56" s="31" t="s">
        <v>6</v>
      </c>
    </row>
    <row r="57" spans="1:6" x14ac:dyDescent="0.35">
      <c r="A57" s="28" t="s">
        <v>7</v>
      </c>
      <c r="B57" s="28" t="s">
        <v>7</v>
      </c>
      <c r="C57" s="31" t="s">
        <v>7</v>
      </c>
      <c r="E57" s="31" t="s">
        <v>7</v>
      </c>
    </row>
    <row r="58" spans="1:6" x14ac:dyDescent="0.35">
      <c r="A58" s="28" t="s">
        <v>8</v>
      </c>
      <c r="B58" s="28" t="s">
        <v>54</v>
      </c>
      <c r="C58" s="31" t="s">
        <v>54</v>
      </c>
      <c r="E58" s="31" t="s">
        <v>54</v>
      </c>
    </row>
    <row r="59" spans="1:6" x14ac:dyDescent="0.35">
      <c r="A59" s="28" t="s">
        <v>9</v>
      </c>
      <c r="B59" s="28" t="s">
        <v>9</v>
      </c>
      <c r="C59" s="31" t="s">
        <v>9</v>
      </c>
      <c r="E59" s="31" t="s">
        <v>9</v>
      </c>
    </row>
    <row r="60" spans="1:6" x14ac:dyDescent="0.35">
      <c r="A60" s="28" t="s">
        <v>10</v>
      </c>
      <c r="B60" s="28" t="s">
        <v>55</v>
      </c>
      <c r="C60" s="31" t="s">
        <v>55</v>
      </c>
      <c r="E60" s="31" t="s">
        <v>55</v>
      </c>
    </row>
    <row r="61" spans="1:6" x14ac:dyDescent="0.35">
      <c r="A61" s="28" t="s">
        <v>11</v>
      </c>
      <c r="B61" s="28" t="s">
        <v>402</v>
      </c>
      <c r="C61" s="31" t="s">
        <v>56</v>
      </c>
      <c r="E61" s="31" t="s">
        <v>56</v>
      </c>
    </row>
    <row r="62" spans="1:6" x14ac:dyDescent="0.35">
      <c r="A62" s="28" t="s">
        <v>12</v>
      </c>
      <c r="B62" s="28" t="s">
        <v>410</v>
      </c>
      <c r="C62" s="31" t="s">
        <v>57</v>
      </c>
      <c r="E62" s="31" t="s">
        <v>57</v>
      </c>
    </row>
    <row r="63" spans="1:6" x14ac:dyDescent="0.35">
      <c r="A63" s="28" t="s">
        <v>305</v>
      </c>
      <c r="B63" s="28" t="s">
        <v>422</v>
      </c>
      <c r="C63" s="31" t="s">
        <v>557</v>
      </c>
      <c r="D63" s="10">
        <f>(0.009818-0.009821)/0.009821</f>
        <v>-3.0546787496176875E-4</v>
      </c>
      <c r="E63" s="31" t="s">
        <v>712</v>
      </c>
      <c r="F63" s="10">
        <f>(0.009936-0.009821)/0.009821</f>
        <v>1.1709601873536353E-2</v>
      </c>
    </row>
    <row r="64" spans="1:6" x14ac:dyDescent="0.35">
      <c r="A64" s="28" t="s">
        <v>287</v>
      </c>
      <c r="B64" s="28" t="s">
        <v>287</v>
      </c>
      <c r="C64" s="31" t="s">
        <v>287</v>
      </c>
      <c r="D64" s="10">
        <v>0</v>
      </c>
      <c r="E64" s="31" t="s">
        <v>287</v>
      </c>
      <c r="F64" s="10">
        <v>0</v>
      </c>
    </row>
    <row r="65" spans="1:6" x14ac:dyDescent="0.35">
      <c r="A65" s="28" t="s">
        <v>306</v>
      </c>
      <c r="B65" s="28" t="s">
        <v>423</v>
      </c>
      <c r="C65" s="31" t="s">
        <v>423</v>
      </c>
      <c r="D65" s="10">
        <f>(0.005909-0.005909)/0.005909</f>
        <v>0</v>
      </c>
      <c r="E65" s="31" t="s">
        <v>713</v>
      </c>
      <c r="F65" s="10">
        <f>(0.005926-0.005909)/0.005909</f>
        <v>2.876967337958987E-3</v>
      </c>
    </row>
    <row r="66" spans="1:6" x14ac:dyDescent="0.35">
      <c r="A66" s="28" t="s">
        <v>307</v>
      </c>
      <c r="B66" s="28" t="s">
        <v>424</v>
      </c>
      <c r="C66" s="31" t="s">
        <v>558</v>
      </c>
      <c r="D66" s="10">
        <f>(0.001699-0.001701)/0.001701</f>
        <v>-1.17577895355676E-3</v>
      </c>
      <c r="E66" s="31" t="s">
        <v>714</v>
      </c>
      <c r="F66" s="10">
        <f>(0.001794-0.001701)/0.001701</f>
        <v>5.4673721340387997E-2</v>
      </c>
    </row>
    <row r="67" spans="1:6" x14ac:dyDescent="0.35">
      <c r="A67" s="28" t="s">
        <v>308</v>
      </c>
      <c r="B67" s="28" t="s">
        <v>406</v>
      </c>
      <c r="C67" s="31" t="s">
        <v>406</v>
      </c>
      <c r="D67" s="10">
        <f>(0.002209-0.002209)/0.002209</f>
        <v>0</v>
      </c>
      <c r="E67" s="31" t="s">
        <v>715</v>
      </c>
      <c r="F67" s="10">
        <f>(0.002215-0.002209)/0.002209</f>
        <v>2.7161611588953955E-3</v>
      </c>
    </row>
    <row r="68" spans="1:6" x14ac:dyDescent="0.35">
      <c r="A68" s="28" t="s">
        <v>16</v>
      </c>
      <c r="B68" s="28" t="s">
        <v>16</v>
      </c>
      <c r="C68" s="31" t="s">
        <v>16</v>
      </c>
      <c r="E68" s="31" t="s">
        <v>16</v>
      </c>
    </row>
    <row r="69" spans="1:6" x14ac:dyDescent="0.35">
      <c r="A69" s="28" t="s">
        <v>309</v>
      </c>
      <c r="B69" s="28" t="s">
        <v>425</v>
      </c>
      <c r="C69" s="31" t="s">
        <v>559</v>
      </c>
      <c r="E69" s="31" t="s">
        <v>716</v>
      </c>
    </row>
    <row r="70" spans="1:6" x14ac:dyDescent="0.35">
      <c r="A70" s="28" t="s">
        <v>310</v>
      </c>
      <c r="B70" s="28" t="s">
        <v>310</v>
      </c>
      <c r="C70" s="31" t="s">
        <v>310</v>
      </c>
      <c r="E70" s="31" t="s">
        <v>310</v>
      </c>
    </row>
    <row r="71" spans="1:6" ht="15" thickBot="1" x14ac:dyDescent="0.4">
      <c r="A71" s="29" t="s">
        <v>18</v>
      </c>
      <c r="B71" s="29" t="s">
        <v>18</v>
      </c>
      <c r="C71" s="32" t="s">
        <v>18</v>
      </c>
      <c r="E71" s="32" t="s">
        <v>18</v>
      </c>
    </row>
    <row r="72" spans="1:6" ht="15" thickBot="1" x14ac:dyDescent="0.4"/>
    <row r="73" spans="1:6" x14ac:dyDescent="0.35">
      <c r="A73" s="27" t="s">
        <v>35</v>
      </c>
      <c r="B73" s="27" t="s">
        <v>35</v>
      </c>
      <c r="C73" s="30" t="s">
        <v>35</v>
      </c>
      <c r="E73" s="30" t="s">
        <v>35</v>
      </c>
    </row>
    <row r="74" spans="1:6" x14ac:dyDescent="0.35">
      <c r="A74" s="28" t="s">
        <v>311</v>
      </c>
      <c r="B74" s="28" t="s">
        <v>398</v>
      </c>
      <c r="C74" s="31" t="s">
        <v>388</v>
      </c>
      <c r="E74" s="31" t="s">
        <v>388</v>
      </c>
    </row>
    <row r="75" spans="1:6" x14ac:dyDescent="0.35">
      <c r="A75" s="28" t="s">
        <v>312</v>
      </c>
      <c r="B75" s="28" t="s">
        <v>409</v>
      </c>
      <c r="C75" s="31" t="s">
        <v>560</v>
      </c>
      <c r="E75" s="31" t="s">
        <v>717</v>
      </c>
    </row>
    <row r="76" spans="1:6" x14ac:dyDescent="0.35">
      <c r="A76" s="28" t="s">
        <v>313</v>
      </c>
      <c r="B76" s="28" t="s">
        <v>313</v>
      </c>
      <c r="C76" s="31" t="s">
        <v>313</v>
      </c>
      <c r="E76" s="31" t="s">
        <v>313</v>
      </c>
    </row>
    <row r="77" spans="1:6" x14ac:dyDescent="0.35">
      <c r="A77" s="28" t="s">
        <v>304</v>
      </c>
      <c r="B77" s="28" t="s">
        <v>401</v>
      </c>
      <c r="C77" s="31" t="s">
        <v>330</v>
      </c>
      <c r="E77" s="31" t="s">
        <v>330</v>
      </c>
    </row>
    <row r="78" spans="1:6" x14ac:dyDescent="0.35">
      <c r="A78" s="28" t="s">
        <v>285</v>
      </c>
      <c r="B78" s="28" t="s">
        <v>285</v>
      </c>
      <c r="C78" s="31" t="s">
        <v>285</v>
      </c>
      <c r="E78" s="31" t="s">
        <v>285</v>
      </c>
    </row>
    <row r="79" spans="1:6" x14ac:dyDescent="0.35">
      <c r="A79" s="28" t="s">
        <v>6</v>
      </c>
      <c r="B79" s="28" t="s">
        <v>6</v>
      </c>
      <c r="C79" s="31" t="s">
        <v>6</v>
      </c>
      <c r="E79" s="31" t="s">
        <v>6</v>
      </c>
    </row>
    <row r="80" spans="1:6" x14ac:dyDescent="0.35">
      <c r="A80" s="28" t="s">
        <v>7</v>
      </c>
      <c r="B80" s="28" t="s">
        <v>7</v>
      </c>
      <c r="C80" s="31" t="s">
        <v>7</v>
      </c>
      <c r="E80" s="31" t="s">
        <v>7</v>
      </c>
    </row>
    <row r="81" spans="1:6" x14ac:dyDescent="0.35">
      <c r="A81" s="28" t="s">
        <v>8</v>
      </c>
      <c r="B81" s="28" t="s">
        <v>54</v>
      </c>
      <c r="C81" s="31" t="s">
        <v>54</v>
      </c>
      <c r="E81" s="31" t="s">
        <v>54</v>
      </c>
    </row>
    <row r="82" spans="1:6" x14ac:dyDescent="0.35">
      <c r="A82" s="28" t="s">
        <v>9</v>
      </c>
      <c r="B82" s="28" t="s">
        <v>9</v>
      </c>
      <c r="C82" s="31" t="s">
        <v>9</v>
      </c>
      <c r="E82" s="31" t="s">
        <v>9</v>
      </c>
    </row>
    <row r="83" spans="1:6" x14ac:dyDescent="0.35">
      <c r="A83" s="28" t="s">
        <v>10</v>
      </c>
      <c r="B83" s="28" t="s">
        <v>55</v>
      </c>
      <c r="C83" s="31" t="s">
        <v>55</v>
      </c>
      <c r="E83" s="31" t="s">
        <v>55</v>
      </c>
    </row>
    <row r="84" spans="1:6" x14ac:dyDescent="0.35">
      <c r="A84" s="28" t="s">
        <v>11</v>
      </c>
      <c r="B84" s="28" t="s">
        <v>402</v>
      </c>
      <c r="C84" s="31" t="s">
        <v>56</v>
      </c>
      <c r="E84" s="31" t="s">
        <v>56</v>
      </c>
    </row>
    <row r="85" spans="1:6" x14ac:dyDescent="0.35">
      <c r="A85" s="28" t="s">
        <v>12</v>
      </c>
      <c r="B85" s="28" t="s">
        <v>410</v>
      </c>
      <c r="C85" s="31" t="s">
        <v>57</v>
      </c>
      <c r="E85" s="31" t="s">
        <v>57</v>
      </c>
    </row>
    <row r="86" spans="1:6" x14ac:dyDescent="0.35">
      <c r="A86" s="28" t="s">
        <v>314</v>
      </c>
      <c r="B86" s="28" t="s">
        <v>426</v>
      </c>
      <c r="C86" s="31" t="s">
        <v>561</v>
      </c>
      <c r="D86" s="10">
        <f>(0.002587-0.002582)/0.002582</f>
        <v>1.9364833462431434E-3</v>
      </c>
      <c r="E86" s="31" t="s">
        <v>718</v>
      </c>
      <c r="F86" s="10">
        <f>(0.002611-0.002582)/0.002582</f>
        <v>1.1231603408210668E-2</v>
      </c>
    </row>
    <row r="87" spans="1:6" x14ac:dyDescent="0.35">
      <c r="A87" s="28" t="s">
        <v>287</v>
      </c>
      <c r="B87" s="28" t="s">
        <v>287</v>
      </c>
      <c r="C87" s="31" t="s">
        <v>287</v>
      </c>
      <c r="D87" s="10">
        <v>0</v>
      </c>
      <c r="E87" s="31" t="s">
        <v>287</v>
      </c>
      <c r="F87" s="10">
        <v>0</v>
      </c>
    </row>
    <row r="88" spans="1:6" x14ac:dyDescent="0.35">
      <c r="A88" s="28" t="s">
        <v>315</v>
      </c>
      <c r="B88" s="28" t="s">
        <v>427</v>
      </c>
      <c r="C88" s="31" t="s">
        <v>427</v>
      </c>
      <c r="D88" s="10">
        <f>(0.00152-0.00152)/0.00152</f>
        <v>0</v>
      </c>
      <c r="E88" s="31" t="s">
        <v>719</v>
      </c>
      <c r="F88" s="10">
        <f>(0.001527-0.00152)/0.00152</f>
        <v>4.6052631578946349E-3</v>
      </c>
    </row>
    <row r="89" spans="1:6" x14ac:dyDescent="0.35">
      <c r="A89" s="28" t="s">
        <v>316</v>
      </c>
      <c r="B89" s="28" t="s">
        <v>428</v>
      </c>
      <c r="C89" s="31" t="s">
        <v>450</v>
      </c>
      <c r="D89" s="10">
        <f>(0.000433-0.000427)/0.000427</f>
        <v>1.405152224824352E-2</v>
      </c>
      <c r="E89" s="31" t="s">
        <v>720</v>
      </c>
      <c r="F89" s="10">
        <f>(0.000449-0.000427)/0.000427</f>
        <v>5.15222482435597E-2</v>
      </c>
    </row>
    <row r="90" spans="1:6" x14ac:dyDescent="0.35">
      <c r="A90" s="28" t="s">
        <v>317</v>
      </c>
      <c r="B90" s="28" t="s">
        <v>404</v>
      </c>
      <c r="C90" s="31" t="s">
        <v>404</v>
      </c>
      <c r="D90" s="10">
        <f>(0.000633-0.000633)/0.000633</f>
        <v>0</v>
      </c>
      <c r="E90" s="31" t="s">
        <v>721</v>
      </c>
      <c r="F90" s="10">
        <f>(0.000634-0.000633)/0.000633</f>
        <v>1.5797788309637034E-3</v>
      </c>
    </row>
    <row r="91" spans="1:6" x14ac:dyDescent="0.35">
      <c r="A91" s="28" t="s">
        <v>16</v>
      </c>
      <c r="B91" s="28" t="s">
        <v>16</v>
      </c>
      <c r="C91" s="31" t="s">
        <v>16</v>
      </c>
      <c r="E91" s="31" t="s">
        <v>16</v>
      </c>
    </row>
    <row r="92" spans="1:6" x14ac:dyDescent="0.35">
      <c r="A92" s="28" t="s">
        <v>318</v>
      </c>
      <c r="B92" s="28" t="s">
        <v>429</v>
      </c>
      <c r="C92" s="31" t="s">
        <v>562</v>
      </c>
      <c r="E92" s="31" t="s">
        <v>722</v>
      </c>
    </row>
    <row r="93" spans="1:6" x14ac:dyDescent="0.35">
      <c r="A93" s="28" t="s">
        <v>319</v>
      </c>
      <c r="B93" s="28" t="s">
        <v>319</v>
      </c>
      <c r="C93" s="31" t="s">
        <v>319</v>
      </c>
      <c r="E93" s="31" t="s">
        <v>319</v>
      </c>
    </row>
    <row r="94" spans="1:6" ht="15" thickBot="1" x14ac:dyDescent="0.4">
      <c r="A94" s="29" t="s">
        <v>18</v>
      </c>
      <c r="B94" s="29" t="s">
        <v>18</v>
      </c>
      <c r="C94" s="32" t="s">
        <v>18</v>
      </c>
      <c r="E94" s="32" t="s">
        <v>18</v>
      </c>
    </row>
    <row r="95" spans="1:6" ht="15" thickBot="1" x14ac:dyDescent="0.4"/>
    <row r="96" spans="1:6" x14ac:dyDescent="0.35">
      <c r="A96" s="27" t="s">
        <v>43</v>
      </c>
      <c r="B96" s="27" t="s">
        <v>43</v>
      </c>
      <c r="C96" s="30" t="s">
        <v>43</v>
      </c>
      <c r="E96" s="30" t="s">
        <v>43</v>
      </c>
    </row>
    <row r="97" spans="1:6" x14ac:dyDescent="0.35">
      <c r="A97" s="28" t="s">
        <v>320</v>
      </c>
      <c r="B97" s="28" t="s">
        <v>332</v>
      </c>
      <c r="C97" s="31" t="s">
        <v>332</v>
      </c>
      <c r="E97" s="31" t="s">
        <v>332</v>
      </c>
    </row>
    <row r="98" spans="1:6" x14ac:dyDescent="0.35">
      <c r="A98" s="28" t="s">
        <v>294</v>
      </c>
      <c r="B98" s="28" t="s">
        <v>409</v>
      </c>
      <c r="C98" s="31" t="s">
        <v>563</v>
      </c>
      <c r="E98" s="31" t="s">
        <v>723</v>
      </c>
    </row>
    <row r="99" spans="1:6" x14ac:dyDescent="0.35">
      <c r="A99" s="28" t="s">
        <v>321</v>
      </c>
      <c r="B99" s="28" t="s">
        <v>321</v>
      </c>
      <c r="C99" s="31" t="s">
        <v>321</v>
      </c>
      <c r="E99" s="31" t="s">
        <v>321</v>
      </c>
    </row>
    <row r="100" spans="1:6" x14ac:dyDescent="0.35">
      <c r="A100" s="28" t="s">
        <v>304</v>
      </c>
      <c r="B100" s="28" t="s">
        <v>401</v>
      </c>
      <c r="C100" s="31" t="s">
        <v>330</v>
      </c>
      <c r="E100" s="31" t="s">
        <v>330</v>
      </c>
    </row>
    <row r="101" spans="1:6" x14ac:dyDescent="0.35">
      <c r="A101" s="28" t="s">
        <v>285</v>
      </c>
      <c r="B101" s="28" t="s">
        <v>285</v>
      </c>
      <c r="C101" s="31" t="s">
        <v>285</v>
      </c>
      <c r="E101" s="31" t="s">
        <v>285</v>
      </c>
    </row>
    <row r="102" spans="1:6" x14ac:dyDescent="0.35">
      <c r="A102" s="28" t="s">
        <v>6</v>
      </c>
      <c r="B102" s="28" t="s">
        <v>6</v>
      </c>
      <c r="C102" s="31" t="s">
        <v>6</v>
      </c>
      <c r="E102" s="31" t="s">
        <v>6</v>
      </c>
    </row>
    <row r="103" spans="1:6" x14ac:dyDescent="0.35">
      <c r="A103" s="28" t="s">
        <v>7</v>
      </c>
      <c r="B103" s="28" t="s">
        <v>7</v>
      </c>
      <c r="C103" s="31" t="s">
        <v>7</v>
      </c>
      <c r="E103" s="31" t="s">
        <v>7</v>
      </c>
    </row>
    <row r="104" spans="1:6" x14ac:dyDescent="0.35">
      <c r="A104" s="28" t="s">
        <v>8</v>
      </c>
      <c r="B104" s="28" t="s">
        <v>54</v>
      </c>
      <c r="C104" s="31" t="s">
        <v>54</v>
      </c>
      <c r="E104" s="31" t="s">
        <v>54</v>
      </c>
    </row>
    <row r="105" spans="1:6" x14ac:dyDescent="0.35">
      <c r="A105" s="28" t="s">
        <v>9</v>
      </c>
      <c r="B105" s="28" t="s">
        <v>9</v>
      </c>
      <c r="C105" s="31" t="s">
        <v>9</v>
      </c>
      <c r="E105" s="31" t="s">
        <v>9</v>
      </c>
    </row>
    <row r="106" spans="1:6" x14ac:dyDescent="0.35">
      <c r="A106" s="28" t="s">
        <v>10</v>
      </c>
      <c r="B106" s="28" t="s">
        <v>55</v>
      </c>
      <c r="C106" s="31" t="s">
        <v>55</v>
      </c>
      <c r="E106" s="31" t="s">
        <v>55</v>
      </c>
    </row>
    <row r="107" spans="1:6" x14ac:dyDescent="0.35">
      <c r="A107" s="28" t="s">
        <v>11</v>
      </c>
      <c r="B107" s="28" t="s">
        <v>402</v>
      </c>
      <c r="C107" s="31" t="s">
        <v>56</v>
      </c>
      <c r="E107" s="31" t="s">
        <v>56</v>
      </c>
    </row>
    <row r="108" spans="1:6" x14ac:dyDescent="0.35">
      <c r="A108" s="28" t="s">
        <v>12</v>
      </c>
      <c r="B108" s="28" t="s">
        <v>410</v>
      </c>
      <c r="C108" s="31" t="s">
        <v>57</v>
      </c>
      <c r="E108" s="31" t="s">
        <v>57</v>
      </c>
    </row>
    <row r="109" spans="1:6" x14ac:dyDescent="0.35">
      <c r="A109" s="28" t="s">
        <v>322</v>
      </c>
      <c r="B109" s="28" t="s">
        <v>430</v>
      </c>
      <c r="C109" s="31" t="s">
        <v>526</v>
      </c>
      <c r="D109" s="10">
        <f>(0.000742-0.000741)/0.000741</f>
        <v>1.3495276653171717E-3</v>
      </c>
      <c r="E109" s="31" t="s">
        <v>724</v>
      </c>
      <c r="F109" s="10">
        <f>(0.00075-0.000741)/0.000741</f>
        <v>1.2145748987854253E-2</v>
      </c>
    </row>
    <row r="110" spans="1:6" x14ac:dyDescent="0.35">
      <c r="A110" s="28" t="s">
        <v>287</v>
      </c>
      <c r="B110" s="28" t="s">
        <v>287</v>
      </c>
      <c r="C110" s="31" t="s">
        <v>287</v>
      </c>
      <c r="D110" s="10">
        <v>0</v>
      </c>
      <c r="E110" s="31" t="s">
        <v>287</v>
      </c>
      <c r="F110" s="10">
        <v>0</v>
      </c>
    </row>
    <row r="111" spans="1:6" x14ac:dyDescent="0.35">
      <c r="A111" s="28" t="s">
        <v>323</v>
      </c>
      <c r="B111" s="28" t="s">
        <v>323</v>
      </c>
      <c r="C111" s="31" t="s">
        <v>323</v>
      </c>
      <c r="D111" s="10">
        <f>(0.000401-0.000401)/0.000401</f>
        <v>0</v>
      </c>
      <c r="E111" s="31" t="s">
        <v>725</v>
      </c>
      <c r="F111" s="10">
        <f>(0.000403-0.000401)/0.000401</f>
        <v>4.9875311720698114E-3</v>
      </c>
    </row>
    <row r="112" spans="1:6" x14ac:dyDescent="0.35">
      <c r="A112" s="28" t="s">
        <v>324</v>
      </c>
      <c r="B112" s="28" t="s">
        <v>324</v>
      </c>
      <c r="C112" s="31" t="s">
        <v>564</v>
      </c>
      <c r="D112" s="10">
        <f>(0.000109-0.000107)/0.000107</f>
        <v>1.8691588785046804E-2</v>
      </c>
      <c r="E112" s="31" t="s">
        <v>726</v>
      </c>
      <c r="F112" s="10">
        <f>(0.000114-0.000107)/0.000107</f>
        <v>6.5420560747663628E-2</v>
      </c>
    </row>
    <row r="113" spans="1:6" x14ac:dyDescent="0.35">
      <c r="A113" s="28" t="s">
        <v>325</v>
      </c>
      <c r="B113" s="28" t="s">
        <v>403</v>
      </c>
      <c r="C113" s="31" t="s">
        <v>389</v>
      </c>
      <c r="D113" s="10">
        <f>(0.000231-0.000232)/0.000232</f>
        <v>-4.3103448275861947E-3</v>
      </c>
      <c r="E113" s="31" t="s">
        <v>403</v>
      </c>
      <c r="F113" s="10">
        <f>(0.000232-0.000232)/0.000232</f>
        <v>0</v>
      </c>
    </row>
    <row r="114" spans="1:6" x14ac:dyDescent="0.35">
      <c r="A114" s="28" t="s">
        <v>16</v>
      </c>
      <c r="B114" s="28" t="s">
        <v>16</v>
      </c>
      <c r="C114" s="31" t="s">
        <v>16</v>
      </c>
      <c r="E114" s="31" t="s">
        <v>16</v>
      </c>
    </row>
    <row r="115" spans="1:6" x14ac:dyDescent="0.35">
      <c r="A115" s="28" t="s">
        <v>326</v>
      </c>
      <c r="B115" s="28" t="s">
        <v>431</v>
      </c>
      <c r="C115" s="31" t="s">
        <v>399</v>
      </c>
      <c r="E115" s="31" t="s">
        <v>727</v>
      </c>
    </row>
    <row r="116" spans="1:6" x14ac:dyDescent="0.35">
      <c r="A116" s="28" t="s">
        <v>327</v>
      </c>
      <c r="B116" s="28" t="s">
        <v>327</v>
      </c>
      <c r="C116" s="31" t="s">
        <v>327</v>
      </c>
      <c r="E116" s="31" t="s">
        <v>327</v>
      </c>
    </row>
    <row r="117" spans="1:6" ht="15" thickBot="1" x14ac:dyDescent="0.4">
      <c r="A117" s="29" t="s">
        <v>18</v>
      </c>
      <c r="B117" s="29" t="s">
        <v>18</v>
      </c>
      <c r="C117" s="32" t="s">
        <v>18</v>
      </c>
      <c r="E117" s="32" t="s">
        <v>18</v>
      </c>
    </row>
    <row r="121" spans="1:6" s="43" customFormat="1" x14ac:dyDescent="0.35">
      <c r="C121" s="43" t="s">
        <v>790</v>
      </c>
      <c r="D121" s="10">
        <f>((ABS(D17)+ABS(D40)+ABS(D63)+ABS(D86)+ABS(D109))/5)</f>
        <v>8.4981249626989023E-4</v>
      </c>
      <c r="E121"/>
      <c r="F121" s="10">
        <f>((ABS(F17)+ABS(F40)+ABS(F63)+ABS(F86)+ABS(F109))/5)</f>
        <v>1.0960912306261308E-2</v>
      </c>
    </row>
    <row r="122" spans="1:6" s="43" customFormat="1" x14ac:dyDescent="0.35">
      <c r="C122" s="43" t="s">
        <v>795</v>
      </c>
      <c r="D122" s="10">
        <f>((ABS(D18)+ABS(D41)+ABS(D64)+ABS(D87)+ABS(D110))/5)</f>
        <v>0</v>
      </c>
      <c r="E122"/>
      <c r="F122" s="10">
        <f>((ABS(F18)+ABS(F41)+ABS(F64)+ABS(F87)+ABS(F110))/5)</f>
        <v>0</v>
      </c>
    </row>
    <row r="123" spans="1:6" s="43" customFormat="1" x14ac:dyDescent="0.35">
      <c r="C123" s="43" t="s">
        <v>794</v>
      </c>
      <c r="D123" s="10">
        <f>((ABS(D19)+ABS(D42)+ABS(D65)+ABS(D88)+ABS(D111))/5)</f>
        <v>2.1622322886169284E-6</v>
      </c>
      <c r="E123"/>
      <c r="F123" s="10">
        <f>((ABS(F19)+ABS(F42)+ABS(F65)+ABS(F88)+ABS(F111))/5)</f>
        <v>3.2777904991620728E-3</v>
      </c>
    </row>
    <row r="124" spans="1:6" s="43" customFormat="1" x14ac:dyDescent="0.35">
      <c r="C124" s="43" t="s">
        <v>791</v>
      </c>
      <c r="D124" s="10">
        <f>((ABS(D20)+ABS(D43)+ABS(D66)+ABS(D89)+ABS(D112))/5)</f>
        <v>7.4811115964831974E-3</v>
      </c>
      <c r="E124"/>
      <c r="F124" s="10">
        <f>((ABS(F20)+ABS(F43)+ABS(F66)+ABS(F89)+ABS(F112))/5)</f>
        <v>5.2179193928779996E-2</v>
      </c>
    </row>
    <row r="125" spans="1:6" s="43" customFormat="1" x14ac:dyDescent="0.35">
      <c r="C125" s="43" t="s">
        <v>792</v>
      </c>
      <c r="D125" s="10">
        <f>((ABS(D21)+ABS(D44)+ABS(D67)+ABS(D90)+ABS(D113))/5)</f>
        <v>9.5098641275351693E-4</v>
      </c>
      <c r="E125"/>
      <c r="F125" s="10">
        <f>((ABS(F21)+ABS(F44)+ABS(F67)+ABS(F90)+ABS(F113))/5)</f>
        <v>2.2786058609915037E-3</v>
      </c>
    </row>
    <row r="127" spans="1:6" x14ac:dyDescent="0.35">
      <c r="C127" t="s">
        <v>451</v>
      </c>
    </row>
    <row r="128" spans="1:6" x14ac:dyDescent="0.35">
      <c r="C128" t="s">
        <v>452</v>
      </c>
    </row>
    <row r="129" spans="3:3" x14ac:dyDescent="0.35">
      <c r="C129" t="s">
        <v>603</v>
      </c>
    </row>
    <row r="130" spans="3:3" x14ac:dyDescent="0.35">
      <c r="C130" t="s">
        <v>604</v>
      </c>
    </row>
    <row r="132" spans="3:3" x14ac:dyDescent="0.35">
      <c r="C132" t="s">
        <v>496</v>
      </c>
    </row>
    <row r="133" spans="3:3" x14ac:dyDescent="0.35">
      <c r="C133" t="s">
        <v>497</v>
      </c>
    </row>
    <row r="134" spans="3:3" x14ac:dyDescent="0.35">
      <c r="C134" t="s">
        <v>407</v>
      </c>
    </row>
    <row r="135" spans="3:3" x14ac:dyDescent="0.35">
      <c r="C135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F73B-9622-4092-BBFE-D431281D4C70}">
  <dimension ref="A1:F95"/>
  <sheetViews>
    <sheetView workbookViewId="0">
      <selection activeCell="B108" sqref="B108"/>
    </sheetView>
  </sheetViews>
  <sheetFormatPr defaultRowHeight="14.5" x14ac:dyDescent="0.35"/>
  <cols>
    <col min="1" max="2" width="66.453125" style="3" customWidth="1"/>
    <col min="3" max="3" width="66.6328125" style="3" customWidth="1"/>
    <col min="4" max="4" width="17.1796875" style="45" customWidth="1"/>
    <col min="5" max="5" width="68.6328125" style="3" customWidth="1"/>
    <col min="6" max="6" width="17.1796875" style="45" customWidth="1"/>
    <col min="7" max="16384" width="8.7265625" style="3"/>
  </cols>
  <sheetData>
    <row r="1" spans="1:6" s="2" customFormat="1" ht="73" thickBot="1" x14ac:dyDescent="0.4">
      <c r="A1" s="33" t="s">
        <v>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</row>
    <row r="2" spans="1:6" x14ac:dyDescent="0.35">
      <c r="A2" s="6" t="s">
        <v>58</v>
      </c>
      <c r="B2" s="6" t="s">
        <v>58</v>
      </c>
      <c r="C2" s="6" t="s">
        <v>79</v>
      </c>
      <c r="D2" s="50"/>
      <c r="E2" s="6" t="s">
        <v>79</v>
      </c>
      <c r="F2" s="50"/>
    </row>
    <row r="3" spans="1:6" ht="145" x14ac:dyDescent="0.35">
      <c r="A3" s="7" t="s">
        <v>59</v>
      </c>
      <c r="B3" s="7" t="s">
        <v>438</v>
      </c>
      <c r="C3" s="7" t="s">
        <v>733</v>
      </c>
      <c r="D3" s="18"/>
      <c r="E3" s="7" t="s">
        <v>733</v>
      </c>
      <c r="F3" s="18"/>
    </row>
    <row r="4" spans="1:6" ht="87" x14ac:dyDescent="0.35">
      <c r="A4" s="7" t="s">
        <v>60</v>
      </c>
      <c r="B4" s="7"/>
      <c r="C4" s="7"/>
      <c r="D4" s="18"/>
      <c r="E4" s="7"/>
      <c r="F4" s="18"/>
    </row>
    <row r="5" spans="1:6" x14ac:dyDescent="0.35">
      <c r="A5" s="7"/>
      <c r="B5" s="7"/>
      <c r="C5" s="7"/>
      <c r="D5" s="18"/>
      <c r="E5" s="7"/>
      <c r="F5" s="18"/>
    </row>
    <row r="6" spans="1:6" x14ac:dyDescent="0.35">
      <c r="A6" s="7" t="s">
        <v>61</v>
      </c>
      <c r="B6" s="7" t="s">
        <v>61</v>
      </c>
      <c r="C6" s="7" t="s">
        <v>61</v>
      </c>
      <c r="D6" s="18"/>
      <c r="E6" s="7" t="s">
        <v>61</v>
      </c>
      <c r="F6" s="18"/>
    </row>
    <row r="7" spans="1:6" x14ac:dyDescent="0.35">
      <c r="A7" s="7" t="s">
        <v>62</v>
      </c>
      <c r="B7" s="7" t="s">
        <v>62</v>
      </c>
      <c r="C7" s="7" t="s">
        <v>62</v>
      </c>
      <c r="D7" s="18"/>
      <c r="E7" s="7" t="s">
        <v>62</v>
      </c>
      <c r="F7" s="18"/>
    </row>
    <row r="8" spans="1:6" x14ac:dyDescent="0.35">
      <c r="A8" s="7" t="s">
        <v>63</v>
      </c>
      <c r="B8" s="7" t="s">
        <v>63</v>
      </c>
      <c r="C8" s="7" t="s">
        <v>63</v>
      </c>
      <c r="D8" s="18"/>
      <c r="E8" s="7" t="s">
        <v>63</v>
      </c>
      <c r="F8" s="18"/>
    </row>
    <row r="9" spans="1:6" x14ac:dyDescent="0.35">
      <c r="A9" s="7" t="s">
        <v>64</v>
      </c>
      <c r="B9" s="7" t="s">
        <v>64</v>
      </c>
      <c r="C9" s="7" t="s">
        <v>80</v>
      </c>
      <c r="D9" s="18"/>
      <c r="E9" s="7" t="s">
        <v>80</v>
      </c>
      <c r="F9" s="18"/>
    </row>
    <row r="10" spans="1:6" x14ac:dyDescent="0.35">
      <c r="A10" s="7" t="s">
        <v>65</v>
      </c>
      <c r="B10" s="7" t="s">
        <v>65</v>
      </c>
      <c r="C10" s="7" t="s">
        <v>65</v>
      </c>
      <c r="D10" s="18"/>
      <c r="E10" s="7" t="s">
        <v>65</v>
      </c>
      <c r="F10" s="18"/>
    </row>
    <row r="11" spans="1:6" x14ac:dyDescent="0.35">
      <c r="A11" s="7" t="s">
        <v>66</v>
      </c>
      <c r="B11" s="7" t="s">
        <v>66</v>
      </c>
      <c r="C11" s="7" t="s">
        <v>66</v>
      </c>
      <c r="D11" s="18"/>
      <c r="E11" s="7" t="s">
        <v>66</v>
      </c>
      <c r="F11" s="18"/>
    </row>
    <row r="12" spans="1:6" x14ac:dyDescent="0.35">
      <c r="A12" s="7" t="s">
        <v>6</v>
      </c>
      <c r="B12" s="7" t="s">
        <v>6</v>
      </c>
      <c r="C12" s="7" t="s">
        <v>6</v>
      </c>
      <c r="D12" s="18"/>
      <c r="E12" s="7" t="s">
        <v>6</v>
      </c>
      <c r="F12" s="18"/>
    </row>
    <row r="13" spans="1:6" x14ac:dyDescent="0.35">
      <c r="A13" s="7" t="s">
        <v>7</v>
      </c>
      <c r="B13" s="7" t="s">
        <v>7</v>
      </c>
      <c r="C13" s="7" t="s">
        <v>7</v>
      </c>
      <c r="D13" s="18"/>
      <c r="E13" s="7" t="s">
        <v>7</v>
      </c>
      <c r="F13" s="18"/>
    </row>
    <row r="14" spans="1:6" x14ac:dyDescent="0.35">
      <c r="A14" s="7" t="s">
        <v>67</v>
      </c>
      <c r="B14" s="7" t="s">
        <v>54</v>
      </c>
      <c r="C14" s="7" t="s">
        <v>54</v>
      </c>
      <c r="D14" s="18"/>
      <c r="E14" s="7" t="s">
        <v>54</v>
      </c>
      <c r="F14" s="18"/>
    </row>
    <row r="15" spans="1:6" x14ac:dyDescent="0.35">
      <c r="A15" s="7" t="s">
        <v>68</v>
      </c>
      <c r="B15" s="7" t="s">
        <v>9</v>
      </c>
      <c r="C15" s="7" t="s">
        <v>9</v>
      </c>
      <c r="D15" s="18"/>
      <c r="E15" s="7" t="s">
        <v>9</v>
      </c>
      <c r="F15" s="18"/>
    </row>
    <row r="16" spans="1:6" x14ac:dyDescent="0.35">
      <c r="A16" s="7" t="s">
        <v>10</v>
      </c>
      <c r="B16" s="7" t="s">
        <v>55</v>
      </c>
      <c r="C16" s="7" t="s">
        <v>55</v>
      </c>
      <c r="D16" s="18"/>
      <c r="E16" s="7" t="s">
        <v>55</v>
      </c>
      <c r="F16" s="18"/>
    </row>
    <row r="17" spans="1:6" ht="29" x14ac:dyDescent="0.35">
      <c r="A17" s="7" t="s">
        <v>11</v>
      </c>
      <c r="B17" s="7" t="s">
        <v>402</v>
      </c>
      <c r="C17" s="7" t="s">
        <v>56</v>
      </c>
      <c r="D17" s="18"/>
      <c r="E17" s="7" t="s">
        <v>56</v>
      </c>
      <c r="F17" s="18"/>
    </row>
    <row r="18" spans="1:6" ht="29" x14ac:dyDescent="0.35">
      <c r="A18" s="7" t="s">
        <v>12</v>
      </c>
      <c r="B18" s="7" t="s">
        <v>410</v>
      </c>
      <c r="C18" s="7" t="s">
        <v>57</v>
      </c>
      <c r="D18" s="18"/>
      <c r="E18" s="7" t="s">
        <v>57</v>
      </c>
      <c r="F18" s="18"/>
    </row>
    <row r="19" spans="1:6" x14ac:dyDescent="0.35">
      <c r="A19" s="7" t="s">
        <v>69</v>
      </c>
      <c r="B19" s="7" t="s">
        <v>439</v>
      </c>
      <c r="C19" s="7" t="s">
        <v>540</v>
      </c>
      <c r="D19" s="18">
        <f>(0.132911-0.132705)/0.132705</f>
        <v>1.5523152857843468E-3</v>
      </c>
      <c r="E19" s="7" t="s">
        <v>728</v>
      </c>
      <c r="F19" s="18">
        <f>(0.13697-0.132705)/0.132705</f>
        <v>3.213895482461112E-2</v>
      </c>
    </row>
    <row r="20" spans="1:6" x14ac:dyDescent="0.35">
      <c r="A20" s="7" t="s">
        <v>70</v>
      </c>
      <c r="B20" s="7" t="s">
        <v>440</v>
      </c>
      <c r="C20" s="7" t="s">
        <v>541</v>
      </c>
      <c r="D20" s="18">
        <f>(0.031557333-0.031606128)/0.031606128</f>
        <v>-1.5438461807152498E-3</v>
      </c>
      <c r="E20" s="7" t="s">
        <v>729</v>
      </c>
      <c r="F20" s="18">
        <f>(0.030622123-0.031606128)/0.031606128</f>
        <v>-3.1133361226658204E-2</v>
      </c>
    </row>
    <row r="21" spans="1:6" x14ac:dyDescent="0.35">
      <c r="A21" s="7" t="s">
        <v>71</v>
      </c>
      <c r="B21" s="7" t="s">
        <v>71</v>
      </c>
      <c r="C21" s="7" t="s">
        <v>71</v>
      </c>
      <c r="D21" s="18">
        <v>0</v>
      </c>
      <c r="E21" s="7" t="s">
        <v>71</v>
      </c>
      <c r="F21" s="18">
        <v>0</v>
      </c>
    </row>
    <row r="22" spans="1:6" x14ac:dyDescent="0.35">
      <c r="A22" s="7" t="s">
        <v>72</v>
      </c>
      <c r="B22" s="7" t="s">
        <v>441</v>
      </c>
      <c r="C22" s="7" t="s">
        <v>542</v>
      </c>
      <c r="D22" s="18">
        <f>(0.072358-0.072049)/0.072049</f>
        <v>4.2887479354328821E-3</v>
      </c>
      <c r="E22" s="7" t="s">
        <v>730</v>
      </c>
      <c r="F22" s="18">
        <f>(0.07636-0.072049)/0.072049</f>
        <v>5.983427944870845E-2</v>
      </c>
    </row>
    <row r="23" spans="1:6" x14ac:dyDescent="0.35">
      <c r="A23" s="7" t="s">
        <v>73</v>
      </c>
      <c r="B23" s="7" t="s">
        <v>442</v>
      </c>
      <c r="C23" s="7" t="s">
        <v>543</v>
      </c>
      <c r="D23" s="18">
        <f>(0.06052-0.060624)/0.060624</f>
        <v>-1.7154922143045646E-3</v>
      </c>
      <c r="E23" s="7" t="s">
        <v>731</v>
      </c>
      <c r="F23" s="18">
        <f>(0.060577-0.060624)/0.060624</f>
        <v>-7.7527051992607604E-4</v>
      </c>
    </row>
    <row r="24" spans="1:6" x14ac:dyDescent="0.35">
      <c r="A24" s="7" t="s">
        <v>74</v>
      </c>
      <c r="B24" s="7" t="s">
        <v>74</v>
      </c>
      <c r="C24" s="7" t="s">
        <v>74</v>
      </c>
      <c r="D24" s="18">
        <f>(0.000032-0.000032)/0.000032</f>
        <v>0</v>
      </c>
      <c r="E24" s="7" t="s">
        <v>74</v>
      </c>
      <c r="F24" s="18">
        <f>(0.000032-0.000032)/0.000032</f>
        <v>0</v>
      </c>
    </row>
    <row r="25" spans="1:6" x14ac:dyDescent="0.35">
      <c r="A25" s="7" t="s">
        <v>16</v>
      </c>
      <c r="B25" s="7" t="s">
        <v>16</v>
      </c>
      <c r="C25" s="7" t="s">
        <v>16</v>
      </c>
      <c r="D25" s="18"/>
      <c r="E25" s="7" t="s">
        <v>16</v>
      </c>
      <c r="F25" s="18"/>
    </row>
    <row r="26" spans="1:6" x14ac:dyDescent="0.35">
      <c r="A26" s="7" t="s">
        <v>75</v>
      </c>
      <c r="B26" s="7" t="s">
        <v>443</v>
      </c>
      <c r="C26" s="7" t="s">
        <v>544</v>
      </c>
      <c r="D26" s="18"/>
      <c r="E26" s="7" t="s">
        <v>732</v>
      </c>
      <c r="F26" s="18"/>
    </row>
    <row r="27" spans="1:6" x14ac:dyDescent="0.35">
      <c r="A27" s="7" t="s">
        <v>76</v>
      </c>
      <c r="B27" s="7" t="s">
        <v>76</v>
      </c>
      <c r="C27" s="7" t="s">
        <v>76</v>
      </c>
      <c r="D27" s="18"/>
      <c r="E27" s="7" t="s">
        <v>76</v>
      </c>
      <c r="F27" s="18"/>
    </row>
    <row r="28" spans="1:6" x14ac:dyDescent="0.35">
      <c r="A28" s="7" t="s">
        <v>77</v>
      </c>
      <c r="B28" s="7" t="s">
        <v>77</v>
      </c>
      <c r="C28" s="7" t="s">
        <v>77</v>
      </c>
      <c r="D28" s="47"/>
      <c r="E28" s="7" t="s">
        <v>77</v>
      </c>
      <c r="F28" s="47"/>
    </row>
    <row r="29" spans="1:6" ht="15" thickBot="1" x14ac:dyDescent="0.4">
      <c r="A29" s="8" t="s">
        <v>78</v>
      </c>
      <c r="B29" s="8" t="s">
        <v>78</v>
      </c>
      <c r="C29" s="8" t="s">
        <v>78</v>
      </c>
      <c r="D29" s="48"/>
      <c r="E29" s="8" t="s">
        <v>78</v>
      </c>
      <c r="F29" s="48"/>
    </row>
    <row r="30" spans="1:6" ht="15" thickBot="1" x14ac:dyDescent="0.4"/>
    <row r="31" spans="1:6" x14ac:dyDescent="0.35">
      <c r="B31" s="6" t="s">
        <v>255</v>
      </c>
      <c r="C31" s="6" t="s">
        <v>275</v>
      </c>
      <c r="D31" s="46"/>
      <c r="E31" s="6" t="s">
        <v>275</v>
      </c>
      <c r="F31" s="46"/>
    </row>
    <row r="32" spans="1:6" x14ac:dyDescent="0.35">
      <c r="B32" s="7"/>
      <c r="C32" s="7"/>
      <c r="D32" s="47"/>
      <c r="E32" s="7"/>
      <c r="F32" s="47"/>
    </row>
    <row r="33" spans="2:6" x14ac:dyDescent="0.35">
      <c r="B33" s="7" t="s">
        <v>664</v>
      </c>
      <c r="C33" s="7" t="s">
        <v>61</v>
      </c>
      <c r="D33" s="47"/>
      <c r="E33" s="7" t="s">
        <v>61</v>
      </c>
      <c r="F33" s="47"/>
    </row>
    <row r="34" spans="2:6" x14ac:dyDescent="0.35">
      <c r="B34" s="7" t="s">
        <v>62</v>
      </c>
      <c r="C34" s="7" t="s">
        <v>62</v>
      </c>
      <c r="D34" s="47"/>
      <c r="E34" s="7" t="s">
        <v>62</v>
      </c>
      <c r="F34" s="47"/>
    </row>
    <row r="35" spans="2:6" x14ac:dyDescent="0.35">
      <c r="B35" s="7" t="s">
        <v>63</v>
      </c>
      <c r="C35" s="7" t="s">
        <v>63</v>
      </c>
      <c r="D35" s="47"/>
      <c r="E35" s="7" t="s">
        <v>63</v>
      </c>
      <c r="F35" s="47"/>
    </row>
    <row r="36" spans="2:6" x14ac:dyDescent="0.35">
      <c r="B36" s="7" t="s">
        <v>657</v>
      </c>
      <c r="C36" s="7" t="s">
        <v>665</v>
      </c>
      <c r="D36" s="47"/>
      <c r="E36" s="7" t="s">
        <v>665</v>
      </c>
      <c r="F36" s="47"/>
    </row>
    <row r="37" spans="2:6" x14ac:dyDescent="0.35">
      <c r="B37" s="7" t="s">
        <v>65</v>
      </c>
      <c r="C37" s="7" t="s">
        <v>65</v>
      </c>
      <c r="D37" s="47"/>
      <c r="E37" s="7" t="s">
        <v>65</v>
      </c>
      <c r="F37" s="47"/>
    </row>
    <row r="38" spans="2:6" x14ac:dyDescent="0.35">
      <c r="B38" s="7" t="s">
        <v>66</v>
      </c>
      <c r="C38" s="7" t="s">
        <v>66</v>
      </c>
      <c r="D38" s="26"/>
      <c r="E38" s="7" t="s">
        <v>66</v>
      </c>
      <c r="F38" s="26"/>
    </row>
    <row r="39" spans="2:6" x14ac:dyDescent="0.35">
      <c r="B39" s="7" t="s">
        <v>6</v>
      </c>
      <c r="C39" s="7" t="s">
        <v>6</v>
      </c>
      <c r="D39" s="47"/>
      <c r="E39" s="7" t="s">
        <v>6</v>
      </c>
      <c r="F39" s="47"/>
    </row>
    <row r="40" spans="2:6" x14ac:dyDescent="0.35">
      <c r="B40" s="7" t="s">
        <v>7</v>
      </c>
      <c r="C40" s="7" t="s">
        <v>7</v>
      </c>
      <c r="D40" s="47"/>
      <c r="E40" s="7" t="s">
        <v>7</v>
      </c>
      <c r="F40" s="47"/>
    </row>
    <row r="41" spans="2:6" x14ac:dyDescent="0.35">
      <c r="B41" s="7" t="s">
        <v>54</v>
      </c>
      <c r="C41" s="7" t="s">
        <v>54</v>
      </c>
      <c r="D41" s="47"/>
      <c r="E41" s="7" t="s">
        <v>54</v>
      </c>
      <c r="F41" s="47"/>
    </row>
    <row r="42" spans="2:6" x14ac:dyDescent="0.35">
      <c r="B42" s="7" t="s">
        <v>9</v>
      </c>
      <c r="C42" s="7" t="s">
        <v>9</v>
      </c>
      <c r="D42" s="47"/>
      <c r="E42" s="7" t="s">
        <v>9</v>
      </c>
      <c r="F42" s="47"/>
    </row>
    <row r="43" spans="2:6" x14ac:dyDescent="0.35">
      <c r="B43" s="7" t="s">
        <v>55</v>
      </c>
      <c r="C43" s="7" t="s">
        <v>55</v>
      </c>
      <c r="D43" s="47"/>
      <c r="E43" s="7" t="s">
        <v>55</v>
      </c>
      <c r="F43" s="47"/>
    </row>
    <row r="44" spans="2:6" ht="29" x14ac:dyDescent="0.35">
      <c r="B44" s="7" t="s">
        <v>402</v>
      </c>
      <c r="C44" s="7" t="s">
        <v>56</v>
      </c>
      <c r="D44" s="47"/>
      <c r="E44" s="7" t="s">
        <v>56</v>
      </c>
      <c r="F44" s="47"/>
    </row>
    <row r="45" spans="2:6" ht="29" x14ac:dyDescent="0.35">
      <c r="B45" s="7" t="s">
        <v>410</v>
      </c>
      <c r="C45" s="7" t="s">
        <v>57</v>
      </c>
      <c r="D45" s="47"/>
      <c r="E45" s="7" t="s">
        <v>57</v>
      </c>
      <c r="F45" s="47"/>
    </row>
    <row r="46" spans="2:6" x14ac:dyDescent="0.35">
      <c r="B46" s="7" t="s">
        <v>658</v>
      </c>
      <c r="C46" s="7" t="s">
        <v>666</v>
      </c>
      <c r="D46" s="18">
        <f>(0.441037-0.441979)/0.441979</f>
        <v>-2.1313229814086151E-3</v>
      </c>
      <c r="E46" s="7" t="s">
        <v>734</v>
      </c>
      <c r="F46" s="18">
        <f>(0.444865-0.441979)/0.441979</f>
        <v>6.5297220003665323E-3</v>
      </c>
    </row>
    <row r="47" spans="2:6" x14ac:dyDescent="0.35">
      <c r="B47" s="7" t="s">
        <v>659</v>
      </c>
      <c r="C47" s="7" t="s">
        <v>667</v>
      </c>
      <c r="D47" s="18">
        <f>(0.009510094-0.009489834)/0.009489834</f>
        <v>2.1349161639707685E-3</v>
      </c>
      <c r="E47" s="7" t="s">
        <v>735</v>
      </c>
      <c r="F47" s="18">
        <f>(0.009428268-0.009489834)/0.009489834</f>
        <v>-6.487573965993582E-3</v>
      </c>
    </row>
    <row r="48" spans="2:6" x14ac:dyDescent="0.35">
      <c r="B48" s="7" t="s">
        <v>660</v>
      </c>
      <c r="C48" s="7" t="s">
        <v>668</v>
      </c>
      <c r="D48" s="18">
        <f>(0.440801-0.44174)/0.44174</f>
        <v>-2.1256847919591234E-3</v>
      </c>
      <c r="E48" s="7" t="s">
        <v>736</v>
      </c>
      <c r="F48" s="18">
        <f>(0.444611-0.44174)/0.44174</f>
        <v>6.4992982297277964E-3</v>
      </c>
    </row>
    <row r="49" spans="2:6" x14ac:dyDescent="0.35">
      <c r="B49" s="7" t="s">
        <v>661</v>
      </c>
      <c r="C49" s="7" t="s">
        <v>669</v>
      </c>
      <c r="D49" s="18">
        <f>(0.000236-0.000238)/0.000238</f>
        <v>-8.403361344537905E-3</v>
      </c>
      <c r="E49" s="7" t="s">
        <v>737</v>
      </c>
      <c r="F49" s="18">
        <f>(0.000253-0.000238)/0.000238</f>
        <v>6.3025210084033667E-2</v>
      </c>
    </row>
    <row r="50" spans="2:6" x14ac:dyDescent="0.35">
      <c r="B50" s="7" t="s">
        <v>16</v>
      </c>
      <c r="C50" s="7" t="s">
        <v>16</v>
      </c>
      <c r="D50" s="18"/>
      <c r="E50" s="7" t="s">
        <v>16</v>
      </c>
      <c r="F50" s="18"/>
    </row>
    <row r="51" spans="2:6" x14ac:dyDescent="0.35">
      <c r="B51" s="7" t="s">
        <v>662</v>
      </c>
      <c r="C51" s="7" t="s">
        <v>670</v>
      </c>
      <c r="D51" s="18"/>
      <c r="E51" s="7" t="s">
        <v>738</v>
      </c>
      <c r="F51" s="18"/>
    </row>
    <row r="52" spans="2:6" x14ac:dyDescent="0.35">
      <c r="B52" s="7" t="s">
        <v>663</v>
      </c>
      <c r="C52" s="7" t="s">
        <v>663</v>
      </c>
      <c r="D52" s="47"/>
      <c r="E52" s="7" t="s">
        <v>663</v>
      </c>
      <c r="F52" s="47"/>
    </row>
    <row r="53" spans="2:6" x14ac:dyDescent="0.35">
      <c r="B53" s="7" t="s">
        <v>78</v>
      </c>
      <c r="C53" s="7" t="s">
        <v>78</v>
      </c>
      <c r="D53" s="47"/>
      <c r="E53" s="7" t="s">
        <v>78</v>
      </c>
      <c r="F53" s="47"/>
    </row>
    <row r="54" spans="2:6" x14ac:dyDescent="0.35">
      <c r="B54" s="7"/>
      <c r="C54" s="7"/>
      <c r="D54" s="47"/>
      <c r="E54" s="7"/>
      <c r="F54" s="47"/>
    </row>
    <row r="55" spans="2:6" x14ac:dyDescent="0.35">
      <c r="B55" s="7"/>
      <c r="C55" s="7"/>
      <c r="D55" s="47"/>
      <c r="E55" s="7"/>
      <c r="F55" s="47"/>
    </row>
    <row r="56" spans="2:6" x14ac:dyDescent="0.35">
      <c r="B56" s="7"/>
      <c r="C56" s="7"/>
      <c r="D56" s="47"/>
      <c r="E56" s="7"/>
      <c r="F56" s="47"/>
    </row>
    <row r="57" spans="2:6" x14ac:dyDescent="0.35">
      <c r="B57" s="7"/>
      <c r="C57" s="7"/>
      <c r="D57" s="26"/>
      <c r="E57" s="7"/>
      <c r="F57" s="26"/>
    </row>
    <row r="58" spans="2:6" ht="15" thickBot="1" x14ac:dyDescent="0.4">
      <c r="B58" s="8"/>
      <c r="C58" s="8"/>
      <c r="D58" s="48"/>
      <c r="E58" s="8"/>
      <c r="F58" s="48"/>
    </row>
    <row r="60" spans="2:6" x14ac:dyDescent="0.35">
      <c r="C60" s="3" t="s">
        <v>451</v>
      </c>
    </row>
    <row r="61" spans="2:6" x14ac:dyDescent="0.35">
      <c r="C61" s="3" t="s">
        <v>452</v>
      </c>
    </row>
    <row r="62" spans="2:6" x14ac:dyDescent="0.35">
      <c r="C62" s="3" t="s">
        <v>603</v>
      </c>
    </row>
    <row r="63" spans="2:6" x14ac:dyDescent="0.35">
      <c r="C63" s="3" t="s">
        <v>604</v>
      </c>
    </row>
    <row r="65" spans="3:6" x14ac:dyDescent="0.35">
      <c r="C65" s="3" t="s">
        <v>496</v>
      </c>
    </row>
    <row r="66" spans="3:6" x14ac:dyDescent="0.35">
      <c r="C66" s="3" t="s">
        <v>497</v>
      </c>
    </row>
    <row r="67" spans="3:6" x14ac:dyDescent="0.35">
      <c r="C67" s="3" t="s">
        <v>407</v>
      </c>
    </row>
    <row r="68" spans="3:6" x14ac:dyDescent="0.35">
      <c r="C68" s="3" t="s">
        <v>408</v>
      </c>
    </row>
    <row r="71" spans="3:6" x14ac:dyDescent="0.35">
      <c r="C71" s="3" t="s">
        <v>796</v>
      </c>
      <c r="D71" s="45">
        <f>ABS(D19)</f>
        <v>1.5523152857843468E-3</v>
      </c>
      <c r="F71" s="45">
        <f>ABS(F19)</f>
        <v>3.213895482461112E-2</v>
      </c>
    </row>
    <row r="72" spans="3:6" x14ac:dyDescent="0.35">
      <c r="C72" s="3" t="s">
        <v>797</v>
      </c>
      <c r="D72" s="45">
        <f t="shared" ref="D72:D76" si="0">ABS(D20)</f>
        <v>1.5438461807152498E-3</v>
      </c>
      <c r="F72" s="45">
        <f>ABS(F20)</f>
        <v>3.1133361226658204E-2</v>
      </c>
    </row>
    <row r="73" spans="3:6" x14ac:dyDescent="0.35">
      <c r="C73" s="3" t="s">
        <v>795</v>
      </c>
      <c r="D73" s="45">
        <f t="shared" si="0"/>
        <v>0</v>
      </c>
      <c r="F73" s="45">
        <f t="shared" ref="F73:F76" si="1">ABS(F21)</f>
        <v>0</v>
      </c>
    </row>
    <row r="74" spans="3:6" x14ac:dyDescent="0.35">
      <c r="C74" s="3" t="s">
        <v>794</v>
      </c>
      <c r="D74" s="45">
        <f t="shared" si="0"/>
        <v>4.2887479354328821E-3</v>
      </c>
      <c r="F74" s="45">
        <f t="shared" si="1"/>
        <v>5.983427944870845E-2</v>
      </c>
    </row>
    <row r="75" spans="3:6" x14ac:dyDescent="0.35">
      <c r="C75" s="3" t="s">
        <v>791</v>
      </c>
      <c r="D75" s="45">
        <f t="shared" si="0"/>
        <v>1.7154922143045646E-3</v>
      </c>
      <c r="F75" s="45">
        <f t="shared" si="1"/>
        <v>7.7527051992607604E-4</v>
      </c>
    </row>
    <row r="76" spans="3:6" x14ac:dyDescent="0.35">
      <c r="C76" s="3" t="s">
        <v>792</v>
      </c>
      <c r="D76" s="45">
        <f t="shared" si="0"/>
        <v>0</v>
      </c>
      <c r="F76" s="45">
        <f t="shared" si="1"/>
        <v>0</v>
      </c>
    </row>
    <row r="78" spans="3:6" x14ac:dyDescent="0.35">
      <c r="C78" s="3" t="s">
        <v>796</v>
      </c>
      <c r="D78" s="45">
        <f>ABS(D46)</f>
        <v>2.1313229814086151E-3</v>
      </c>
      <c r="F78" s="45">
        <f>ABS(F46)</f>
        <v>6.5297220003665323E-3</v>
      </c>
    </row>
    <row r="79" spans="3:6" x14ac:dyDescent="0.35">
      <c r="C79" s="3" t="s">
        <v>797</v>
      </c>
      <c r="D79" s="45">
        <f t="shared" ref="D79:D81" si="2">ABS(D47)</f>
        <v>2.1349161639707685E-3</v>
      </c>
      <c r="F79" s="45">
        <f>ABS(F47)</f>
        <v>6.487573965993582E-3</v>
      </c>
    </row>
    <row r="80" spans="3:6" x14ac:dyDescent="0.35">
      <c r="C80" s="3" t="s">
        <v>791</v>
      </c>
      <c r="D80" s="45">
        <f t="shared" si="2"/>
        <v>2.1256847919591234E-3</v>
      </c>
      <c r="F80" s="45">
        <f>ABS(F48)</f>
        <v>6.4992982297277964E-3</v>
      </c>
    </row>
    <row r="81" spans="3:6" x14ac:dyDescent="0.35">
      <c r="C81" s="3" t="s">
        <v>792</v>
      </c>
      <c r="D81" s="45">
        <f t="shared" si="2"/>
        <v>8.403361344537905E-3</v>
      </c>
      <c r="F81" s="45">
        <f>ABS(F49)</f>
        <v>6.3025210084033667E-2</v>
      </c>
    </row>
    <row r="95" spans="3:6" x14ac:dyDescent="0.35">
      <c r="D95" s="5"/>
      <c r="F9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4735-6D29-4265-872A-9C3530A0CF4E}">
  <dimension ref="A1:O72"/>
  <sheetViews>
    <sheetView topLeftCell="D16" workbookViewId="0">
      <selection activeCell="U15" sqref="U15"/>
    </sheetView>
  </sheetViews>
  <sheetFormatPr defaultRowHeight="14.5" x14ac:dyDescent="0.35"/>
  <cols>
    <col min="1" max="1" width="64.08984375" style="3" customWidth="1"/>
    <col min="2" max="2" width="61.08984375" style="3" customWidth="1"/>
    <col min="3" max="3" width="66.453125" style="3" customWidth="1"/>
    <col min="4" max="4" width="64.08984375" style="3" customWidth="1"/>
    <col min="5" max="6" width="12.26953125" style="4" customWidth="1"/>
    <col min="7" max="7" width="66.90625" style="3" customWidth="1"/>
    <col min="8" max="9" width="12.26953125" style="4" customWidth="1"/>
    <col min="10" max="11" width="8.7265625" style="3"/>
    <col min="12" max="12" width="11.08984375" style="3" customWidth="1"/>
    <col min="13" max="16384" width="8.7265625" style="3"/>
  </cols>
  <sheetData>
    <row r="1" spans="1:9" s="2" customFormat="1" ht="87" customHeight="1" thickBot="1" x14ac:dyDescent="0.4">
      <c r="A1" s="2" t="s">
        <v>235</v>
      </c>
      <c r="B1" s="2" t="s">
        <v>279</v>
      </c>
      <c r="C1" s="33" t="s">
        <v>671</v>
      </c>
      <c r="D1" s="33" t="s">
        <v>673</v>
      </c>
      <c r="E1" s="70" t="s">
        <v>672</v>
      </c>
      <c r="F1" s="71"/>
      <c r="G1" s="33" t="s">
        <v>674</v>
      </c>
      <c r="H1" s="70" t="s">
        <v>672</v>
      </c>
      <c r="I1" s="71"/>
    </row>
    <row r="2" spans="1:9" s="2" customFormat="1" ht="15" thickBot="1" x14ac:dyDescent="0.4">
      <c r="E2" s="44"/>
      <c r="F2" s="44"/>
      <c r="G2" s="3"/>
      <c r="H2" s="44"/>
      <c r="I2" s="44"/>
    </row>
    <row r="3" spans="1:9" x14ac:dyDescent="0.35">
      <c r="A3" s="11" t="s">
        <v>236</v>
      </c>
      <c r="B3" s="55" t="s">
        <v>262</v>
      </c>
      <c r="C3" s="6" t="s">
        <v>262</v>
      </c>
      <c r="D3" s="6" t="s">
        <v>262</v>
      </c>
      <c r="E3" s="60"/>
      <c r="F3" s="61"/>
      <c r="G3" s="35" t="s">
        <v>262</v>
      </c>
      <c r="H3" s="60"/>
      <c r="I3" s="61"/>
    </row>
    <row r="4" spans="1:9" ht="145" x14ac:dyDescent="0.35">
      <c r="A4" s="12" t="s">
        <v>237</v>
      </c>
      <c r="B4" s="56" t="s">
        <v>263</v>
      </c>
      <c r="C4" s="7" t="s">
        <v>405</v>
      </c>
      <c r="D4" s="7" t="s">
        <v>277</v>
      </c>
      <c r="E4" s="62"/>
      <c r="F4" s="41"/>
      <c r="G4" s="36" t="s">
        <v>277</v>
      </c>
      <c r="H4" s="62"/>
      <c r="I4" s="41"/>
    </row>
    <row r="5" spans="1:9" x14ac:dyDescent="0.35">
      <c r="A5" s="12"/>
      <c r="B5" s="56"/>
      <c r="C5" s="7"/>
      <c r="D5" s="7"/>
      <c r="E5" s="62"/>
      <c r="F5" s="41"/>
      <c r="G5" s="36"/>
      <c r="H5" s="62"/>
      <c r="I5" s="41"/>
    </row>
    <row r="6" spans="1:9" x14ac:dyDescent="0.35">
      <c r="A6" s="12" t="s">
        <v>238</v>
      </c>
      <c r="B6" s="56" t="s">
        <v>238</v>
      </c>
      <c r="C6" s="7" t="s">
        <v>238</v>
      </c>
      <c r="D6" s="7" t="s">
        <v>238</v>
      </c>
      <c r="E6" s="62"/>
      <c r="F6" s="41"/>
      <c r="G6" s="36" t="s">
        <v>238</v>
      </c>
      <c r="H6" s="62"/>
      <c r="I6" s="41"/>
    </row>
    <row r="7" spans="1:9" x14ac:dyDescent="0.35">
      <c r="A7" s="12" t="s">
        <v>239</v>
      </c>
      <c r="B7" s="56" t="s">
        <v>239</v>
      </c>
      <c r="C7" s="7" t="s">
        <v>239</v>
      </c>
      <c r="D7" s="7" t="s">
        <v>239</v>
      </c>
      <c r="E7" s="62"/>
      <c r="F7" s="41"/>
      <c r="G7" s="36" t="s">
        <v>239</v>
      </c>
      <c r="H7" s="62"/>
      <c r="I7" s="41"/>
    </row>
    <row r="8" spans="1:9" x14ac:dyDescent="0.35">
      <c r="A8" s="12" t="s">
        <v>238</v>
      </c>
      <c r="B8" s="56" t="s">
        <v>238</v>
      </c>
      <c r="C8" s="7" t="s">
        <v>238</v>
      </c>
      <c r="D8" s="7" t="s">
        <v>238</v>
      </c>
      <c r="E8" s="62"/>
      <c r="F8" s="41"/>
      <c r="G8" s="36" t="s">
        <v>238</v>
      </c>
      <c r="H8" s="62"/>
      <c r="I8" s="41"/>
    </row>
    <row r="9" spans="1:9" x14ac:dyDescent="0.35">
      <c r="A9" s="12" t="s">
        <v>240</v>
      </c>
      <c r="B9" s="56" t="s">
        <v>240</v>
      </c>
      <c r="C9" s="7" t="s">
        <v>240</v>
      </c>
      <c r="D9" s="7" t="s">
        <v>240</v>
      </c>
      <c r="E9" s="62"/>
      <c r="F9" s="41"/>
      <c r="G9" s="36" t="s">
        <v>240</v>
      </c>
      <c r="H9" s="62"/>
      <c r="I9" s="41"/>
    </row>
    <row r="10" spans="1:9" x14ac:dyDescent="0.35">
      <c r="A10" s="12" t="s">
        <v>238</v>
      </c>
      <c r="B10" s="56" t="s">
        <v>238</v>
      </c>
      <c r="C10" s="7" t="s">
        <v>238</v>
      </c>
      <c r="D10" s="7" t="s">
        <v>238</v>
      </c>
      <c r="E10" s="62"/>
      <c r="F10" s="41"/>
      <c r="G10" s="36" t="s">
        <v>238</v>
      </c>
      <c r="H10" s="62"/>
      <c r="I10" s="41"/>
    </row>
    <row r="11" spans="1:9" x14ac:dyDescent="0.35">
      <c r="A11" s="12" t="s">
        <v>241</v>
      </c>
      <c r="B11" s="56" t="s">
        <v>241</v>
      </c>
      <c r="C11" s="7" t="s">
        <v>241</v>
      </c>
      <c r="D11" s="7" t="s">
        <v>241</v>
      </c>
      <c r="E11" s="62"/>
      <c r="F11" s="41"/>
      <c r="G11" s="36" t="s">
        <v>241</v>
      </c>
      <c r="H11" s="62"/>
      <c r="I11" s="41"/>
    </row>
    <row r="12" spans="1:9" x14ac:dyDescent="0.35">
      <c r="A12" s="12" t="s">
        <v>242</v>
      </c>
      <c r="B12" s="56" t="s">
        <v>242</v>
      </c>
      <c r="C12" s="7" t="s">
        <v>242</v>
      </c>
      <c r="D12" s="7" t="s">
        <v>276</v>
      </c>
      <c r="E12" s="62"/>
      <c r="F12" s="41"/>
      <c r="G12" s="36" t="s">
        <v>276</v>
      </c>
      <c r="H12" s="62"/>
      <c r="I12" s="41"/>
    </row>
    <row r="13" spans="1:9" x14ac:dyDescent="0.35">
      <c r="A13" s="12" t="s">
        <v>243</v>
      </c>
      <c r="B13" s="56" t="s">
        <v>243</v>
      </c>
      <c r="C13" s="7" t="s">
        <v>243</v>
      </c>
      <c r="D13" s="7" t="s">
        <v>243</v>
      </c>
      <c r="E13" s="62"/>
      <c r="F13" s="41"/>
      <c r="G13" s="36" t="s">
        <v>243</v>
      </c>
      <c r="H13" s="62"/>
      <c r="I13" s="41"/>
    </row>
    <row r="14" spans="1:9" x14ac:dyDescent="0.35">
      <c r="A14" s="12" t="s">
        <v>244</v>
      </c>
      <c r="B14" s="56" t="s">
        <v>244</v>
      </c>
      <c r="C14" s="7" t="s">
        <v>244</v>
      </c>
      <c r="D14" s="7" t="s">
        <v>244</v>
      </c>
      <c r="E14" s="62"/>
      <c r="F14" s="41"/>
      <c r="G14" s="36" t="s">
        <v>244</v>
      </c>
      <c r="H14" s="62"/>
      <c r="I14" s="41"/>
    </row>
    <row r="15" spans="1:9" x14ac:dyDescent="0.35">
      <c r="A15" s="12" t="s">
        <v>245</v>
      </c>
      <c r="B15" s="56" t="s">
        <v>245</v>
      </c>
      <c r="C15" s="7" t="s">
        <v>245</v>
      </c>
      <c r="D15" s="7" t="s">
        <v>245</v>
      </c>
      <c r="E15" s="62"/>
      <c r="F15" s="41"/>
      <c r="G15" s="36" t="s">
        <v>245</v>
      </c>
      <c r="H15" s="62"/>
      <c r="I15" s="41"/>
    </row>
    <row r="16" spans="1:9" x14ac:dyDescent="0.35">
      <c r="A16" s="12" t="s">
        <v>246</v>
      </c>
      <c r="B16" s="56" t="s">
        <v>246</v>
      </c>
      <c r="C16" s="7" t="s">
        <v>246</v>
      </c>
      <c r="D16" s="7" t="s">
        <v>246</v>
      </c>
      <c r="E16" s="62"/>
      <c r="F16" s="41"/>
      <c r="G16" s="36" t="s">
        <v>246</v>
      </c>
      <c r="H16" s="62"/>
      <c r="I16" s="41"/>
    </row>
    <row r="17" spans="1:15" x14ac:dyDescent="0.35">
      <c r="A17" s="12" t="s">
        <v>247</v>
      </c>
      <c r="B17" s="56" t="s">
        <v>247</v>
      </c>
      <c r="C17" s="7" t="s">
        <v>247</v>
      </c>
      <c r="D17" s="7" t="s">
        <v>247</v>
      </c>
      <c r="E17" s="62"/>
      <c r="F17" s="41"/>
      <c r="G17" s="36" t="s">
        <v>247</v>
      </c>
      <c r="H17" s="62"/>
      <c r="I17" s="41"/>
    </row>
    <row r="18" spans="1:15" x14ac:dyDescent="0.35">
      <c r="A18" s="12" t="s">
        <v>238</v>
      </c>
      <c r="B18" s="56" t="s">
        <v>238</v>
      </c>
      <c r="C18" s="7" t="s">
        <v>238</v>
      </c>
      <c r="D18" s="7" t="s">
        <v>238</v>
      </c>
      <c r="E18" s="62"/>
      <c r="F18" s="41"/>
      <c r="G18" s="36" t="s">
        <v>238</v>
      </c>
      <c r="H18" s="62"/>
      <c r="I18" s="41"/>
    </row>
    <row r="19" spans="1:15" ht="29" x14ac:dyDescent="0.35">
      <c r="A19" s="12" t="s">
        <v>248</v>
      </c>
      <c r="B19" s="56" t="s">
        <v>248</v>
      </c>
      <c r="C19" s="7" t="s">
        <v>248</v>
      </c>
      <c r="D19" s="7" t="s">
        <v>248</v>
      </c>
      <c r="E19" s="63" t="s">
        <v>384</v>
      </c>
      <c r="F19" s="64" t="s">
        <v>385</v>
      </c>
      <c r="G19" s="36" t="s">
        <v>248</v>
      </c>
      <c r="H19" s="63" t="s">
        <v>384</v>
      </c>
      <c r="I19" s="64" t="s">
        <v>385</v>
      </c>
    </row>
    <row r="20" spans="1:15" x14ac:dyDescent="0.35">
      <c r="A20" s="12" t="s">
        <v>249</v>
      </c>
      <c r="B20" s="56" t="s">
        <v>264</v>
      </c>
      <c r="C20" s="7" t="s">
        <v>432</v>
      </c>
      <c r="D20" s="7" t="s">
        <v>565</v>
      </c>
      <c r="E20" s="63">
        <f>(1380.6-1480.1)/1480.1</f>
        <v>-6.7225187487331944E-2</v>
      </c>
      <c r="F20" s="64">
        <f>(0.231777-0.216203)/0.216203</f>
        <v>7.2034153087607494E-2</v>
      </c>
      <c r="G20" s="36" t="s">
        <v>739</v>
      </c>
      <c r="H20" s="63">
        <f>(1381.5-1480.1)/1480.1</f>
        <v>-6.6617120464833396E-2</v>
      </c>
      <c r="I20" s="64">
        <f>(0.231634-0.216203)/0.216203</f>
        <v>7.1372737658589383E-2</v>
      </c>
      <c r="L20" s="3" t="s">
        <v>798</v>
      </c>
      <c r="M20" s="4">
        <f>ABS(E20)</f>
        <v>6.7225187487331944E-2</v>
      </c>
      <c r="O20" s="4">
        <f>ABS(H20)</f>
        <v>6.6617120464833396E-2</v>
      </c>
    </row>
    <row r="21" spans="1:15" x14ac:dyDescent="0.35">
      <c r="A21" s="12" t="s">
        <v>250</v>
      </c>
      <c r="B21" s="56" t="s">
        <v>265</v>
      </c>
      <c r="C21" s="7" t="s">
        <v>433</v>
      </c>
      <c r="D21" s="7" t="s">
        <v>566</v>
      </c>
      <c r="E21" s="63">
        <f>(1199.2-1492.4)/1492.4</f>
        <v>-0.19646207451085501</v>
      </c>
      <c r="F21" s="64">
        <f>(0.266845-0.214418)/0.214418</f>
        <v>0.24450839015381173</v>
      </c>
      <c r="G21" s="36" t="s">
        <v>740</v>
      </c>
      <c r="H21" s="63">
        <f>(1382.5-1492.4)/1492.4</f>
        <v>-7.3639774859287105E-2</v>
      </c>
      <c r="I21" s="64">
        <f>(0.231471-0.214418)/0.214418</f>
        <v>7.9531569177960865E-2</v>
      </c>
      <c r="L21" s="3" t="s">
        <v>799</v>
      </c>
      <c r="M21" s="4">
        <f t="shared" ref="M21:M23" si="0">ABS(E21)</f>
        <v>0.19646207451085501</v>
      </c>
      <c r="O21" s="4">
        <f>ABS(H21)</f>
        <v>7.3639774859287105E-2</v>
      </c>
    </row>
    <row r="22" spans="1:15" x14ac:dyDescent="0.35">
      <c r="A22" s="12" t="s">
        <v>251</v>
      </c>
      <c r="B22" s="56" t="s">
        <v>266</v>
      </c>
      <c r="C22" s="7" t="s">
        <v>434</v>
      </c>
      <c r="D22" s="7" t="s">
        <v>567</v>
      </c>
      <c r="E22" s="63">
        <f>(1043.1-1156.4)/1156.4</f>
        <v>-9.7976478727084204E-2</v>
      </c>
      <c r="F22" s="64">
        <f>(0.46015-0.415066)/0.415066</f>
        <v>0.10861887025195996</v>
      </c>
      <c r="G22" s="36" t="s">
        <v>741</v>
      </c>
      <c r="H22" s="63">
        <f>(1044.3-1156.4)/1156.4</f>
        <v>-9.6938775510204189E-2</v>
      </c>
      <c r="I22" s="64">
        <f>(0.459658-0.415066)/0.415066</f>
        <v>0.10743351659736047</v>
      </c>
      <c r="L22" s="3" t="s">
        <v>800</v>
      </c>
      <c r="M22" s="4">
        <f t="shared" si="0"/>
        <v>9.7976478727084204E-2</v>
      </c>
      <c r="O22" s="4">
        <f>ABS(H22)</f>
        <v>9.6938775510204189E-2</v>
      </c>
    </row>
    <row r="23" spans="1:15" x14ac:dyDescent="0.35">
      <c r="A23" s="12" t="s">
        <v>252</v>
      </c>
      <c r="B23" s="56" t="s">
        <v>267</v>
      </c>
      <c r="C23" s="7" t="s">
        <v>435</v>
      </c>
      <c r="D23" s="7" t="s">
        <v>568</v>
      </c>
      <c r="E23" s="63">
        <f>(1071.6-1146)/1146</f>
        <v>-6.4921465968586473E-2</v>
      </c>
      <c r="F23" s="64">
        <f>(0.44791-0.418836)/0.418836</f>
        <v>6.9416191540364228E-2</v>
      </c>
      <c r="G23" s="36" t="s">
        <v>742</v>
      </c>
      <c r="H23" s="63">
        <f>(1072.3-1146)/1146</f>
        <v>-6.4310645724258333E-2</v>
      </c>
      <c r="I23" s="64">
        <f>(0.447624-0.418836)/0.418836</f>
        <v>6.8733346703721832E-2</v>
      </c>
      <c r="L23" s="3" t="s">
        <v>801</v>
      </c>
      <c r="M23" s="4">
        <f t="shared" si="0"/>
        <v>6.4921465968586473E-2</v>
      </c>
      <c r="O23" s="4">
        <f>ABS(H23)</f>
        <v>6.4310645724258333E-2</v>
      </c>
    </row>
    <row r="24" spans="1:15" x14ac:dyDescent="0.35">
      <c r="A24" s="12" t="s">
        <v>238</v>
      </c>
      <c r="B24" s="56" t="s">
        <v>238</v>
      </c>
      <c r="C24" s="7" t="s">
        <v>238</v>
      </c>
      <c r="D24" s="7" t="s">
        <v>238</v>
      </c>
      <c r="E24" s="62"/>
      <c r="F24" s="65"/>
      <c r="G24" s="36" t="s">
        <v>238</v>
      </c>
      <c r="H24" s="62"/>
      <c r="I24" s="65"/>
    </row>
    <row r="25" spans="1:15" x14ac:dyDescent="0.35">
      <c r="A25" s="12" t="s">
        <v>253</v>
      </c>
      <c r="B25" s="56" t="s">
        <v>253</v>
      </c>
      <c r="C25" s="7" t="s">
        <v>253</v>
      </c>
      <c r="D25" s="7" t="s">
        <v>253</v>
      </c>
      <c r="E25" s="62"/>
      <c r="F25" s="41"/>
      <c r="G25" s="36" t="s">
        <v>253</v>
      </c>
      <c r="H25" s="62"/>
      <c r="I25" s="41"/>
    </row>
    <row r="26" spans="1:15" x14ac:dyDescent="0.35">
      <c r="A26" s="12" t="s">
        <v>238</v>
      </c>
      <c r="B26" s="56" t="s">
        <v>238</v>
      </c>
      <c r="C26" s="7" t="s">
        <v>238</v>
      </c>
      <c r="D26" s="7" t="s">
        <v>238</v>
      </c>
      <c r="E26" s="62"/>
      <c r="F26" s="41"/>
      <c r="G26" s="36" t="s">
        <v>238</v>
      </c>
      <c r="H26" s="62"/>
      <c r="I26" s="41"/>
    </row>
    <row r="27" spans="1:15" x14ac:dyDescent="0.35">
      <c r="A27" s="12" t="s">
        <v>16</v>
      </c>
      <c r="B27" s="56" t="s">
        <v>16</v>
      </c>
      <c r="C27" s="7" t="s">
        <v>16</v>
      </c>
      <c r="D27" s="7" t="s">
        <v>16</v>
      </c>
      <c r="E27" s="62"/>
      <c r="F27" s="41"/>
      <c r="G27" s="36" t="s">
        <v>16</v>
      </c>
      <c r="H27" s="62"/>
      <c r="I27" s="41"/>
    </row>
    <row r="28" spans="1:15" ht="15" thickBot="1" x14ac:dyDescent="0.4">
      <c r="A28" s="13" t="s">
        <v>254</v>
      </c>
      <c r="B28" s="57" t="s">
        <v>268</v>
      </c>
      <c r="C28" s="58" t="s">
        <v>436</v>
      </c>
      <c r="D28" s="58" t="s">
        <v>569</v>
      </c>
      <c r="E28" s="66"/>
      <c r="F28" s="42"/>
      <c r="G28" s="37" t="s">
        <v>743</v>
      </c>
      <c r="H28" s="66"/>
      <c r="I28" s="42"/>
    </row>
    <row r="29" spans="1:15" ht="15" thickBot="1" x14ac:dyDescent="0.4">
      <c r="C29" s="7"/>
      <c r="D29" s="7"/>
      <c r="E29" s="62"/>
      <c r="F29" s="41"/>
    </row>
    <row r="30" spans="1:15" x14ac:dyDescent="0.35">
      <c r="A30" s="11" t="s">
        <v>255</v>
      </c>
      <c r="B30" s="55" t="s">
        <v>255</v>
      </c>
      <c r="C30" s="59" t="s">
        <v>255</v>
      </c>
      <c r="D30" s="59" t="s">
        <v>275</v>
      </c>
      <c r="E30" s="60"/>
      <c r="F30" s="61"/>
      <c r="G30" s="35" t="s">
        <v>275</v>
      </c>
      <c r="H30" s="60"/>
      <c r="I30" s="61"/>
    </row>
    <row r="31" spans="1:15" ht="145" x14ac:dyDescent="0.35">
      <c r="A31" s="12" t="s">
        <v>256</v>
      </c>
      <c r="B31" s="56" t="s">
        <v>269</v>
      </c>
      <c r="C31" s="7" t="s">
        <v>437</v>
      </c>
      <c r="D31" s="7" t="s">
        <v>444</v>
      </c>
      <c r="E31" s="62"/>
      <c r="F31" s="41"/>
      <c r="G31" s="36" t="s">
        <v>744</v>
      </c>
      <c r="H31" s="62"/>
      <c r="I31" s="41"/>
    </row>
    <row r="32" spans="1:15" x14ac:dyDescent="0.35">
      <c r="A32" s="12"/>
      <c r="B32" s="56"/>
      <c r="C32" s="7"/>
      <c r="D32" s="7"/>
      <c r="E32" s="62"/>
      <c r="F32" s="41"/>
      <c r="G32" s="36"/>
      <c r="H32" s="62"/>
      <c r="I32" s="41"/>
    </row>
    <row r="33" spans="1:9" x14ac:dyDescent="0.35">
      <c r="A33" s="12" t="s">
        <v>238</v>
      </c>
      <c r="B33" s="56" t="s">
        <v>238</v>
      </c>
      <c r="C33" s="7" t="s">
        <v>238</v>
      </c>
      <c r="D33" s="7" t="s">
        <v>238</v>
      </c>
      <c r="E33" s="62"/>
      <c r="F33" s="41"/>
      <c r="G33" s="36" t="s">
        <v>238</v>
      </c>
      <c r="H33" s="62"/>
      <c r="I33" s="41"/>
    </row>
    <row r="34" spans="1:9" x14ac:dyDescent="0.35">
      <c r="A34" s="12" t="s">
        <v>239</v>
      </c>
      <c r="B34" s="56" t="s">
        <v>239</v>
      </c>
      <c r="C34" s="7" t="s">
        <v>239</v>
      </c>
      <c r="D34" s="7" t="s">
        <v>239</v>
      </c>
      <c r="E34" s="62"/>
      <c r="F34" s="41"/>
      <c r="G34" s="36" t="s">
        <v>239</v>
      </c>
      <c r="H34" s="62"/>
      <c r="I34" s="41"/>
    </row>
    <row r="35" spans="1:9" x14ac:dyDescent="0.35">
      <c r="A35" s="12" t="s">
        <v>238</v>
      </c>
      <c r="B35" s="56" t="s">
        <v>238</v>
      </c>
      <c r="C35" s="7" t="s">
        <v>238</v>
      </c>
      <c r="D35" s="7" t="s">
        <v>238</v>
      </c>
      <c r="E35" s="62"/>
      <c r="F35" s="41"/>
      <c r="G35" s="36" t="s">
        <v>238</v>
      </c>
      <c r="H35" s="62"/>
      <c r="I35" s="41"/>
    </row>
    <row r="36" spans="1:9" x14ac:dyDescent="0.35">
      <c r="A36" s="12" t="s">
        <v>240</v>
      </c>
      <c r="B36" s="56" t="s">
        <v>240</v>
      </c>
      <c r="C36" s="7" t="s">
        <v>240</v>
      </c>
      <c r="D36" s="7" t="s">
        <v>240</v>
      </c>
      <c r="E36" s="62"/>
      <c r="F36" s="41"/>
      <c r="G36" s="36" t="s">
        <v>240</v>
      </c>
      <c r="H36" s="62"/>
      <c r="I36" s="41"/>
    </row>
    <row r="37" spans="1:9" x14ac:dyDescent="0.35">
      <c r="A37" s="12" t="s">
        <v>238</v>
      </c>
      <c r="B37" s="56" t="s">
        <v>238</v>
      </c>
      <c r="C37" s="7" t="s">
        <v>238</v>
      </c>
      <c r="D37" s="7" t="s">
        <v>238</v>
      </c>
      <c r="E37" s="62"/>
      <c r="F37" s="41"/>
      <c r="G37" s="36" t="s">
        <v>238</v>
      </c>
      <c r="H37" s="62"/>
      <c r="I37" s="41"/>
    </row>
    <row r="38" spans="1:9" x14ac:dyDescent="0.35">
      <c r="A38" s="12" t="s">
        <v>241</v>
      </c>
      <c r="B38" s="56" t="s">
        <v>241</v>
      </c>
      <c r="C38" s="7" t="s">
        <v>241</v>
      </c>
      <c r="D38" s="7" t="s">
        <v>241</v>
      </c>
      <c r="E38" s="62"/>
      <c r="F38" s="41"/>
      <c r="G38" s="36" t="s">
        <v>241</v>
      </c>
      <c r="H38" s="62"/>
      <c r="I38" s="41"/>
    </row>
    <row r="39" spans="1:9" x14ac:dyDescent="0.35">
      <c r="A39" s="12" t="s">
        <v>242</v>
      </c>
      <c r="B39" s="56" t="s">
        <v>242</v>
      </c>
      <c r="C39" s="7" t="s">
        <v>242</v>
      </c>
      <c r="D39" s="7" t="s">
        <v>278</v>
      </c>
      <c r="E39" s="62"/>
      <c r="F39" s="41"/>
      <c r="G39" s="36" t="s">
        <v>278</v>
      </c>
      <c r="H39" s="62"/>
      <c r="I39" s="41"/>
    </row>
    <row r="40" spans="1:9" x14ac:dyDescent="0.35">
      <c r="A40" s="12" t="s">
        <v>243</v>
      </c>
      <c r="B40" s="56" t="s">
        <v>243</v>
      </c>
      <c r="C40" s="7" t="s">
        <v>243</v>
      </c>
      <c r="D40" s="7" t="s">
        <v>243</v>
      </c>
      <c r="E40" s="62"/>
      <c r="F40" s="41"/>
      <c r="G40" s="36" t="s">
        <v>243</v>
      </c>
      <c r="H40" s="62"/>
      <c r="I40" s="41"/>
    </row>
    <row r="41" spans="1:9" x14ac:dyDescent="0.35">
      <c r="A41" s="12" t="s">
        <v>244</v>
      </c>
      <c r="B41" s="56" t="s">
        <v>244</v>
      </c>
      <c r="C41" s="7" t="s">
        <v>244</v>
      </c>
      <c r="D41" s="7" t="s">
        <v>244</v>
      </c>
      <c r="E41" s="62"/>
      <c r="F41" s="41"/>
      <c r="G41" s="36" t="s">
        <v>244</v>
      </c>
      <c r="H41" s="62"/>
      <c r="I41" s="41"/>
    </row>
    <row r="42" spans="1:9" x14ac:dyDescent="0.35">
      <c r="A42" s="12" t="s">
        <v>245</v>
      </c>
      <c r="B42" s="56" t="s">
        <v>245</v>
      </c>
      <c r="C42" s="7" t="s">
        <v>245</v>
      </c>
      <c r="D42" s="7" t="s">
        <v>245</v>
      </c>
      <c r="E42" s="62"/>
      <c r="F42" s="41"/>
      <c r="G42" s="36" t="s">
        <v>245</v>
      </c>
      <c r="H42" s="62"/>
      <c r="I42" s="41"/>
    </row>
    <row r="43" spans="1:9" x14ac:dyDescent="0.35">
      <c r="A43" s="12" t="s">
        <v>246</v>
      </c>
      <c r="B43" s="56" t="s">
        <v>246</v>
      </c>
      <c r="C43" s="7" t="s">
        <v>246</v>
      </c>
      <c r="D43" s="7" t="s">
        <v>246</v>
      </c>
      <c r="E43" s="62"/>
      <c r="F43" s="41"/>
      <c r="G43" s="36" t="s">
        <v>246</v>
      </c>
      <c r="H43" s="62"/>
      <c r="I43" s="41"/>
    </row>
    <row r="44" spans="1:9" x14ac:dyDescent="0.35">
      <c r="A44" s="12" t="s">
        <v>247</v>
      </c>
      <c r="B44" s="56" t="s">
        <v>247</v>
      </c>
      <c r="C44" s="7" t="s">
        <v>247</v>
      </c>
      <c r="D44" s="7" t="s">
        <v>247</v>
      </c>
      <c r="E44" s="62"/>
      <c r="F44" s="41"/>
      <c r="G44" s="36" t="s">
        <v>247</v>
      </c>
      <c r="H44" s="62"/>
      <c r="I44" s="41"/>
    </row>
    <row r="45" spans="1:9" x14ac:dyDescent="0.35">
      <c r="A45" s="12" t="s">
        <v>238</v>
      </c>
      <c r="B45" s="56" t="s">
        <v>238</v>
      </c>
      <c r="C45" s="7" t="s">
        <v>238</v>
      </c>
      <c r="D45" s="7" t="s">
        <v>238</v>
      </c>
      <c r="E45" s="62"/>
      <c r="F45" s="41"/>
      <c r="G45" s="36" t="s">
        <v>238</v>
      </c>
      <c r="H45" s="62"/>
      <c r="I45" s="41"/>
    </row>
    <row r="46" spans="1:9" x14ac:dyDescent="0.35">
      <c r="A46" s="12" t="s">
        <v>6</v>
      </c>
      <c r="B46" s="56" t="s">
        <v>6</v>
      </c>
      <c r="C46" s="7" t="s">
        <v>6</v>
      </c>
      <c r="D46" s="7" t="s">
        <v>6</v>
      </c>
      <c r="E46" s="62"/>
      <c r="F46" s="41"/>
      <c r="G46" s="36" t="s">
        <v>6</v>
      </c>
      <c r="H46" s="62"/>
      <c r="I46" s="41"/>
    </row>
    <row r="47" spans="1:9" x14ac:dyDescent="0.35">
      <c r="A47" s="12" t="s">
        <v>7</v>
      </c>
      <c r="B47" s="56" t="s">
        <v>7</v>
      </c>
      <c r="C47" s="7" t="s">
        <v>7</v>
      </c>
      <c r="D47" s="7" t="s">
        <v>7</v>
      </c>
      <c r="E47" s="62"/>
      <c r="F47" s="41"/>
      <c r="G47" s="36" t="s">
        <v>7</v>
      </c>
      <c r="H47" s="62"/>
      <c r="I47" s="41"/>
    </row>
    <row r="48" spans="1:9" ht="29" x14ac:dyDescent="0.35">
      <c r="A48" s="12" t="s">
        <v>67</v>
      </c>
      <c r="B48" s="56" t="s">
        <v>54</v>
      </c>
      <c r="C48" s="7" t="s">
        <v>54</v>
      </c>
      <c r="D48" s="7" t="s">
        <v>54</v>
      </c>
      <c r="E48" s="62"/>
      <c r="F48" s="41"/>
      <c r="G48" s="36" t="s">
        <v>54</v>
      </c>
      <c r="H48" s="62"/>
      <c r="I48" s="41"/>
    </row>
    <row r="49" spans="1:15" x14ac:dyDescent="0.35">
      <c r="A49" s="12" t="s">
        <v>68</v>
      </c>
      <c r="B49" s="56" t="s">
        <v>9</v>
      </c>
      <c r="C49" s="7" t="s">
        <v>9</v>
      </c>
      <c r="D49" s="7" t="s">
        <v>9</v>
      </c>
      <c r="E49" s="62"/>
      <c r="F49" s="41"/>
      <c r="G49" s="36" t="s">
        <v>9</v>
      </c>
      <c r="H49" s="62"/>
      <c r="I49" s="41"/>
    </row>
    <row r="50" spans="1:15" x14ac:dyDescent="0.35">
      <c r="A50" s="12" t="s">
        <v>10</v>
      </c>
      <c r="B50" s="56" t="s">
        <v>10</v>
      </c>
      <c r="C50" s="7" t="s">
        <v>55</v>
      </c>
      <c r="D50" s="7" t="s">
        <v>55</v>
      </c>
      <c r="E50" s="62"/>
      <c r="F50" s="41"/>
      <c r="G50" s="36" t="s">
        <v>55</v>
      </c>
      <c r="H50" s="62"/>
      <c r="I50" s="41"/>
    </row>
    <row r="51" spans="1:15" ht="29" x14ac:dyDescent="0.35">
      <c r="A51" s="12" t="s">
        <v>11</v>
      </c>
      <c r="B51" s="56" t="s">
        <v>11</v>
      </c>
      <c r="C51" s="7" t="s">
        <v>402</v>
      </c>
      <c r="D51" s="7" t="s">
        <v>56</v>
      </c>
      <c r="E51" s="62"/>
      <c r="F51" s="41"/>
      <c r="G51" s="36" t="s">
        <v>56</v>
      </c>
      <c r="H51" s="62"/>
      <c r="I51" s="41"/>
    </row>
    <row r="52" spans="1:15" ht="29" x14ac:dyDescent="0.35">
      <c r="A52" s="12" t="s">
        <v>12</v>
      </c>
      <c r="B52" s="56" t="s">
        <v>12</v>
      </c>
      <c r="C52" s="7" t="s">
        <v>410</v>
      </c>
      <c r="D52" s="7" t="s">
        <v>57</v>
      </c>
      <c r="E52" s="62"/>
      <c r="F52" s="41"/>
      <c r="G52" s="36" t="s">
        <v>57</v>
      </c>
      <c r="H52" s="62"/>
      <c r="I52" s="41"/>
    </row>
    <row r="53" spans="1:15" ht="29" x14ac:dyDescent="0.35">
      <c r="A53" s="12" t="s">
        <v>248</v>
      </c>
      <c r="B53" s="56" t="s">
        <v>248</v>
      </c>
      <c r="C53" s="7" t="s">
        <v>248</v>
      </c>
      <c r="D53" s="7" t="s">
        <v>248</v>
      </c>
      <c r="E53" s="63" t="s">
        <v>384</v>
      </c>
      <c r="F53" s="64" t="s">
        <v>385</v>
      </c>
      <c r="G53" s="36" t="s">
        <v>248</v>
      </c>
      <c r="H53" s="63" t="s">
        <v>384</v>
      </c>
      <c r="I53" s="64" t="s">
        <v>385</v>
      </c>
    </row>
    <row r="54" spans="1:15" x14ac:dyDescent="0.35">
      <c r="A54" s="12" t="s">
        <v>257</v>
      </c>
      <c r="B54" s="56" t="s">
        <v>270</v>
      </c>
      <c r="C54" s="7" t="s">
        <v>446</v>
      </c>
      <c r="D54" s="7" t="s">
        <v>570</v>
      </c>
      <c r="E54" s="63">
        <f>(6257.5-6253.5)/6253.5</f>
        <v>6.3964180059166863E-4</v>
      </c>
      <c r="F54" s="64">
        <f>(0.051138-0.051172)/0.051172</f>
        <v>-6.6442585789102066E-4</v>
      </c>
      <c r="G54" s="36" t="s">
        <v>745</v>
      </c>
      <c r="H54" s="63">
        <f>(5267.1-6253.5)/6253.5</f>
        <v>-0.15773566802590544</v>
      </c>
      <c r="I54" s="64">
        <f>(0.060754-0.051172)/0.051172</f>
        <v>0.18725084030329087</v>
      </c>
      <c r="L54" s="3" t="s">
        <v>798</v>
      </c>
      <c r="M54" s="4">
        <f>ABS(E54)</f>
        <v>6.3964180059166863E-4</v>
      </c>
      <c r="O54" s="4">
        <f>ABS(H54)</f>
        <v>0.15773566802590544</v>
      </c>
    </row>
    <row r="55" spans="1:15" x14ac:dyDescent="0.35">
      <c r="A55" s="12" t="s">
        <v>258</v>
      </c>
      <c r="B55" s="56" t="s">
        <v>271</v>
      </c>
      <c r="C55" s="7" t="s">
        <v>445</v>
      </c>
      <c r="D55" s="7" t="s">
        <v>571</v>
      </c>
      <c r="E55" s="63">
        <f>(6047.4-6047.5)/6047.5</f>
        <v>-1.6535758577984919E-5</v>
      </c>
      <c r="F55" s="64">
        <f>(0.052916-0.052914)/0.052914</f>
        <v>3.7797180330254023E-5</v>
      </c>
      <c r="G55" s="36" t="s">
        <v>746</v>
      </c>
      <c r="H55" s="63">
        <f>(5202.3-6047.5)/6047.5</f>
        <v>-0.13976023150062006</v>
      </c>
      <c r="I55" s="64">
        <f>(0.061511-0.052914)/0.052914</f>
        <v>0.1624711796499981</v>
      </c>
      <c r="L55" s="3" t="s">
        <v>799</v>
      </c>
      <c r="M55" s="4">
        <f t="shared" ref="M55:M57" si="1">ABS(E55)</f>
        <v>1.6535758577984919E-5</v>
      </c>
      <c r="O55" s="4">
        <f>ABS(H55)</f>
        <v>0.13976023150062006</v>
      </c>
    </row>
    <row r="56" spans="1:15" x14ac:dyDescent="0.35">
      <c r="A56" s="12" t="s">
        <v>259</v>
      </c>
      <c r="B56" s="56" t="s">
        <v>272</v>
      </c>
      <c r="C56" s="7" t="s">
        <v>447</v>
      </c>
      <c r="D56" s="7" t="s">
        <v>572</v>
      </c>
      <c r="E56" s="63">
        <f>(4539.8-4536.2)/4536.2</f>
        <v>7.9361580177248891E-4</v>
      </c>
      <c r="F56" s="64">
        <f>(0.105732-0.105815)/0.105815</f>
        <v>-7.8438784671360146E-4</v>
      </c>
      <c r="G56" s="36" t="s">
        <v>747</v>
      </c>
      <c r="H56" s="63">
        <f>(4001.6-4536.2)/4536.2</f>
        <v>-0.11785194656320266</v>
      </c>
      <c r="I56" s="64">
        <f>(0.119952-0.105815)/0.105815</f>
        <v>0.13360109625289415</v>
      </c>
      <c r="L56" s="3" t="s">
        <v>800</v>
      </c>
      <c r="M56" s="4">
        <f t="shared" si="1"/>
        <v>7.9361580177248891E-4</v>
      </c>
      <c r="O56" s="4">
        <f>ABS(H56)</f>
        <v>0.11785194656320266</v>
      </c>
    </row>
    <row r="57" spans="1:15" x14ac:dyDescent="0.35">
      <c r="A57" s="12" t="s">
        <v>260</v>
      </c>
      <c r="B57" s="56" t="s">
        <v>273</v>
      </c>
      <c r="C57" s="7" t="s">
        <v>448</v>
      </c>
      <c r="D57" s="7" t="s">
        <v>573</v>
      </c>
      <c r="E57" s="63">
        <f>(4456.2-4466.9)/4466.9</f>
        <v>-2.3953972553672166E-3</v>
      </c>
      <c r="F57" s="64">
        <f>(0.107715-0.107458)/0.107458</f>
        <v>2.3916320795102012E-3</v>
      </c>
      <c r="G57" s="36" t="s">
        <v>748</v>
      </c>
      <c r="H57" s="63">
        <f>(3953.1-4466.9)/4466.9</f>
        <v>-0.11502384203810244</v>
      </c>
      <c r="I57" s="64">
        <f>(0.121423-0.107458)/0.107458</f>
        <v>0.12995775093524917</v>
      </c>
      <c r="L57" s="3" t="s">
        <v>801</v>
      </c>
      <c r="M57" s="4">
        <f t="shared" si="1"/>
        <v>2.3953972553672166E-3</v>
      </c>
      <c r="O57" s="4">
        <f>ABS(H57)</f>
        <v>0.11502384203810244</v>
      </c>
    </row>
    <row r="58" spans="1:15" x14ac:dyDescent="0.35">
      <c r="A58" s="12" t="s">
        <v>238</v>
      </c>
      <c r="B58" s="56" t="s">
        <v>238</v>
      </c>
      <c r="C58" s="7" t="s">
        <v>238</v>
      </c>
      <c r="D58" s="7" t="s">
        <v>238</v>
      </c>
      <c r="E58" s="62"/>
      <c r="F58" s="41"/>
      <c r="G58" s="36" t="s">
        <v>238</v>
      </c>
      <c r="H58" s="62"/>
      <c r="I58" s="41"/>
    </row>
    <row r="59" spans="1:15" x14ac:dyDescent="0.35">
      <c r="A59" s="12" t="s">
        <v>253</v>
      </c>
      <c r="B59" s="56" t="s">
        <v>253</v>
      </c>
      <c r="C59" s="7" t="s">
        <v>253</v>
      </c>
      <c r="D59" s="7" t="s">
        <v>253</v>
      </c>
      <c r="E59" s="62"/>
      <c r="F59" s="41"/>
      <c r="G59" s="36" t="s">
        <v>253</v>
      </c>
      <c r="H59" s="62"/>
      <c r="I59" s="41"/>
    </row>
    <row r="60" spans="1:15" x14ac:dyDescent="0.35">
      <c r="A60" s="12" t="s">
        <v>238</v>
      </c>
      <c r="B60" s="56" t="s">
        <v>238</v>
      </c>
      <c r="C60" s="7" t="s">
        <v>238</v>
      </c>
      <c r="D60" s="7" t="s">
        <v>238</v>
      </c>
      <c r="E60" s="62"/>
      <c r="F60" s="41"/>
      <c r="G60" s="36" t="s">
        <v>238</v>
      </c>
      <c r="H60" s="62"/>
      <c r="I60" s="41"/>
    </row>
    <row r="61" spans="1:15" x14ac:dyDescent="0.35">
      <c r="A61" s="12" t="s">
        <v>16</v>
      </c>
      <c r="B61" s="56" t="s">
        <v>16</v>
      </c>
      <c r="C61" s="7" t="s">
        <v>16</v>
      </c>
      <c r="D61" s="7" t="s">
        <v>16</v>
      </c>
      <c r="E61" s="62"/>
      <c r="F61" s="41"/>
      <c r="G61" s="36" t="s">
        <v>16</v>
      </c>
      <c r="H61" s="62"/>
      <c r="I61" s="41"/>
    </row>
    <row r="62" spans="1:15" ht="15" thickBot="1" x14ac:dyDescent="0.4">
      <c r="A62" s="13" t="s">
        <v>261</v>
      </c>
      <c r="B62" s="57" t="s">
        <v>274</v>
      </c>
      <c r="C62" s="8" t="s">
        <v>449</v>
      </c>
      <c r="D62" s="8" t="s">
        <v>574</v>
      </c>
      <c r="E62" s="66"/>
      <c r="F62" s="42"/>
      <c r="G62" s="37" t="s">
        <v>749</v>
      </c>
      <c r="H62" s="66"/>
      <c r="I62" s="42"/>
    </row>
    <row r="64" spans="1:15" x14ac:dyDescent="0.35">
      <c r="D64" s="3" t="s">
        <v>451</v>
      </c>
    </row>
    <row r="65" spans="4:4" x14ac:dyDescent="0.35">
      <c r="D65" s="3" t="s">
        <v>452</v>
      </c>
    </row>
    <row r="66" spans="4:4" x14ac:dyDescent="0.35">
      <c r="D66" s="3" t="s">
        <v>603</v>
      </c>
    </row>
    <row r="67" spans="4:4" x14ac:dyDescent="0.35">
      <c r="D67" s="3" t="s">
        <v>604</v>
      </c>
    </row>
    <row r="69" spans="4:4" x14ac:dyDescent="0.35">
      <c r="D69" s="3" t="s">
        <v>496</v>
      </c>
    </row>
    <row r="70" spans="4:4" x14ac:dyDescent="0.35">
      <c r="D70" s="3" t="s">
        <v>497</v>
      </c>
    </row>
    <row r="71" spans="4:4" x14ac:dyDescent="0.35">
      <c r="D71" s="3" t="s">
        <v>407</v>
      </c>
    </row>
    <row r="72" spans="4:4" x14ac:dyDescent="0.35">
      <c r="D72" s="3" t="s">
        <v>408</v>
      </c>
    </row>
  </sheetData>
  <mergeCells count="2">
    <mergeCell ref="H1:I1"/>
    <mergeCell ref="E1:F1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BCF-8325-4009-BC05-5CB17AC6287D}">
  <dimension ref="A1:K218"/>
  <sheetViews>
    <sheetView tabSelected="1" topLeftCell="E90" workbookViewId="0">
      <selection activeCell="K101" sqref="K101:K108"/>
    </sheetView>
  </sheetViews>
  <sheetFormatPr defaultRowHeight="14.5" x14ac:dyDescent="0.35"/>
  <cols>
    <col min="1" max="2" width="70.54296875" style="3" customWidth="1"/>
    <col min="3" max="3" width="71.1796875" style="3" customWidth="1"/>
    <col min="4" max="4" width="15.1796875" style="45" customWidth="1"/>
    <col min="5" max="5" width="69.90625" style="3" customWidth="1"/>
    <col min="6" max="6" width="15.1796875" style="45" customWidth="1"/>
    <col min="7" max="7" width="13.6328125" style="4" customWidth="1"/>
    <col min="8" max="8" width="33.81640625" style="3" customWidth="1"/>
    <col min="9" max="10" width="11.36328125" style="3" bestFit="1" customWidth="1"/>
    <col min="11" max="16384" width="8.7265625" style="3"/>
  </cols>
  <sheetData>
    <row r="1" spans="1:11" s="2" customFormat="1" ht="73" thickBot="1" x14ac:dyDescent="0.4">
      <c r="A1" s="2" t="s">
        <v>82</v>
      </c>
      <c r="B1" s="33" t="s">
        <v>671</v>
      </c>
      <c r="C1" s="33" t="s">
        <v>673</v>
      </c>
      <c r="D1" s="52" t="s">
        <v>672</v>
      </c>
      <c r="E1" s="33" t="s">
        <v>674</v>
      </c>
      <c r="F1" s="52" t="s">
        <v>672</v>
      </c>
      <c r="G1" s="44"/>
    </row>
    <row r="2" spans="1:11" x14ac:dyDescent="0.35">
      <c r="A2" s="6" t="s">
        <v>83</v>
      </c>
      <c r="B2" s="15" t="s">
        <v>454</v>
      </c>
      <c r="C2" s="15" t="s">
        <v>83</v>
      </c>
      <c r="D2" s="46"/>
      <c r="E2" s="6" t="s">
        <v>83</v>
      </c>
      <c r="F2" s="46"/>
    </row>
    <row r="3" spans="1:11" ht="130.5" x14ac:dyDescent="0.35">
      <c r="A3" s="7" t="s">
        <v>84</v>
      </c>
      <c r="B3" s="16" t="s">
        <v>453</v>
      </c>
      <c r="C3" s="16" t="s">
        <v>390</v>
      </c>
      <c r="D3" s="9"/>
      <c r="E3" s="7" t="s">
        <v>390</v>
      </c>
      <c r="F3" s="9"/>
    </row>
    <row r="4" spans="1:11" x14ac:dyDescent="0.35">
      <c r="A4" s="7" t="s">
        <v>85</v>
      </c>
      <c r="B4" s="16" t="s">
        <v>455</v>
      </c>
      <c r="C4" s="16" t="s">
        <v>85</v>
      </c>
      <c r="D4" s="47"/>
      <c r="E4" s="7" t="s">
        <v>85</v>
      </c>
      <c r="F4" s="47"/>
    </row>
    <row r="5" spans="1:11" x14ac:dyDescent="0.35">
      <c r="A5" s="7" t="s">
        <v>86</v>
      </c>
      <c r="B5" s="16" t="s">
        <v>86</v>
      </c>
      <c r="C5" s="16" t="s">
        <v>86</v>
      </c>
      <c r="D5" s="47"/>
      <c r="E5" s="7" t="s">
        <v>86</v>
      </c>
      <c r="F5" s="47"/>
    </row>
    <row r="6" spans="1:11" x14ac:dyDescent="0.35">
      <c r="A6" s="7" t="s">
        <v>87</v>
      </c>
      <c r="B6" s="16" t="s">
        <v>87</v>
      </c>
      <c r="C6" s="16" t="s">
        <v>87</v>
      </c>
      <c r="D6" s="47"/>
      <c r="E6" s="7" t="s">
        <v>87</v>
      </c>
      <c r="F6" s="47"/>
    </row>
    <row r="7" spans="1:11" x14ac:dyDescent="0.35">
      <c r="A7" s="7" t="s">
        <v>88</v>
      </c>
      <c r="B7" s="16" t="s">
        <v>88</v>
      </c>
      <c r="C7" s="16" t="s">
        <v>88</v>
      </c>
      <c r="D7" s="47"/>
      <c r="E7" s="7" t="s">
        <v>88</v>
      </c>
      <c r="F7" s="47"/>
    </row>
    <row r="8" spans="1:11" x14ac:dyDescent="0.35">
      <c r="A8" s="7" t="s">
        <v>89</v>
      </c>
      <c r="B8" s="16" t="s">
        <v>89</v>
      </c>
      <c r="C8" s="16" t="s">
        <v>89</v>
      </c>
      <c r="D8" s="47"/>
      <c r="E8" s="7" t="s">
        <v>89</v>
      </c>
      <c r="F8" s="47"/>
    </row>
    <row r="9" spans="1:11" x14ac:dyDescent="0.35">
      <c r="A9" s="7" t="s">
        <v>90</v>
      </c>
      <c r="B9" s="16" t="s">
        <v>456</v>
      </c>
      <c r="C9" s="16" t="s">
        <v>575</v>
      </c>
      <c r="D9" s="47">
        <f>(0.1776-0.170612)/0.170612</f>
        <v>4.0958431997749241E-2</v>
      </c>
      <c r="E9" s="7" t="s">
        <v>750</v>
      </c>
      <c r="F9" s="47">
        <f>(0.177572-0.170612)/0.170612</f>
        <v>4.0794316929641486E-2</v>
      </c>
    </row>
    <row r="10" spans="1:11" x14ac:dyDescent="0.35">
      <c r="A10" s="7" t="s">
        <v>91</v>
      </c>
      <c r="B10" s="16" t="s">
        <v>91</v>
      </c>
      <c r="C10" s="16" t="s">
        <v>91</v>
      </c>
      <c r="D10" s="47"/>
      <c r="E10" s="7" t="s">
        <v>91</v>
      </c>
      <c r="F10" s="47"/>
    </row>
    <row r="11" spans="1:11" x14ac:dyDescent="0.35">
      <c r="A11" s="7" t="s">
        <v>92</v>
      </c>
      <c r="B11" s="16" t="s">
        <v>457</v>
      </c>
      <c r="C11" s="16" t="s">
        <v>576</v>
      </c>
      <c r="D11" s="47">
        <f>(1114920.43246-1173176.215677)/1173176.215677</f>
        <v>-4.9656464594606889E-2</v>
      </c>
      <c r="E11" s="7" t="s">
        <v>751</v>
      </c>
      <c r="F11" s="47">
        <f>(1115071.296888-1173176.215677)/1173176.215677</f>
        <v>-4.9527869737343272E-2</v>
      </c>
      <c r="H11" s="16" t="s">
        <v>803</v>
      </c>
      <c r="I11" s="4">
        <f>ABS(D11)</f>
        <v>4.9656464594606889E-2</v>
      </c>
      <c r="K11" s="4">
        <f>ABS(F11)</f>
        <v>4.9527869737343272E-2</v>
      </c>
    </row>
    <row r="12" spans="1:11" x14ac:dyDescent="0.35">
      <c r="A12" s="7" t="s">
        <v>93</v>
      </c>
      <c r="B12" s="16" t="s">
        <v>458</v>
      </c>
      <c r="C12" s="16" t="s">
        <v>577</v>
      </c>
      <c r="D12" s="47">
        <f>(19.354902-18.453925)/18.453925</f>
        <v>4.8823055257892149E-2</v>
      </c>
      <c r="E12" s="7" t="s">
        <v>752</v>
      </c>
      <c r="F12" s="47">
        <f>(19.352483-18.453925)/18.453925</f>
        <v>4.869197203304975E-2</v>
      </c>
      <c r="H12" s="16" t="s">
        <v>802</v>
      </c>
      <c r="I12" s="4">
        <f t="shared" ref="I12:K14" si="0">ABS(D12)</f>
        <v>4.8823055257892149E-2</v>
      </c>
      <c r="K12" s="4">
        <f t="shared" si="0"/>
        <v>4.869197203304975E-2</v>
      </c>
    </row>
    <row r="13" spans="1:11" x14ac:dyDescent="0.35">
      <c r="A13" s="7" t="s">
        <v>94</v>
      </c>
      <c r="B13" s="16" t="s">
        <v>459</v>
      </c>
      <c r="C13" s="16" t="s">
        <v>578</v>
      </c>
      <c r="D13" s="47">
        <f>(1.209105-1.209142)/1.209142</f>
        <v>-3.0600210727807584E-5</v>
      </c>
      <c r="E13" s="7" t="s">
        <v>94</v>
      </c>
      <c r="F13" s="47">
        <f>(1.209097-1.209142)/1.209142</f>
        <v>-3.721647250682775E-5</v>
      </c>
      <c r="H13" s="16" t="s">
        <v>791</v>
      </c>
      <c r="I13" s="4">
        <f t="shared" si="0"/>
        <v>3.0600210727807584E-5</v>
      </c>
      <c r="K13" s="4">
        <f t="shared" si="0"/>
        <v>3.721647250682775E-5</v>
      </c>
    </row>
    <row r="14" spans="1:11" x14ac:dyDescent="0.35">
      <c r="A14" s="7" t="s">
        <v>95</v>
      </c>
      <c r="B14" s="16" t="s">
        <v>460</v>
      </c>
      <c r="C14" s="16" t="s">
        <v>579</v>
      </c>
      <c r="D14" s="47">
        <f>(18.145841-17.244783)/17.244783</f>
        <v>5.2251048911430134E-2</v>
      </c>
      <c r="E14" s="7" t="s">
        <v>753</v>
      </c>
      <c r="F14" s="47">
        <f>(18.143386-17.244783)/17.244783</f>
        <v>5.2108687015661362E-2</v>
      </c>
      <c r="H14" s="16" t="s">
        <v>804</v>
      </c>
      <c r="I14" s="4">
        <f t="shared" si="0"/>
        <v>5.2251048911430134E-2</v>
      </c>
      <c r="K14" s="4">
        <f t="shared" si="0"/>
        <v>5.2108687015661362E-2</v>
      </c>
    </row>
    <row r="15" spans="1:11" x14ac:dyDescent="0.35">
      <c r="A15" s="7" t="s">
        <v>96</v>
      </c>
      <c r="B15" s="16" t="s">
        <v>96</v>
      </c>
      <c r="C15" s="16" t="s">
        <v>96</v>
      </c>
      <c r="D15" s="47"/>
      <c r="E15" s="7" t="s">
        <v>96</v>
      </c>
      <c r="F15" s="47"/>
      <c r="H15" s="7" t="s">
        <v>805</v>
      </c>
      <c r="I15" s="4">
        <f>ABS(D25)</f>
        <v>5.7116538691990584E-2</v>
      </c>
      <c r="K15" s="4">
        <f>ABS(F25)</f>
        <v>5.6854229018139725E-2</v>
      </c>
    </row>
    <row r="16" spans="1:11" x14ac:dyDescent="0.35">
      <c r="A16" s="7" t="s">
        <v>97</v>
      </c>
      <c r="B16" s="16" t="s">
        <v>97</v>
      </c>
      <c r="C16" s="16" t="s">
        <v>97</v>
      </c>
      <c r="D16" s="47"/>
      <c r="E16" s="7" t="s">
        <v>97</v>
      </c>
      <c r="F16" s="47"/>
      <c r="H16" s="7" t="s">
        <v>802</v>
      </c>
      <c r="I16" s="4">
        <f t="shared" ref="I16:K18" si="1">ABS(D26)</f>
        <v>6.0105150262875676E-2</v>
      </c>
      <c r="K16" s="4">
        <f t="shared" si="1"/>
        <v>5.9813899534748811E-2</v>
      </c>
    </row>
    <row r="17" spans="1:11" x14ac:dyDescent="0.35">
      <c r="A17" s="7" t="s">
        <v>98</v>
      </c>
      <c r="B17" s="16" t="s">
        <v>98</v>
      </c>
      <c r="C17" s="16" t="s">
        <v>98</v>
      </c>
      <c r="D17" s="47"/>
      <c r="E17" s="7" t="s">
        <v>98</v>
      </c>
      <c r="F17" s="47"/>
      <c r="H17" s="7" t="s">
        <v>791</v>
      </c>
      <c r="I17" s="4">
        <f t="shared" si="1"/>
        <v>0</v>
      </c>
      <c r="K17" s="4">
        <f t="shared" si="1"/>
        <v>1.6103059581322587E-4</v>
      </c>
    </row>
    <row r="18" spans="1:11" ht="15" thickBot="1" x14ac:dyDescent="0.4">
      <c r="A18" s="7" t="s">
        <v>99</v>
      </c>
      <c r="B18" s="16" t="s">
        <v>99</v>
      </c>
      <c r="C18" s="16" t="s">
        <v>99</v>
      </c>
      <c r="D18" s="47"/>
      <c r="E18" s="7" t="s">
        <v>99</v>
      </c>
      <c r="F18" s="47"/>
      <c r="H18" s="8" t="s">
        <v>806</v>
      </c>
      <c r="I18" s="4">
        <f t="shared" si="1"/>
        <v>6.0576627512635525E-2</v>
      </c>
      <c r="K18" s="4">
        <f t="shared" si="1"/>
        <v>6.0281838475764279E-2</v>
      </c>
    </row>
    <row r="19" spans="1:11" x14ac:dyDescent="0.35">
      <c r="A19" s="7" t="s">
        <v>100</v>
      </c>
      <c r="B19" s="16" t="s">
        <v>100</v>
      </c>
      <c r="C19" s="16" t="s">
        <v>176</v>
      </c>
      <c r="D19" s="26"/>
      <c r="E19" s="7" t="s">
        <v>176</v>
      </c>
      <c r="F19" s="26"/>
      <c r="G19" s="5"/>
    </row>
    <row r="20" spans="1:11" x14ac:dyDescent="0.35">
      <c r="A20" s="7" t="s">
        <v>101</v>
      </c>
      <c r="B20" s="16" t="s">
        <v>101</v>
      </c>
      <c r="C20" s="16" t="s">
        <v>101</v>
      </c>
      <c r="D20" s="47"/>
      <c r="E20" s="7" t="s">
        <v>101</v>
      </c>
      <c r="F20" s="47"/>
    </row>
    <row r="21" spans="1:11" x14ac:dyDescent="0.35">
      <c r="A21" s="7" t="s">
        <v>102</v>
      </c>
      <c r="B21" s="16" t="s">
        <v>461</v>
      </c>
      <c r="C21" s="16" t="s">
        <v>580</v>
      </c>
      <c r="D21" s="47">
        <f>(20.164467-19.036135)/19.036135</f>
        <v>5.9273166533017167E-2</v>
      </c>
      <c r="E21" s="7" t="s">
        <v>754</v>
      </c>
      <c r="F21" s="47">
        <f>(20.164346-19.036135)/19.036135</f>
        <v>5.9266810200704956E-2</v>
      </c>
    </row>
    <row r="22" spans="1:11" x14ac:dyDescent="0.35">
      <c r="A22" s="7" t="s">
        <v>103</v>
      </c>
      <c r="B22" s="16" t="s">
        <v>103</v>
      </c>
      <c r="C22" s="16" t="s">
        <v>103</v>
      </c>
      <c r="D22" s="47"/>
      <c r="E22" s="7" t="s">
        <v>103</v>
      </c>
      <c r="F22" s="47"/>
    </row>
    <row r="23" spans="1:11" x14ac:dyDescent="0.35">
      <c r="A23" s="7" t="s">
        <v>104</v>
      </c>
      <c r="B23" s="16" t="s">
        <v>104</v>
      </c>
      <c r="C23" s="16" t="s">
        <v>104</v>
      </c>
      <c r="D23" s="47"/>
      <c r="E23" s="7" t="s">
        <v>104</v>
      </c>
      <c r="F23" s="47"/>
    </row>
    <row r="24" spans="1:11" x14ac:dyDescent="0.35">
      <c r="A24" s="7" t="s">
        <v>105</v>
      </c>
      <c r="B24" s="16" t="s">
        <v>105</v>
      </c>
      <c r="C24" s="16" t="s">
        <v>105</v>
      </c>
      <c r="D24" s="47"/>
      <c r="E24" s="7" t="s">
        <v>105</v>
      </c>
      <c r="F24" s="47"/>
    </row>
    <row r="25" spans="1:11" x14ac:dyDescent="0.35">
      <c r="A25" s="7" t="s">
        <v>106</v>
      </c>
      <c r="B25" s="16" t="s">
        <v>462</v>
      </c>
      <c r="C25" s="16" t="s">
        <v>581</v>
      </c>
      <c r="D25" s="26">
        <f>(1245527.87637-1320977.541214)/1320977.541214</f>
        <v>-5.7116538691990584E-2</v>
      </c>
      <c r="E25" s="7" t="s">
        <v>755</v>
      </c>
      <c r="F25" s="26">
        <f>(1245874.381558-1320977.541214)/1320977.541214</f>
        <v>-5.6854229018139725E-2</v>
      </c>
      <c r="G25" s="5"/>
    </row>
    <row r="26" spans="1:11" x14ac:dyDescent="0.35">
      <c r="A26" s="7" t="s">
        <v>107</v>
      </c>
      <c r="B26" s="16" t="s">
        <v>463</v>
      </c>
      <c r="C26" s="16" t="s">
        <v>582</v>
      </c>
      <c r="D26" s="26">
        <f>(0.848082-0.799998)/0.799998</f>
        <v>6.0105150262875676E-2</v>
      </c>
      <c r="E26" s="7" t="s">
        <v>756</v>
      </c>
      <c r="F26" s="26">
        <f>(0.847849-0.799998)/0.799998</f>
        <v>5.9813899534748811E-2</v>
      </c>
    </row>
    <row r="27" spans="1:11" x14ac:dyDescent="0.35">
      <c r="A27" s="7" t="s">
        <v>108</v>
      </c>
      <c r="B27" s="16" t="s">
        <v>464</v>
      </c>
      <c r="C27" s="16" t="s">
        <v>464</v>
      </c>
      <c r="D27" s="26">
        <f>(0.00621-0.00621)/0.00621</f>
        <v>0</v>
      </c>
      <c r="E27" s="7" t="s">
        <v>108</v>
      </c>
      <c r="F27" s="26">
        <f>(0.006211-0.00621)/0.00621</f>
        <v>1.6103059581322587E-4</v>
      </c>
    </row>
    <row r="28" spans="1:11" ht="15" thickBot="1" x14ac:dyDescent="0.4">
      <c r="A28" s="8" t="s">
        <v>109</v>
      </c>
      <c r="B28" s="17" t="s">
        <v>465</v>
      </c>
      <c r="C28" s="17" t="s">
        <v>583</v>
      </c>
      <c r="D28" s="67">
        <f>(0.841873-0.793788)/0.793788</f>
        <v>6.0576627512635525E-2</v>
      </c>
      <c r="E28" s="8" t="s">
        <v>757</v>
      </c>
      <c r="F28" s="67">
        <f>(0.841639-0.793788)/0.793788</f>
        <v>6.0281838475764279E-2</v>
      </c>
    </row>
    <row r="29" spans="1:11" ht="15" thickBot="1" x14ac:dyDescent="0.4">
      <c r="D29" s="48"/>
      <c r="F29" s="48"/>
    </row>
    <row r="30" spans="1:11" x14ac:dyDescent="0.35">
      <c r="A30" s="6" t="s">
        <v>110</v>
      </c>
      <c r="B30" s="15" t="s">
        <v>110</v>
      </c>
      <c r="C30" s="11" t="s">
        <v>175</v>
      </c>
      <c r="D30" s="74"/>
      <c r="E30" s="6" t="s">
        <v>175</v>
      </c>
      <c r="F30" s="46"/>
    </row>
    <row r="31" spans="1:11" ht="116" x14ac:dyDescent="0.35">
      <c r="A31" s="7" t="s">
        <v>111</v>
      </c>
      <c r="B31" s="16"/>
      <c r="C31" s="12" t="s">
        <v>177</v>
      </c>
      <c r="D31" s="75"/>
      <c r="E31" s="7" t="s">
        <v>177</v>
      </c>
      <c r="F31" s="47"/>
    </row>
    <row r="32" spans="1:11" x14ac:dyDescent="0.35">
      <c r="A32" s="7" t="s">
        <v>85</v>
      </c>
      <c r="B32" s="16" t="s">
        <v>85</v>
      </c>
      <c r="C32" s="12" t="s">
        <v>85</v>
      </c>
      <c r="D32" s="75"/>
      <c r="E32" s="7" t="s">
        <v>85</v>
      </c>
      <c r="F32" s="47"/>
    </row>
    <row r="33" spans="1:11" x14ac:dyDescent="0.35">
      <c r="A33" s="7" t="s">
        <v>86</v>
      </c>
      <c r="B33" s="16" t="s">
        <v>86</v>
      </c>
      <c r="C33" s="12" t="s">
        <v>86</v>
      </c>
      <c r="D33" s="75"/>
      <c r="E33" s="7" t="s">
        <v>86</v>
      </c>
      <c r="F33" s="47"/>
    </row>
    <row r="34" spans="1:11" x14ac:dyDescent="0.35">
      <c r="A34" s="7" t="s">
        <v>87</v>
      </c>
      <c r="B34" s="16" t="s">
        <v>87</v>
      </c>
      <c r="C34" s="12" t="s">
        <v>87</v>
      </c>
      <c r="D34" s="75"/>
      <c r="E34" s="7" t="s">
        <v>87</v>
      </c>
      <c r="F34" s="47"/>
    </row>
    <row r="35" spans="1:11" x14ac:dyDescent="0.35">
      <c r="A35" s="7" t="s">
        <v>88</v>
      </c>
      <c r="B35" s="16" t="s">
        <v>88</v>
      </c>
      <c r="C35" s="12" t="s">
        <v>88</v>
      </c>
      <c r="D35" s="75"/>
      <c r="E35" s="7" t="s">
        <v>88</v>
      </c>
      <c r="F35" s="47"/>
    </row>
    <row r="36" spans="1:11" x14ac:dyDescent="0.35">
      <c r="A36" s="7" t="s">
        <v>89</v>
      </c>
      <c r="B36" s="38" t="s">
        <v>89</v>
      </c>
      <c r="C36" s="12" t="s">
        <v>89</v>
      </c>
      <c r="D36" s="75"/>
      <c r="E36" s="7" t="s">
        <v>89</v>
      </c>
      <c r="F36" s="47"/>
    </row>
    <row r="37" spans="1:11" x14ac:dyDescent="0.35">
      <c r="A37" s="7" t="s">
        <v>112</v>
      </c>
      <c r="C37" s="12"/>
      <c r="D37" s="75"/>
      <c r="F37" s="47"/>
    </row>
    <row r="38" spans="1:11" x14ac:dyDescent="0.35">
      <c r="A38" s="7" t="s">
        <v>113</v>
      </c>
      <c r="B38" s="38" t="s">
        <v>466</v>
      </c>
      <c r="C38" s="12" t="s">
        <v>584</v>
      </c>
      <c r="D38" s="75">
        <f>(0.177608-0.170592)/0.170592</f>
        <v>4.1127368223597791E-2</v>
      </c>
      <c r="E38" s="7" t="s">
        <v>758</v>
      </c>
      <c r="F38" s="47">
        <f>(0.177565-0.170592)/0.170592</f>
        <v>4.0875304820859167E-2</v>
      </c>
      <c r="G38" s="5"/>
    </row>
    <row r="39" spans="1:11" x14ac:dyDescent="0.35">
      <c r="A39" s="7" t="s">
        <v>6</v>
      </c>
      <c r="B39" s="16" t="s">
        <v>6</v>
      </c>
      <c r="C39" s="12" t="s">
        <v>6</v>
      </c>
      <c r="D39" s="75"/>
      <c r="E39" s="7" t="s">
        <v>6</v>
      </c>
      <c r="F39" s="47"/>
    </row>
    <row r="40" spans="1:11" x14ac:dyDescent="0.35">
      <c r="A40" s="7" t="s">
        <v>7</v>
      </c>
      <c r="B40" s="16" t="s">
        <v>7</v>
      </c>
      <c r="C40" s="12" t="s">
        <v>7</v>
      </c>
      <c r="D40" s="75"/>
      <c r="E40" s="7" t="s">
        <v>7</v>
      </c>
      <c r="F40" s="47"/>
    </row>
    <row r="41" spans="1:11" x14ac:dyDescent="0.35">
      <c r="A41" s="7" t="s">
        <v>67</v>
      </c>
      <c r="B41" s="16" t="s">
        <v>54</v>
      </c>
      <c r="C41" s="12" t="s">
        <v>54</v>
      </c>
      <c r="D41" s="75"/>
      <c r="E41" s="7" t="s">
        <v>54</v>
      </c>
      <c r="F41" s="47"/>
    </row>
    <row r="42" spans="1:11" x14ac:dyDescent="0.35">
      <c r="A42" s="7" t="s">
        <v>68</v>
      </c>
      <c r="B42" s="16" t="s">
        <v>9</v>
      </c>
      <c r="C42" s="12" t="s">
        <v>9</v>
      </c>
      <c r="D42" s="75"/>
      <c r="E42" s="7" t="s">
        <v>9</v>
      </c>
      <c r="F42" s="47"/>
    </row>
    <row r="43" spans="1:11" x14ac:dyDescent="0.35">
      <c r="A43" s="7" t="s">
        <v>10</v>
      </c>
      <c r="B43" s="16" t="s">
        <v>55</v>
      </c>
      <c r="C43" s="12" t="s">
        <v>55</v>
      </c>
      <c r="D43" s="75"/>
      <c r="E43" s="7" t="s">
        <v>55</v>
      </c>
      <c r="F43" s="47"/>
    </row>
    <row r="44" spans="1:11" x14ac:dyDescent="0.35">
      <c r="A44" s="7" t="s">
        <v>11</v>
      </c>
      <c r="B44" s="16" t="s">
        <v>402</v>
      </c>
      <c r="C44" s="12" t="s">
        <v>56</v>
      </c>
      <c r="D44" s="75"/>
      <c r="E44" s="7" t="s">
        <v>56</v>
      </c>
      <c r="F44" s="47"/>
    </row>
    <row r="45" spans="1:11" x14ac:dyDescent="0.35">
      <c r="A45" s="7" t="s">
        <v>12</v>
      </c>
      <c r="B45" s="16" t="s">
        <v>410</v>
      </c>
      <c r="C45" s="12" t="s">
        <v>57</v>
      </c>
      <c r="D45" s="75"/>
      <c r="E45" s="7" t="s">
        <v>57</v>
      </c>
      <c r="F45" s="47"/>
    </row>
    <row r="46" spans="1:11" ht="15" thickBot="1" x14ac:dyDescent="0.4">
      <c r="A46" s="7" t="s">
        <v>114</v>
      </c>
      <c r="B46" s="16" t="s">
        <v>91</v>
      </c>
      <c r="C46" s="12" t="s">
        <v>91</v>
      </c>
      <c r="D46" s="75"/>
      <c r="E46" s="7" t="s">
        <v>91</v>
      </c>
      <c r="F46" s="47"/>
    </row>
    <row r="47" spans="1:11" x14ac:dyDescent="0.35">
      <c r="A47" s="7" t="s">
        <v>115</v>
      </c>
      <c r="B47" s="16" t="s">
        <v>467</v>
      </c>
      <c r="C47" s="12" t="s">
        <v>585</v>
      </c>
      <c r="D47" s="75">
        <f>(4419842.727851-4411063.13737)/4411063.13737</f>
        <v>1.9903570199710768E-3</v>
      </c>
      <c r="E47" s="7" t="s">
        <v>759</v>
      </c>
      <c r="F47" s="47">
        <f>(4359208.553543-4411063.13737)/4411063.13737</f>
        <v>-1.1755575064816977E-2</v>
      </c>
      <c r="H47" s="6" t="s">
        <v>803</v>
      </c>
      <c r="I47" s="4">
        <f>ABS(D47)</f>
        <v>1.9903570199710768E-3</v>
      </c>
      <c r="K47" s="4">
        <f>ABS(F47)</f>
        <v>1.1755575064816977E-2</v>
      </c>
    </row>
    <row r="48" spans="1:11" x14ac:dyDescent="0.35">
      <c r="A48" s="7" t="s">
        <v>116</v>
      </c>
      <c r="B48" s="16" t="s">
        <v>468</v>
      </c>
      <c r="C48" s="12" t="s">
        <v>586</v>
      </c>
      <c r="D48" s="75">
        <f>(5.059133-5.06814)/5.06814</f>
        <v>-1.777180583014586E-3</v>
      </c>
      <c r="E48" s="7" t="s">
        <v>760</v>
      </c>
      <c r="F48" s="47">
        <f>(5.122823-5.06814)/5.06814</f>
        <v>1.0789559877982989E-2</v>
      </c>
      <c r="H48" s="7" t="s">
        <v>802</v>
      </c>
      <c r="I48" s="4">
        <f t="shared" ref="I48:K50" si="2">ABS(D48)</f>
        <v>1.777180583014586E-3</v>
      </c>
      <c r="K48" s="4">
        <f t="shared" si="2"/>
        <v>1.0789559877982989E-2</v>
      </c>
    </row>
    <row r="49" spans="1:11" x14ac:dyDescent="0.35">
      <c r="A49" s="7" t="s">
        <v>117</v>
      </c>
      <c r="B49" s="16" t="s">
        <v>469</v>
      </c>
      <c r="C49" s="12" t="s">
        <v>587</v>
      </c>
      <c r="D49" s="75">
        <f>(0.481783-0.481679)/0.481679</f>
        <v>2.1591142648941095E-4</v>
      </c>
      <c r="E49" s="7" t="s">
        <v>761</v>
      </c>
      <c r="F49" s="47">
        <f>(0.481804-0.481679)/0.481679</f>
        <v>2.5950892606899247E-4</v>
      </c>
      <c r="H49" s="7" t="s">
        <v>791</v>
      </c>
      <c r="I49" s="4">
        <f t="shared" si="2"/>
        <v>2.1591142648941095E-4</v>
      </c>
      <c r="K49" s="4">
        <f t="shared" si="2"/>
        <v>2.5950892606899247E-4</v>
      </c>
    </row>
    <row r="50" spans="1:11" x14ac:dyDescent="0.35">
      <c r="A50" s="7" t="s">
        <v>118</v>
      </c>
      <c r="B50" s="16" t="s">
        <v>470</v>
      </c>
      <c r="C50" s="12" t="s">
        <v>588</v>
      </c>
      <c r="D50" s="75">
        <f>(4.57735-4.586461)/4.586461</f>
        <v>-1.9864989585651922E-3</v>
      </c>
      <c r="E50" s="7" t="s">
        <v>762</v>
      </c>
      <c r="F50" s="47">
        <f>(4.641019-4.586461)/4.586461</f>
        <v>1.1895446183887775E-2</v>
      </c>
      <c r="H50" s="7" t="s">
        <v>804</v>
      </c>
      <c r="I50" s="4">
        <f t="shared" si="2"/>
        <v>1.9864989585651922E-3</v>
      </c>
      <c r="K50" s="4">
        <f t="shared" si="2"/>
        <v>1.1895446183887775E-2</v>
      </c>
    </row>
    <row r="51" spans="1:11" x14ac:dyDescent="0.35">
      <c r="A51" s="7" t="s">
        <v>119</v>
      </c>
      <c r="C51" s="12"/>
      <c r="D51" s="75"/>
      <c r="F51" s="47"/>
      <c r="H51" s="7" t="s">
        <v>805</v>
      </c>
      <c r="I51" s="4">
        <f>ABS(D73)</f>
        <v>2.8603412353145042E-3</v>
      </c>
      <c r="K51" s="4">
        <f>ABS(F73)</f>
        <v>8.0740978319650478E-3</v>
      </c>
    </row>
    <row r="52" spans="1:11" x14ac:dyDescent="0.35">
      <c r="A52" s="7" t="s">
        <v>120</v>
      </c>
      <c r="C52" s="12"/>
      <c r="D52" s="75"/>
      <c r="F52" s="47"/>
      <c r="H52" s="7" t="s">
        <v>802</v>
      </c>
      <c r="I52" s="4">
        <f t="shared" ref="I52:K54" si="3">ABS(D74)</f>
        <v>2.8182652125165525E-3</v>
      </c>
      <c r="K52" s="4">
        <f t="shared" si="3"/>
        <v>8.0318010396493427E-3</v>
      </c>
    </row>
    <row r="53" spans="1:11" x14ac:dyDescent="0.35">
      <c r="A53" s="7" t="s">
        <v>121</v>
      </c>
      <c r="C53" s="12"/>
      <c r="D53" s="75"/>
      <c r="F53" s="47"/>
      <c r="H53" s="7" t="s">
        <v>791</v>
      </c>
      <c r="I53" s="4">
        <f t="shared" si="3"/>
        <v>0</v>
      </c>
      <c r="K53" s="4">
        <f t="shared" si="3"/>
        <v>8.3998320033592264E-4</v>
      </c>
    </row>
    <row r="54" spans="1:11" ht="15" thickBot="1" x14ac:dyDescent="0.4">
      <c r="A54" s="7" t="s">
        <v>122</v>
      </c>
      <c r="C54" s="12"/>
      <c r="D54" s="75"/>
      <c r="F54" s="47"/>
      <c r="H54" s="8" t="s">
        <v>806</v>
      </c>
      <c r="I54" s="4">
        <f t="shared" si="3"/>
        <v>2.8528830627479397E-3</v>
      </c>
      <c r="K54" s="4">
        <f t="shared" si="3"/>
        <v>8.1407766238991951E-3</v>
      </c>
    </row>
    <row r="55" spans="1:11" x14ac:dyDescent="0.35">
      <c r="A55" s="7" t="s">
        <v>123</v>
      </c>
      <c r="C55" s="12"/>
      <c r="D55" s="76"/>
      <c r="F55" s="26"/>
    </row>
    <row r="56" spans="1:11" x14ac:dyDescent="0.35">
      <c r="A56" s="7" t="s">
        <v>124</v>
      </c>
      <c r="B56" s="16" t="s">
        <v>96</v>
      </c>
      <c r="C56" s="12" t="s">
        <v>96</v>
      </c>
      <c r="D56" s="75"/>
      <c r="E56" s="7" t="s">
        <v>96</v>
      </c>
      <c r="F56" s="47"/>
    </row>
    <row r="57" spans="1:11" x14ac:dyDescent="0.35">
      <c r="A57" s="7" t="s">
        <v>125</v>
      </c>
      <c r="B57" s="38" t="s">
        <v>97</v>
      </c>
      <c r="C57" s="12" t="s">
        <v>97</v>
      </c>
      <c r="D57" s="75"/>
      <c r="E57" s="7" t="s">
        <v>97</v>
      </c>
      <c r="F57" s="47"/>
      <c r="G57" s="5"/>
    </row>
    <row r="58" spans="1:11" x14ac:dyDescent="0.35">
      <c r="A58" s="7" t="s">
        <v>126</v>
      </c>
      <c r="B58" s="38" t="s">
        <v>98</v>
      </c>
      <c r="C58" s="12" t="s">
        <v>98</v>
      </c>
      <c r="D58" s="75"/>
      <c r="E58" s="7" t="s">
        <v>98</v>
      </c>
      <c r="F58" s="47"/>
    </row>
    <row r="59" spans="1:11" x14ac:dyDescent="0.35">
      <c r="A59" s="7" t="s">
        <v>127</v>
      </c>
      <c r="B59" s="38" t="s">
        <v>99</v>
      </c>
      <c r="C59" s="12" t="s">
        <v>99</v>
      </c>
      <c r="D59" s="75"/>
      <c r="E59" s="7" t="s">
        <v>99</v>
      </c>
      <c r="F59" s="47"/>
    </row>
    <row r="60" spans="1:11" x14ac:dyDescent="0.35">
      <c r="A60" s="7" t="s">
        <v>128</v>
      </c>
      <c r="B60" s="38" t="s">
        <v>471</v>
      </c>
      <c r="C60" s="12" t="s">
        <v>178</v>
      </c>
      <c r="D60" s="75"/>
      <c r="E60" s="7" t="s">
        <v>178</v>
      </c>
      <c r="F60" s="47"/>
    </row>
    <row r="61" spans="1:11" x14ac:dyDescent="0.35">
      <c r="A61" s="7" t="s">
        <v>129</v>
      </c>
      <c r="B61" s="38" t="s">
        <v>179</v>
      </c>
      <c r="C61" s="12" t="s">
        <v>179</v>
      </c>
      <c r="D61" s="75"/>
      <c r="E61" s="7" t="s">
        <v>179</v>
      </c>
      <c r="F61" s="47"/>
    </row>
    <row r="62" spans="1:11" x14ac:dyDescent="0.35">
      <c r="A62" s="7" t="s">
        <v>130</v>
      </c>
      <c r="B62" s="16" t="s">
        <v>472</v>
      </c>
      <c r="C62" s="12" t="s">
        <v>589</v>
      </c>
      <c r="D62" s="75">
        <f>(20.164347-19.036023)/19.036023</f>
        <v>5.9273095015697302E-2</v>
      </c>
      <c r="E62" s="7" t="s">
        <v>763</v>
      </c>
      <c r="F62" s="47">
        <f>(20.164261-19.036023)/19.036023</f>
        <v>5.9268577265324779E-2</v>
      </c>
    </row>
    <row r="63" spans="1:11" x14ac:dyDescent="0.35">
      <c r="A63" s="7" t="s">
        <v>6</v>
      </c>
      <c r="B63" s="38" t="s">
        <v>6</v>
      </c>
      <c r="C63" s="12" t="s">
        <v>6</v>
      </c>
      <c r="D63" s="75"/>
      <c r="E63" s="7" t="s">
        <v>6</v>
      </c>
      <c r="F63" s="47"/>
    </row>
    <row r="64" spans="1:11" x14ac:dyDescent="0.35">
      <c r="A64" s="7" t="s">
        <v>7</v>
      </c>
      <c r="B64" s="38" t="s">
        <v>7</v>
      </c>
      <c r="C64" s="12" t="s">
        <v>7</v>
      </c>
      <c r="D64" s="75"/>
      <c r="E64" s="7" t="s">
        <v>7</v>
      </c>
      <c r="F64" s="47"/>
    </row>
    <row r="65" spans="1:7" x14ac:dyDescent="0.35">
      <c r="A65" s="7" t="s">
        <v>67</v>
      </c>
      <c r="B65" s="38" t="s">
        <v>54</v>
      </c>
      <c r="C65" s="12" t="s">
        <v>54</v>
      </c>
      <c r="D65" s="75"/>
      <c r="E65" s="7" t="s">
        <v>54</v>
      </c>
      <c r="F65" s="47"/>
    </row>
    <row r="66" spans="1:7" x14ac:dyDescent="0.35">
      <c r="A66" s="7" t="s">
        <v>68</v>
      </c>
      <c r="B66" s="38" t="s">
        <v>9</v>
      </c>
      <c r="C66" s="12" t="s">
        <v>9</v>
      </c>
      <c r="D66" s="75"/>
      <c r="E66" s="7" t="s">
        <v>9</v>
      </c>
      <c r="F66" s="47"/>
    </row>
    <row r="67" spans="1:7" x14ac:dyDescent="0.35">
      <c r="A67" s="7" t="s">
        <v>10</v>
      </c>
      <c r="B67" s="38" t="s">
        <v>55</v>
      </c>
      <c r="C67" s="12" t="s">
        <v>55</v>
      </c>
      <c r="D67" s="75"/>
      <c r="E67" s="7" t="s">
        <v>55</v>
      </c>
      <c r="F67" s="47"/>
    </row>
    <row r="68" spans="1:7" x14ac:dyDescent="0.35">
      <c r="A68" s="7" t="s">
        <v>11</v>
      </c>
      <c r="B68" s="16" t="s">
        <v>402</v>
      </c>
      <c r="C68" s="12" t="s">
        <v>56</v>
      </c>
      <c r="D68" s="75"/>
      <c r="E68" s="7" t="s">
        <v>56</v>
      </c>
      <c r="F68" s="47"/>
    </row>
    <row r="69" spans="1:7" x14ac:dyDescent="0.35">
      <c r="A69" s="7" t="s">
        <v>12</v>
      </c>
      <c r="B69" s="16" t="s">
        <v>410</v>
      </c>
      <c r="C69" s="12" t="s">
        <v>57</v>
      </c>
      <c r="D69" s="75"/>
      <c r="E69" s="7" t="s">
        <v>57</v>
      </c>
      <c r="F69" s="47"/>
    </row>
    <row r="70" spans="1:7" x14ac:dyDescent="0.35">
      <c r="A70" s="7" t="s">
        <v>103</v>
      </c>
      <c r="B70" s="16" t="s">
        <v>103</v>
      </c>
      <c r="C70" s="12" t="s">
        <v>103</v>
      </c>
      <c r="D70" s="75"/>
      <c r="E70" s="7" t="s">
        <v>103</v>
      </c>
      <c r="F70" s="47"/>
    </row>
    <row r="71" spans="1:7" x14ac:dyDescent="0.35">
      <c r="A71" s="7" t="s">
        <v>104</v>
      </c>
      <c r="B71" s="16" t="s">
        <v>104</v>
      </c>
      <c r="C71" s="12" t="s">
        <v>104</v>
      </c>
      <c r="D71" s="75"/>
      <c r="E71" s="7" t="s">
        <v>104</v>
      </c>
      <c r="F71" s="47"/>
    </row>
    <row r="72" spans="1:7" x14ac:dyDescent="0.35">
      <c r="A72" s="7" t="s">
        <v>105</v>
      </c>
      <c r="B72" s="16" t="s">
        <v>105</v>
      </c>
      <c r="C72" s="12" t="s">
        <v>105</v>
      </c>
      <c r="D72" s="75"/>
      <c r="E72" s="7" t="s">
        <v>105</v>
      </c>
      <c r="F72" s="47"/>
    </row>
    <row r="73" spans="1:7" x14ac:dyDescent="0.35">
      <c r="A73" s="7" t="s">
        <v>131</v>
      </c>
      <c r="B73" s="16" t="s">
        <v>473</v>
      </c>
      <c r="C73" s="12" t="s">
        <v>590</v>
      </c>
      <c r="D73" s="76">
        <f>(5424983.706168-5409510.659765)/5409510.659765</f>
        <v>2.8603412353145042E-3</v>
      </c>
      <c r="E73" s="7" t="s">
        <v>764</v>
      </c>
      <c r="F73" s="26">
        <f>(5365833.741475-5409510.659765)/5409510.659765</f>
        <v>-8.0740978319650478E-3</v>
      </c>
    </row>
    <row r="74" spans="1:7" x14ac:dyDescent="0.35">
      <c r="A74" s="7" t="s">
        <v>132</v>
      </c>
      <c r="B74" s="16" t="s">
        <v>474</v>
      </c>
      <c r="C74" s="12" t="s">
        <v>591</v>
      </c>
      <c r="D74" s="76">
        <f>(0.195667-0.19622)/0.19622</f>
        <v>-2.8182652125165525E-3</v>
      </c>
      <c r="E74" s="7" t="s">
        <v>765</v>
      </c>
      <c r="F74" s="26">
        <f>(0.197796-0.19622)/0.19622</f>
        <v>8.0318010396493427E-3</v>
      </c>
    </row>
    <row r="75" spans="1:7" x14ac:dyDescent="0.35">
      <c r="A75" s="7" t="s">
        <v>133</v>
      </c>
      <c r="B75" s="16" t="s">
        <v>391</v>
      </c>
      <c r="C75" s="12" t="s">
        <v>391</v>
      </c>
      <c r="D75" s="76">
        <f>(0.002381-0.002381)/0.002381</f>
        <v>0</v>
      </c>
      <c r="E75" s="7" t="s">
        <v>766</v>
      </c>
      <c r="F75" s="26">
        <f>(0.002379-0.002381)/0.002381</f>
        <v>-8.3998320033592264E-4</v>
      </c>
    </row>
    <row r="76" spans="1:7" x14ac:dyDescent="0.35">
      <c r="A76" s="7" t="s">
        <v>134</v>
      </c>
      <c r="B76" s="16" t="s">
        <v>475</v>
      </c>
      <c r="C76" s="12" t="s">
        <v>592</v>
      </c>
      <c r="D76" s="76">
        <f>(0.193286-0.193839)/0.193839</f>
        <v>-2.8528830627479397E-3</v>
      </c>
      <c r="E76" s="7" t="s">
        <v>767</v>
      </c>
      <c r="F76" s="26">
        <f>(0.195417-0.193839)/0.193839</f>
        <v>8.1407766238991951E-3</v>
      </c>
      <c r="G76" s="5"/>
    </row>
    <row r="77" spans="1:7" x14ac:dyDescent="0.35">
      <c r="A77" s="7" t="s">
        <v>135</v>
      </c>
      <c r="C77" s="12"/>
      <c r="D77" s="75"/>
      <c r="F77" s="47"/>
    </row>
    <row r="78" spans="1:7" x14ac:dyDescent="0.35">
      <c r="A78" s="7" t="s">
        <v>120</v>
      </c>
      <c r="C78" s="12"/>
      <c r="D78" s="75"/>
      <c r="F78" s="47"/>
    </row>
    <row r="79" spans="1:7" x14ac:dyDescent="0.35">
      <c r="A79" s="7" t="s">
        <v>136</v>
      </c>
      <c r="B79" s="16"/>
      <c r="C79" s="12"/>
      <c r="D79" s="75"/>
      <c r="E79" s="7"/>
      <c r="F79" s="47"/>
    </row>
    <row r="80" spans="1:7" x14ac:dyDescent="0.35">
      <c r="A80" s="7" t="s">
        <v>16</v>
      </c>
      <c r="B80" s="16" t="s">
        <v>16</v>
      </c>
      <c r="C80" s="12" t="s">
        <v>16</v>
      </c>
      <c r="D80" s="75"/>
      <c r="E80" s="7" t="s">
        <v>16</v>
      </c>
      <c r="F80" s="47"/>
    </row>
    <row r="81" spans="1:6" x14ac:dyDescent="0.35">
      <c r="A81" s="7" t="s">
        <v>137</v>
      </c>
      <c r="B81" s="16" t="s">
        <v>476</v>
      </c>
      <c r="C81" s="12" t="s">
        <v>593</v>
      </c>
      <c r="D81" s="75"/>
      <c r="E81" s="7" t="s">
        <v>768</v>
      </c>
      <c r="F81" s="47"/>
    </row>
    <row r="82" spans="1:6" ht="15" thickBot="1" x14ac:dyDescent="0.4">
      <c r="A82" s="8" t="s">
        <v>138</v>
      </c>
      <c r="B82" s="17"/>
      <c r="C82" s="13"/>
      <c r="D82" s="77"/>
      <c r="E82" s="8"/>
      <c r="F82" s="48"/>
    </row>
    <row r="83" spans="1:6" ht="15" thickBot="1" x14ac:dyDescent="0.4">
      <c r="A83" s="38"/>
      <c r="B83" s="38"/>
      <c r="C83" s="38"/>
      <c r="D83" s="49"/>
      <c r="E83" s="38"/>
      <c r="F83" s="49"/>
    </row>
    <row r="84" spans="1:6" x14ac:dyDescent="0.35">
      <c r="A84" s="6" t="s">
        <v>397</v>
      </c>
      <c r="B84" s="78" t="s">
        <v>814</v>
      </c>
      <c r="C84" s="78" t="s">
        <v>814</v>
      </c>
      <c r="D84" s="46"/>
      <c r="E84" s="78" t="s">
        <v>814</v>
      </c>
      <c r="F84" s="46"/>
    </row>
    <row r="85" spans="1:6" x14ac:dyDescent="0.35">
      <c r="A85" s="7"/>
      <c r="B85" s="7" t="s">
        <v>815</v>
      </c>
      <c r="C85" s="7" t="s">
        <v>811</v>
      </c>
      <c r="D85" s="47"/>
      <c r="E85" s="7" t="s">
        <v>811</v>
      </c>
      <c r="F85" s="47"/>
    </row>
    <row r="86" spans="1:6" ht="116" x14ac:dyDescent="0.35">
      <c r="A86" s="7"/>
      <c r="B86" s="7" t="s">
        <v>816</v>
      </c>
      <c r="C86" s="7" t="s">
        <v>812</v>
      </c>
      <c r="D86" s="47"/>
      <c r="E86" s="7" t="s">
        <v>812</v>
      </c>
      <c r="F86" s="47"/>
    </row>
    <row r="87" spans="1:6" x14ac:dyDescent="0.35">
      <c r="A87" s="7"/>
      <c r="B87" s="7" t="s">
        <v>85</v>
      </c>
      <c r="C87" s="7" t="s">
        <v>85</v>
      </c>
      <c r="D87" s="47"/>
      <c r="E87" s="7" t="s">
        <v>85</v>
      </c>
      <c r="F87" s="47"/>
    </row>
    <row r="88" spans="1:6" x14ac:dyDescent="0.35">
      <c r="A88" s="7"/>
      <c r="B88" s="7" t="s">
        <v>86</v>
      </c>
      <c r="C88" s="7" t="s">
        <v>86</v>
      </c>
      <c r="D88" s="47"/>
      <c r="E88" s="7" t="s">
        <v>86</v>
      </c>
      <c r="F88" s="47"/>
    </row>
    <row r="89" spans="1:6" x14ac:dyDescent="0.35">
      <c r="A89" s="7"/>
      <c r="B89" s="7" t="s">
        <v>87</v>
      </c>
      <c r="C89" s="7" t="s">
        <v>87</v>
      </c>
      <c r="D89" s="47"/>
      <c r="E89" s="7" t="s">
        <v>87</v>
      </c>
      <c r="F89" s="47"/>
    </row>
    <row r="90" spans="1:6" x14ac:dyDescent="0.35">
      <c r="A90" s="7"/>
      <c r="B90" s="7" t="s">
        <v>88</v>
      </c>
      <c r="C90" s="7" t="s">
        <v>88</v>
      </c>
      <c r="D90" s="47"/>
      <c r="E90" s="7" t="s">
        <v>88</v>
      </c>
      <c r="F90" s="47"/>
    </row>
    <row r="91" spans="1:6" x14ac:dyDescent="0.35">
      <c r="A91" s="7"/>
      <c r="B91" s="7" t="s">
        <v>89</v>
      </c>
      <c r="C91" s="7" t="s">
        <v>89</v>
      </c>
      <c r="D91" s="47"/>
      <c r="E91" s="7" t="s">
        <v>89</v>
      </c>
      <c r="F91" s="47"/>
    </row>
    <row r="92" spans="1:6" x14ac:dyDescent="0.35">
      <c r="A92" s="7"/>
      <c r="B92" s="7" t="s">
        <v>456</v>
      </c>
      <c r="C92" s="7" t="s">
        <v>827</v>
      </c>
      <c r="D92" s="47"/>
      <c r="E92" s="7" t="s">
        <v>837</v>
      </c>
      <c r="F92" s="47"/>
    </row>
    <row r="93" spans="1:6" x14ac:dyDescent="0.35">
      <c r="A93" s="7"/>
      <c r="B93" s="7" t="s">
        <v>6</v>
      </c>
      <c r="C93" s="7" t="s">
        <v>6</v>
      </c>
      <c r="D93" s="47"/>
      <c r="E93" s="7" t="s">
        <v>6</v>
      </c>
      <c r="F93" s="47"/>
    </row>
    <row r="94" spans="1:6" x14ac:dyDescent="0.35">
      <c r="A94" s="7"/>
      <c r="B94" s="7" t="s">
        <v>7</v>
      </c>
      <c r="C94" s="7" t="s">
        <v>7</v>
      </c>
      <c r="D94" s="47"/>
      <c r="E94" s="7" t="s">
        <v>7</v>
      </c>
      <c r="F94" s="47"/>
    </row>
    <row r="95" spans="1:6" x14ac:dyDescent="0.35">
      <c r="A95" s="7"/>
      <c r="B95" s="7" t="s">
        <v>54</v>
      </c>
      <c r="C95" s="7" t="s">
        <v>54</v>
      </c>
      <c r="D95" s="47"/>
      <c r="E95" s="7" t="s">
        <v>54</v>
      </c>
      <c r="F95" s="47"/>
    </row>
    <row r="96" spans="1:6" x14ac:dyDescent="0.35">
      <c r="A96" s="7"/>
      <c r="B96" s="7" t="s">
        <v>9</v>
      </c>
      <c r="C96" s="7" t="s">
        <v>9</v>
      </c>
      <c r="D96" s="47"/>
      <c r="E96" s="7" t="s">
        <v>9</v>
      </c>
      <c r="F96" s="47"/>
    </row>
    <row r="97" spans="1:11" x14ac:dyDescent="0.35">
      <c r="A97" s="7"/>
      <c r="B97" s="7" t="s">
        <v>55</v>
      </c>
      <c r="C97" s="7" t="s">
        <v>55</v>
      </c>
      <c r="D97" s="47"/>
      <c r="E97" s="7" t="s">
        <v>55</v>
      </c>
      <c r="F97" s="47"/>
    </row>
    <row r="98" spans="1:11" x14ac:dyDescent="0.35">
      <c r="A98" s="7"/>
      <c r="B98" s="7" t="s">
        <v>402</v>
      </c>
      <c r="C98" s="7" t="s">
        <v>56</v>
      </c>
      <c r="D98" s="47"/>
      <c r="E98" s="7" t="s">
        <v>56</v>
      </c>
      <c r="F98" s="47"/>
    </row>
    <row r="99" spans="1:11" x14ac:dyDescent="0.35">
      <c r="A99" s="7"/>
      <c r="B99" s="7" t="s">
        <v>410</v>
      </c>
      <c r="C99" s="7" t="s">
        <v>57</v>
      </c>
      <c r="D99" s="47"/>
      <c r="E99" s="7" t="s">
        <v>57</v>
      </c>
      <c r="F99" s="47"/>
    </row>
    <row r="100" spans="1:11" ht="15" thickBot="1" x14ac:dyDescent="0.4">
      <c r="A100" s="7"/>
      <c r="B100" s="7" t="s">
        <v>91</v>
      </c>
      <c r="C100" s="7" t="s">
        <v>91</v>
      </c>
      <c r="D100" s="47"/>
      <c r="E100" s="7" t="s">
        <v>91</v>
      </c>
      <c r="F100" s="47"/>
    </row>
    <row r="101" spans="1:11" x14ac:dyDescent="0.35">
      <c r="A101" s="7"/>
      <c r="B101" s="7" t="s">
        <v>817</v>
      </c>
      <c r="C101" s="7" t="s">
        <v>828</v>
      </c>
      <c r="D101" s="75">
        <f>(4411753.022732-4410573.007165)/4410573.007165</f>
        <v>2.6754246332235797E-4</v>
      </c>
      <c r="E101" s="7" t="s">
        <v>838</v>
      </c>
      <c r="F101" s="75">
        <f>(4345655.991761-4410573.007165)/4410573.007165</f>
        <v>-1.471849922868115E-2</v>
      </c>
      <c r="H101" s="6" t="s">
        <v>803</v>
      </c>
      <c r="I101" s="4">
        <f>ABS(D101)</f>
        <v>2.6754246332235797E-4</v>
      </c>
      <c r="J101" s="4"/>
      <c r="K101" s="4">
        <f>ABS(F101)</f>
        <v>1.471849922868115E-2</v>
      </c>
    </row>
    <row r="102" spans="1:11" x14ac:dyDescent="0.35">
      <c r="A102" s="7"/>
      <c r="B102" s="7" t="s">
        <v>818</v>
      </c>
      <c r="C102" s="7" t="s">
        <v>829</v>
      </c>
      <c r="D102" s="75">
        <f>(5.067529-5.068654)/5.068654</f>
        <v>-2.2195241576955985E-4</v>
      </c>
      <c r="E102" s="7" t="s">
        <v>839</v>
      </c>
      <c r="F102" s="75">
        <f>(5.137299-5.068654)/5.068654</f>
        <v>1.3543043182667266E-2</v>
      </c>
      <c r="H102" s="7" t="s">
        <v>802</v>
      </c>
      <c r="I102" s="4">
        <f t="shared" ref="I102:K104" si="4">ABS(D102)</f>
        <v>2.2195241576955985E-4</v>
      </c>
      <c r="J102" s="4"/>
      <c r="K102" s="4">
        <f t="shared" si="4"/>
        <v>1.3543043182667266E-2</v>
      </c>
    </row>
    <row r="103" spans="1:11" x14ac:dyDescent="0.35">
      <c r="A103" s="7"/>
      <c r="B103" s="7" t="s">
        <v>819</v>
      </c>
      <c r="C103" s="7" t="s">
        <v>830</v>
      </c>
      <c r="D103" s="75">
        <f>(0.481785-0.481683)/0.481683</f>
        <v>2.1175752517744347E-4</v>
      </c>
      <c r="E103" s="7" t="s">
        <v>840</v>
      </c>
      <c r="F103" s="75">
        <f>(0.481806-0.481683)/0.481683</f>
        <v>2.5535466271394205E-4</v>
      </c>
      <c r="H103" s="7" t="s">
        <v>791</v>
      </c>
      <c r="I103" s="4">
        <f t="shared" si="4"/>
        <v>2.1175752517744347E-4</v>
      </c>
      <c r="J103" s="4"/>
      <c r="K103" s="4">
        <f t="shared" si="4"/>
        <v>2.5535466271394205E-4</v>
      </c>
    </row>
    <row r="104" spans="1:11" x14ac:dyDescent="0.35">
      <c r="A104" s="7"/>
      <c r="B104" s="7" t="s">
        <v>820</v>
      </c>
      <c r="C104" s="7" t="s">
        <v>831</v>
      </c>
      <c r="D104" s="75">
        <f>(4.585744-4.586971)/4.586971</f>
        <v>-2.6749678600542474E-4</v>
      </c>
      <c r="E104" s="7" t="s">
        <v>841</v>
      </c>
      <c r="F104" s="75">
        <f>(4.655493-4.586971)/4.586971</f>
        <v>1.4938398346098057E-2</v>
      </c>
      <c r="H104" s="7" t="s">
        <v>804</v>
      </c>
      <c r="I104" s="4">
        <f t="shared" si="4"/>
        <v>2.6749678600542474E-4</v>
      </c>
      <c r="J104" s="4"/>
      <c r="K104" s="4">
        <f t="shared" si="4"/>
        <v>1.4938398346098057E-2</v>
      </c>
    </row>
    <row r="105" spans="1:11" x14ac:dyDescent="0.35">
      <c r="A105" s="7"/>
      <c r="B105" s="7" t="s">
        <v>96</v>
      </c>
      <c r="C105" s="7" t="s">
        <v>96</v>
      </c>
      <c r="D105" s="47"/>
      <c r="E105" s="7" t="s">
        <v>96</v>
      </c>
      <c r="F105" s="47"/>
      <c r="H105" s="7" t="s">
        <v>805</v>
      </c>
      <c r="I105" s="4">
        <f>ABS(D122)</f>
        <v>7.1697750866193117E-5</v>
      </c>
      <c r="J105" s="4"/>
      <c r="K105" s="4">
        <f>ABS(F122)</f>
        <v>1.0391174208514336E-2</v>
      </c>
    </row>
    <row r="106" spans="1:11" x14ac:dyDescent="0.35">
      <c r="A106" s="7"/>
      <c r="B106" s="7" t="s">
        <v>97</v>
      </c>
      <c r="C106" s="7" t="s">
        <v>97</v>
      </c>
      <c r="D106" s="47"/>
      <c r="E106" s="7" t="s">
        <v>97</v>
      </c>
      <c r="F106" s="47"/>
      <c r="H106" s="7" t="s">
        <v>802</v>
      </c>
      <c r="I106" s="4">
        <f t="shared" ref="I106:K108" si="5">ABS(D123)</f>
        <v>6.1186716363797078E-5</v>
      </c>
      <c r="J106" s="4"/>
      <c r="K106" s="4">
        <f t="shared" si="5"/>
        <v>1.0376247316707589E-2</v>
      </c>
    </row>
    <row r="107" spans="1:11" x14ac:dyDescent="0.35">
      <c r="A107" s="7"/>
      <c r="B107" s="7" t="s">
        <v>98</v>
      </c>
      <c r="C107" s="7" t="s">
        <v>98</v>
      </c>
      <c r="D107" s="47"/>
      <c r="E107" s="7" t="s">
        <v>98</v>
      </c>
      <c r="F107" s="47"/>
      <c r="H107" s="7" t="s">
        <v>791</v>
      </c>
      <c r="I107" s="4">
        <f t="shared" si="5"/>
        <v>1.2615643397813139E-3</v>
      </c>
      <c r="J107" s="4"/>
      <c r="K107" s="4">
        <f t="shared" si="5"/>
        <v>8.410428931876642E-4</v>
      </c>
    </row>
    <row r="108" spans="1:11" ht="15" thickBot="1" x14ac:dyDescent="0.4">
      <c r="A108" s="7"/>
      <c r="B108" s="7" t="s">
        <v>99</v>
      </c>
      <c r="C108" s="7" t="s">
        <v>99</v>
      </c>
      <c r="D108" s="47"/>
      <c r="E108" s="7" t="s">
        <v>99</v>
      </c>
      <c r="F108" s="47"/>
      <c r="H108" s="8" t="s">
        <v>806</v>
      </c>
      <c r="I108" s="4">
        <f t="shared" si="5"/>
        <v>7.2261048198048151E-5</v>
      </c>
      <c r="J108" s="4"/>
      <c r="K108" s="4">
        <f t="shared" si="5"/>
        <v>1.0503659505940937E-2</v>
      </c>
    </row>
    <row r="109" spans="1:11" x14ac:dyDescent="0.35">
      <c r="A109" s="7"/>
      <c r="B109" s="7" t="s">
        <v>471</v>
      </c>
      <c r="C109" s="7" t="s">
        <v>178</v>
      </c>
      <c r="D109" s="47"/>
      <c r="E109" s="7" t="s">
        <v>178</v>
      </c>
      <c r="F109" s="47"/>
    </row>
    <row r="110" spans="1:11" x14ac:dyDescent="0.35">
      <c r="A110" s="7"/>
      <c r="B110" s="7" t="s">
        <v>179</v>
      </c>
      <c r="C110" s="7" t="s">
        <v>179</v>
      </c>
      <c r="D110" s="47"/>
      <c r="E110" s="7" t="s">
        <v>179</v>
      </c>
      <c r="F110" s="47"/>
    </row>
    <row r="111" spans="1:11" x14ac:dyDescent="0.35">
      <c r="A111" s="7"/>
      <c r="B111" s="7" t="s">
        <v>821</v>
      </c>
      <c r="C111" s="7" t="s">
        <v>832</v>
      </c>
      <c r="D111" s="75">
        <f>(20.238777-19.03653)/19.03653</f>
        <v>6.315473460762018E-2</v>
      </c>
      <c r="E111" s="7" t="s">
        <v>842</v>
      </c>
      <c r="F111" s="75">
        <f>(20.242415-19.03653)/19.03653</f>
        <v>6.3345840864905634E-2</v>
      </c>
    </row>
    <row r="112" spans="1:11" x14ac:dyDescent="0.35">
      <c r="A112" s="7"/>
      <c r="B112" s="7" t="s">
        <v>6</v>
      </c>
      <c r="C112" s="7" t="s">
        <v>6</v>
      </c>
      <c r="D112" s="47"/>
      <c r="E112" s="7" t="s">
        <v>6</v>
      </c>
      <c r="F112" s="47"/>
    </row>
    <row r="113" spans="1:6" x14ac:dyDescent="0.35">
      <c r="A113" s="7"/>
      <c r="B113" s="7" t="s">
        <v>7</v>
      </c>
      <c r="C113" s="7" t="s">
        <v>7</v>
      </c>
      <c r="D113" s="47"/>
      <c r="E113" s="7" t="s">
        <v>7</v>
      </c>
      <c r="F113" s="47"/>
    </row>
    <row r="114" spans="1:6" x14ac:dyDescent="0.35">
      <c r="A114" s="7"/>
      <c r="B114" s="7" t="s">
        <v>54</v>
      </c>
      <c r="C114" s="7" t="s">
        <v>54</v>
      </c>
      <c r="D114" s="47"/>
      <c r="E114" s="7" t="s">
        <v>54</v>
      </c>
      <c r="F114" s="47"/>
    </row>
    <row r="115" spans="1:6" x14ac:dyDescent="0.35">
      <c r="A115" s="7"/>
      <c r="B115" s="7" t="s">
        <v>9</v>
      </c>
      <c r="C115" s="7" t="s">
        <v>9</v>
      </c>
      <c r="D115" s="47"/>
      <c r="E115" s="7" t="s">
        <v>9</v>
      </c>
      <c r="F115" s="47"/>
    </row>
    <row r="116" spans="1:6" x14ac:dyDescent="0.35">
      <c r="A116" s="7"/>
      <c r="B116" s="7" t="s">
        <v>55</v>
      </c>
      <c r="C116" s="7" t="s">
        <v>55</v>
      </c>
      <c r="D116" s="47"/>
      <c r="E116" s="7" t="s">
        <v>55</v>
      </c>
      <c r="F116" s="47"/>
    </row>
    <row r="117" spans="1:6" x14ac:dyDescent="0.35">
      <c r="A117" s="7"/>
      <c r="B117" s="7" t="s">
        <v>402</v>
      </c>
      <c r="C117" s="7" t="s">
        <v>56</v>
      </c>
      <c r="D117" s="47"/>
      <c r="E117" s="7" t="s">
        <v>56</v>
      </c>
      <c r="F117" s="47"/>
    </row>
    <row r="118" spans="1:6" x14ac:dyDescent="0.35">
      <c r="A118" s="7"/>
      <c r="B118" s="7" t="s">
        <v>410</v>
      </c>
      <c r="C118" s="7" t="s">
        <v>57</v>
      </c>
      <c r="D118" s="47"/>
      <c r="E118" s="7" t="s">
        <v>57</v>
      </c>
      <c r="F118" s="47"/>
    </row>
    <row r="119" spans="1:6" x14ac:dyDescent="0.35">
      <c r="A119" s="7"/>
      <c r="B119" s="7" t="s">
        <v>103</v>
      </c>
      <c r="C119" s="7" t="s">
        <v>103</v>
      </c>
      <c r="D119" s="47"/>
      <c r="E119" s="7" t="s">
        <v>103</v>
      </c>
      <c r="F119" s="47"/>
    </row>
    <row r="120" spans="1:6" x14ac:dyDescent="0.35">
      <c r="A120" s="7"/>
      <c r="B120" s="7" t="s">
        <v>104</v>
      </c>
      <c r="C120" s="7" t="s">
        <v>104</v>
      </c>
      <c r="D120" s="47"/>
      <c r="E120" s="7" t="s">
        <v>104</v>
      </c>
      <c r="F120" s="47"/>
    </row>
    <row r="121" spans="1:6" x14ac:dyDescent="0.35">
      <c r="A121" s="7"/>
      <c r="B121" s="7" t="s">
        <v>105</v>
      </c>
      <c r="C121" s="7" t="s">
        <v>105</v>
      </c>
      <c r="D121" s="47"/>
      <c r="E121" s="7" t="s">
        <v>105</v>
      </c>
      <c r="F121" s="47"/>
    </row>
    <row r="122" spans="1:6" x14ac:dyDescent="0.35">
      <c r="A122" s="7"/>
      <c r="B122" s="7" t="s">
        <v>822</v>
      </c>
      <c r="C122" s="7" t="s">
        <v>833</v>
      </c>
      <c r="D122" s="76">
        <f>(5412609.18507-5412221.140987)/5412221.140987</f>
        <v>7.1697750866193117E-5</v>
      </c>
      <c r="E122" s="7" t="s">
        <v>843</v>
      </c>
      <c r="F122" s="76">
        <f>(5355981.808256-5412221.140987)/5412221.140987</f>
        <v>-1.0391174208514336E-2</v>
      </c>
    </row>
    <row r="123" spans="1:6" x14ac:dyDescent="0.35">
      <c r="A123" s="7"/>
      <c r="B123" s="7" t="s">
        <v>823</v>
      </c>
      <c r="C123" s="7" t="s">
        <v>834</v>
      </c>
      <c r="D123" s="76">
        <f>(0.196109-0.196121)/0.196121</f>
        <v>-6.1186716363797078E-5</v>
      </c>
      <c r="E123" s="7" t="s">
        <v>844</v>
      </c>
      <c r="F123" s="76">
        <f>(0.198156-0.196121)/0.196121</f>
        <v>1.0376247316707589E-2</v>
      </c>
    </row>
    <row r="124" spans="1:6" x14ac:dyDescent="0.35">
      <c r="A124" s="7"/>
      <c r="B124" s="7" t="s">
        <v>824</v>
      </c>
      <c r="C124" s="7" t="s">
        <v>391</v>
      </c>
      <c r="D124" s="76">
        <f>(0.002381-0.002378)/0.002378</f>
        <v>1.2615643397813139E-3</v>
      </c>
      <c r="E124" s="7" t="s">
        <v>813</v>
      </c>
      <c r="F124" s="76">
        <f>(0.00238-0.002378)/0.002378</f>
        <v>8.410428931876642E-4</v>
      </c>
    </row>
    <row r="125" spans="1:6" x14ac:dyDescent="0.35">
      <c r="A125" s="7"/>
      <c r="B125" s="7" t="s">
        <v>825</v>
      </c>
      <c r="C125" s="7" t="s">
        <v>835</v>
      </c>
      <c r="D125" s="76">
        <f>(0.193728-0.193742)/0.193742</f>
        <v>-7.2261048198048151E-5</v>
      </c>
      <c r="E125" s="7" t="s">
        <v>845</v>
      </c>
      <c r="F125" s="76">
        <f>(0.195777-0.193742)/0.193742</f>
        <v>1.0503659505940937E-2</v>
      </c>
    </row>
    <row r="126" spans="1:6" x14ac:dyDescent="0.35">
      <c r="A126" s="7"/>
      <c r="B126" s="7" t="s">
        <v>16</v>
      </c>
      <c r="C126" s="7" t="s">
        <v>16</v>
      </c>
      <c r="D126" s="47"/>
      <c r="E126" s="7" t="s">
        <v>16</v>
      </c>
      <c r="F126" s="47"/>
    </row>
    <row r="127" spans="1:6" x14ac:dyDescent="0.35">
      <c r="A127" s="7"/>
      <c r="B127" s="7" t="s">
        <v>826</v>
      </c>
      <c r="C127" s="7" t="s">
        <v>836</v>
      </c>
      <c r="D127" s="47"/>
      <c r="E127" s="7" t="s">
        <v>846</v>
      </c>
      <c r="F127" s="47"/>
    </row>
    <row r="128" spans="1:6" x14ac:dyDescent="0.35">
      <c r="A128" s="7"/>
      <c r="B128" s="7"/>
      <c r="C128" s="7"/>
      <c r="D128" s="47"/>
      <c r="E128" s="7"/>
      <c r="F128" s="47"/>
    </row>
    <row r="129" spans="1:6" x14ac:dyDescent="0.35">
      <c r="A129" s="7"/>
      <c r="B129" s="7"/>
      <c r="C129" s="7"/>
      <c r="D129" s="47"/>
      <c r="E129" s="7"/>
      <c r="F129" s="47"/>
    </row>
    <row r="130" spans="1:6" x14ac:dyDescent="0.35">
      <c r="A130" s="7"/>
      <c r="B130" s="7"/>
      <c r="C130" s="7"/>
      <c r="D130" s="47"/>
      <c r="E130" s="7"/>
      <c r="F130" s="47"/>
    </row>
    <row r="131" spans="1:6" x14ac:dyDescent="0.35">
      <c r="A131" s="7"/>
      <c r="B131" s="7"/>
      <c r="C131" s="7"/>
      <c r="D131" s="47"/>
      <c r="E131" s="7"/>
      <c r="F131" s="47"/>
    </row>
    <row r="132" spans="1:6" x14ac:dyDescent="0.35">
      <c r="A132" s="7"/>
      <c r="B132" s="7"/>
      <c r="C132" s="7"/>
      <c r="D132" s="47"/>
      <c r="E132" s="7"/>
      <c r="F132" s="47"/>
    </row>
    <row r="133" spans="1:6" x14ac:dyDescent="0.35">
      <c r="A133" s="7"/>
      <c r="B133" s="7"/>
      <c r="C133" s="7"/>
      <c r="D133" s="47"/>
      <c r="E133" s="7"/>
      <c r="F133" s="47"/>
    </row>
    <row r="134" spans="1:6" x14ac:dyDescent="0.35">
      <c r="A134" s="7"/>
      <c r="B134" s="7"/>
      <c r="C134" s="7"/>
      <c r="D134" s="47"/>
      <c r="E134" s="7"/>
      <c r="F134" s="47"/>
    </row>
    <row r="135" spans="1:6" x14ac:dyDescent="0.35">
      <c r="A135" s="7"/>
      <c r="B135" s="7"/>
      <c r="C135" s="7"/>
      <c r="D135" s="47"/>
      <c r="E135" s="7"/>
      <c r="F135" s="47"/>
    </row>
    <row r="136" spans="1:6" x14ac:dyDescent="0.35">
      <c r="A136" s="7"/>
      <c r="B136" s="7"/>
      <c r="C136" s="7"/>
      <c r="D136" s="47"/>
      <c r="E136" s="7"/>
      <c r="F136" s="47"/>
    </row>
    <row r="137" spans="1:6" ht="15" thickBot="1" x14ac:dyDescent="0.4">
      <c r="A137" s="8"/>
      <c r="B137" s="8"/>
      <c r="C137" s="8"/>
      <c r="D137" s="48"/>
      <c r="E137" s="8"/>
      <c r="F137" s="48"/>
    </row>
    <row r="138" spans="1:6" ht="15" thickBot="1" x14ac:dyDescent="0.4"/>
    <row r="139" spans="1:6" x14ac:dyDescent="0.35">
      <c r="A139" s="6" t="s">
        <v>139</v>
      </c>
      <c r="B139" s="6" t="s">
        <v>139</v>
      </c>
      <c r="C139" s="6" t="s">
        <v>397</v>
      </c>
      <c r="E139" s="6" t="s">
        <v>397</v>
      </c>
    </row>
    <row r="140" spans="1:6" ht="58" x14ac:dyDescent="0.35">
      <c r="A140" s="7" t="s">
        <v>140</v>
      </c>
      <c r="B140" s="7"/>
      <c r="C140" s="25"/>
      <c r="E140" s="7"/>
    </row>
    <row r="141" spans="1:6" x14ac:dyDescent="0.35">
      <c r="A141" s="7" t="s">
        <v>85</v>
      </c>
      <c r="B141" s="7" t="s">
        <v>85</v>
      </c>
      <c r="C141" s="25"/>
      <c r="E141" s="7"/>
    </row>
    <row r="142" spans="1:6" x14ac:dyDescent="0.35">
      <c r="A142" s="7" t="s">
        <v>86</v>
      </c>
      <c r="B142" s="7" t="s">
        <v>86</v>
      </c>
      <c r="C142" s="7"/>
      <c r="E142" s="7"/>
    </row>
    <row r="143" spans="1:6" x14ac:dyDescent="0.35">
      <c r="A143" s="7" t="s">
        <v>87</v>
      </c>
      <c r="B143" s="7" t="s">
        <v>87</v>
      </c>
      <c r="C143" s="7"/>
      <c r="E143" s="7"/>
    </row>
    <row r="144" spans="1:6" x14ac:dyDescent="0.35">
      <c r="A144" s="7" t="s">
        <v>88</v>
      </c>
      <c r="B144" s="7" t="s">
        <v>88</v>
      </c>
      <c r="C144" s="7"/>
      <c r="E144" s="7"/>
    </row>
    <row r="145" spans="1:7" x14ac:dyDescent="0.35">
      <c r="A145" s="7" t="s">
        <v>89</v>
      </c>
      <c r="B145" s="7" t="s">
        <v>89</v>
      </c>
      <c r="C145" s="7"/>
      <c r="E145" s="7"/>
    </row>
    <row r="146" spans="1:7" x14ac:dyDescent="0.35">
      <c r="A146" s="7" t="s">
        <v>141</v>
      </c>
      <c r="B146" s="7" t="s">
        <v>477</v>
      </c>
      <c r="C146" s="7"/>
      <c r="E146" s="7"/>
    </row>
    <row r="147" spans="1:7" x14ac:dyDescent="0.35">
      <c r="A147" s="7" t="s">
        <v>91</v>
      </c>
      <c r="B147" s="7" t="s">
        <v>91</v>
      </c>
      <c r="C147" s="7"/>
      <c r="E147" s="7"/>
    </row>
    <row r="148" spans="1:7" x14ac:dyDescent="0.35">
      <c r="A148" s="7" t="s">
        <v>142</v>
      </c>
      <c r="B148" s="7" t="s">
        <v>478</v>
      </c>
      <c r="C148" s="7"/>
      <c r="E148" s="7"/>
    </row>
    <row r="149" spans="1:7" x14ac:dyDescent="0.35">
      <c r="A149" s="7" t="s">
        <v>143</v>
      </c>
      <c r="B149" s="7" t="s">
        <v>479</v>
      </c>
      <c r="C149" s="7"/>
      <c r="E149" s="7"/>
    </row>
    <row r="150" spans="1:7" x14ac:dyDescent="0.35">
      <c r="A150" s="7" t="s">
        <v>144</v>
      </c>
      <c r="B150" s="7" t="s">
        <v>480</v>
      </c>
      <c r="C150" s="7"/>
      <c r="D150" s="5"/>
      <c r="E150" s="7"/>
      <c r="F150" s="5"/>
      <c r="G150" s="5"/>
    </row>
    <row r="151" spans="1:7" x14ac:dyDescent="0.35">
      <c r="A151" s="7" t="s">
        <v>145</v>
      </c>
      <c r="B151" s="7" t="s">
        <v>481</v>
      </c>
      <c r="C151" s="7"/>
      <c r="E151" s="7"/>
    </row>
    <row r="152" spans="1:7" x14ac:dyDescent="0.35">
      <c r="A152" s="7" t="s">
        <v>96</v>
      </c>
      <c r="B152" s="7" t="s">
        <v>96</v>
      </c>
      <c r="C152" s="7"/>
      <c r="E152" s="7"/>
    </row>
    <row r="153" spans="1:7" x14ac:dyDescent="0.35">
      <c r="A153" s="7" t="s">
        <v>97</v>
      </c>
      <c r="B153" s="7" t="s">
        <v>97</v>
      </c>
      <c r="C153" s="7"/>
      <c r="E153" s="7"/>
    </row>
    <row r="154" spans="1:7" x14ac:dyDescent="0.35">
      <c r="A154" s="7" t="s">
        <v>98</v>
      </c>
      <c r="B154" s="7" t="s">
        <v>98</v>
      </c>
      <c r="C154" s="7"/>
      <c r="E154" s="7"/>
    </row>
    <row r="155" spans="1:7" x14ac:dyDescent="0.35">
      <c r="A155" s="7" t="s">
        <v>99</v>
      </c>
      <c r="B155" s="7" t="s">
        <v>99</v>
      </c>
      <c r="C155" s="7"/>
      <c r="E155" s="7"/>
    </row>
    <row r="156" spans="1:7" x14ac:dyDescent="0.35">
      <c r="A156" s="7" t="s">
        <v>146</v>
      </c>
      <c r="B156" s="7" t="s">
        <v>100</v>
      </c>
      <c r="C156" s="7"/>
      <c r="E156" s="7"/>
    </row>
    <row r="157" spans="1:7" x14ac:dyDescent="0.35">
      <c r="A157" s="7" t="s">
        <v>147</v>
      </c>
      <c r="B157" s="7" t="s">
        <v>101</v>
      </c>
      <c r="C157" s="7"/>
      <c r="E157" s="7"/>
    </row>
    <row r="158" spans="1:7" x14ac:dyDescent="0.35">
      <c r="A158" s="7" t="s">
        <v>148</v>
      </c>
      <c r="B158" s="7" t="s">
        <v>482</v>
      </c>
      <c r="C158" s="7"/>
      <c r="E158" s="7"/>
    </row>
    <row r="159" spans="1:7" x14ac:dyDescent="0.35">
      <c r="A159" s="7" t="s">
        <v>103</v>
      </c>
      <c r="B159" s="7" t="s">
        <v>103</v>
      </c>
      <c r="C159" s="7"/>
      <c r="E159" s="7"/>
    </row>
    <row r="160" spans="1:7" x14ac:dyDescent="0.35">
      <c r="A160" s="7" t="s">
        <v>104</v>
      </c>
      <c r="B160" s="7" t="s">
        <v>104</v>
      </c>
      <c r="C160" s="7"/>
      <c r="E160" s="7"/>
    </row>
    <row r="161" spans="1:5" x14ac:dyDescent="0.35">
      <c r="A161" s="7" t="s">
        <v>105</v>
      </c>
      <c r="B161" s="7" t="s">
        <v>105</v>
      </c>
      <c r="C161" s="7"/>
      <c r="E161" s="7"/>
    </row>
    <row r="162" spans="1:5" x14ac:dyDescent="0.35">
      <c r="A162" s="7" t="s">
        <v>149</v>
      </c>
      <c r="B162" s="7" t="s">
        <v>483</v>
      </c>
      <c r="C162" s="7"/>
      <c r="E162" s="7"/>
    </row>
    <row r="163" spans="1:5" x14ac:dyDescent="0.35">
      <c r="A163" s="7" t="s">
        <v>150</v>
      </c>
      <c r="B163" s="7" t="s">
        <v>484</v>
      </c>
      <c r="C163" s="7"/>
      <c r="E163" s="7"/>
    </row>
    <row r="164" spans="1:5" x14ac:dyDescent="0.35">
      <c r="A164" s="7" t="s">
        <v>151</v>
      </c>
      <c r="B164" s="7" t="s">
        <v>464</v>
      </c>
      <c r="C164" s="7"/>
      <c r="E164" s="7"/>
    </row>
    <row r="165" spans="1:5" ht="15" thickBot="1" x14ac:dyDescent="0.4">
      <c r="A165" s="8" t="s">
        <v>152</v>
      </c>
      <c r="B165" s="8" t="s">
        <v>485</v>
      </c>
      <c r="C165" s="8"/>
      <c r="E165" s="8"/>
    </row>
    <row r="166" spans="1:5" ht="15" thickBot="1" x14ac:dyDescent="0.4"/>
    <row r="167" spans="1:5" x14ac:dyDescent="0.35">
      <c r="A167" s="6" t="s">
        <v>153</v>
      </c>
      <c r="B167" s="6" t="s">
        <v>153</v>
      </c>
      <c r="C167" s="6" t="s">
        <v>397</v>
      </c>
      <c r="E167" s="6" t="s">
        <v>397</v>
      </c>
    </row>
    <row r="168" spans="1:5" ht="130.5" x14ac:dyDescent="0.35">
      <c r="A168" s="7" t="s">
        <v>154</v>
      </c>
      <c r="B168" s="7" t="s">
        <v>486</v>
      </c>
      <c r="C168" s="7"/>
      <c r="E168" s="7"/>
    </row>
    <row r="169" spans="1:5" x14ac:dyDescent="0.35">
      <c r="A169" s="7" t="s">
        <v>85</v>
      </c>
      <c r="B169" s="7" t="s">
        <v>85</v>
      </c>
      <c r="C169" s="7"/>
      <c r="E169" s="7"/>
    </row>
    <row r="170" spans="1:5" x14ac:dyDescent="0.35">
      <c r="A170" s="7" t="s">
        <v>86</v>
      </c>
      <c r="B170" s="7" t="s">
        <v>86</v>
      </c>
      <c r="C170" s="7"/>
      <c r="E170" s="7"/>
    </row>
    <row r="171" spans="1:5" x14ac:dyDescent="0.35">
      <c r="A171" s="7" t="s">
        <v>87</v>
      </c>
      <c r="B171" s="7" t="s">
        <v>87</v>
      </c>
      <c r="C171" s="7"/>
      <c r="E171" s="7"/>
    </row>
    <row r="172" spans="1:5" x14ac:dyDescent="0.35">
      <c r="A172" s="7" t="s">
        <v>88</v>
      </c>
      <c r="B172" s="7" t="s">
        <v>88</v>
      </c>
      <c r="C172" s="7"/>
      <c r="E172" s="7"/>
    </row>
    <row r="173" spans="1:5" x14ac:dyDescent="0.35">
      <c r="A173" s="7" t="s">
        <v>89</v>
      </c>
      <c r="B173" s="7" t="s">
        <v>89</v>
      </c>
      <c r="C173" s="7"/>
      <c r="E173" s="7"/>
    </row>
    <row r="174" spans="1:5" x14ac:dyDescent="0.35">
      <c r="A174" s="7" t="s">
        <v>112</v>
      </c>
      <c r="B174" s="7" t="s">
        <v>487</v>
      </c>
      <c r="C174" s="7"/>
      <c r="E174" s="7"/>
    </row>
    <row r="175" spans="1:5" x14ac:dyDescent="0.35">
      <c r="A175" s="7" t="s">
        <v>155</v>
      </c>
      <c r="C175" s="7"/>
      <c r="E175" s="7"/>
    </row>
    <row r="176" spans="1:5" x14ac:dyDescent="0.35">
      <c r="A176" s="7" t="s">
        <v>156</v>
      </c>
      <c r="C176" s="7"/>
      <c r="E176" s="7"/>
    </row>
    <row r="177" spans="1:5" x14ac:dyDescent="0.35">
      <c r="A177" s="7" t="s">
        <v>157</v>
      </c>
      <c r="C177" s="7"/>
      <c r="E177" s="7"/>
    </row>
    <row r="178" spans="1:5" x14ac:dyDescent="0.35">
      <c r="A178" s="7" t="s">
        <v>158</v>
      </c>
      <c r="C178" s="7"/>
      <c r="E178" s="7"/>
    </row>
    <row r="179" spans="1:5" x14ac:dyDescent="0.35">
      <c r="A179" s="7" t="s">
        <v>159</v>
      </c>
      <c r="C179" s="7"/>
      <c r="E179" s="7"/>
    </row>
    <row r="180" spans="1:5" x14ac:dyDescent="0.35">
      <c r="A180" s="7" t="s">
        <v>114</v>
      </c>
      <c r="B180" s="7" t="s">
        <v>91</v>
      </c>
      <c r="C180" s="7"/>
      <c r="E180" s="7"/>
    </row>
    <row r="181" spans="1:5" x14ac:dyDescent="0.35">
      <c r="A181" s="7" t="s">
        <v>160</v>
      </c>
      <c r="B181" s="7" t="s">
        <v>488</v>
      </c>
      <c r="C181" s="7"/>
      <c r="E181" s="7"/>
    </row>
    <row r="182" spans="1:5" x14ac:dyDescent="0.35">
      <c r="A182" s="7" t="s">
        <v>161</v>
      </c>
      <c r="B182" s="7" t="s">
        <v>489</v>
      </c>
      <c r="C182" s="7"/>
      <c r="E182" s="7"/>
    </row>
    <row r="183" spans="1:5" x14ac:dyDescent="0.35">
      <c r="A183" s="7" t="s">
        <v>162</v>
      </c>
      <c r="B183" s="7" t="s">
        <v>490</v>
      </c>
      <c r="C183" s="7"/>
      <c r="E183" s="7"/>
    </row>
    <row r="184" spans="1:5" x14ac:dyDescent="0.35">
      <c r="A184" s="7" t="s">
        <v>163</v>
      </c>
      <c r="B184" s="7" t="s">
        <v>491</v>
      </c>
      <c r="C184" s="7"/>
      <c r="E184" s="7"/>
    </row>
    <row r="185" spans="1:5" x14ac:dyDescent="0.35">
      <c r="A185" s="7" t="s">
        <v>119</v>
      </c>
      <c r="C185" s="7"/>
      <c r="E185" s="7"/>
    </row>
    <row r="186" spans="1:5" x14ac:dyDescent="0.35">
      <c r="A186" s="7" t="s">
        <v>120</v>
      </c>
      <c r="C186" s="7"/>
      <c r="E186" s="7"/>
    </row>
    <row r="187" spans="1:5" x14ac:dyDescent="0.35">
      <c r="A187" s="7" t="s">
        <v>121</v>
      </c>
      <c r="C187" s="7"/>
      <c r="E187" s="7"/>
    </row>
    <row r="188" spans="1:5" x14ac:dyDescent="0.35">
      <c r="A188" s="7" t="s">
        <v>164</v>
      </c>
      <c r="C188" s="7"/>
      <c r="E188" s="7"/>
    </row>
    <row r="189" spans="1:5" x14ac:dyDescent="0.35">
      <c r="A189" s="7" t="s">
        <v>123</v>
      </c>
      <c r="C189" s="7"/>
      <c r="E189" s="7"/>
    </row>
    <row r="190" spans="1:5" x14ac:dyDescent="0.35">
      <c r="A190" s="7" t="s">
        <v>124</v>
      </c>
      <c r="B190" s="7" t="s">
        <v>96</v>
      </c>
      <c r="C190" s="7"/>
      <c r="E190" s="7"/>
    </row>
    <row r="191" spans="1:5" x14ac:dyDescent="0.35">
      <c r="A191" s="7" t="s">
        <v>125</v>
      </c>
      <c r="B191" s="7" t="s">
        <v>97</v>
      </c>
      <c r="C191" s="7"/>
      <c r="E191" s="7"/>
    </row>
    <row r="192" spans="1:5" x14ac:dyDescent="0.35">
      <c r="A192" s="7" t="s">
        <v>126</v>
      </c>
      <c r="B192" s="7" t="s">
        <v>98</v>
      </c>
      <c r="C192" s="7"/>
      <c r="E192" s="7"/>
    </row>
    <row r="193" spans="1:5" x14ac:dyDescent="0.35">
      <c r="A193" s="7"/>
      <c r="C193" s="7"/>
      <c r="E193" s="7"/>
    </row>
    <row r="194" spans="1:5" x14ac:dyDescent="0.35">
      <c r="A194" s="7" t="s">
        <v>127</v>
      </c>
      <c r="B194" s="7" t="s">
        <v>99</v>
      </c>
      <c r="C194" s="7"/>
      <c r="E194" s="7"/>
    </row>
    <row r="195" spans="1:5" x14ac:dyDescent="0.35">
      <c r="A195" s="7" t="s">
        <v>165</v>
      </c>
      <c r="B195" s="7" t="s">
        <v>100</v>
      </c>
      <c r="C195" s="7"/>
      <c r="E195" s="7"/>
    </row>
    <row r="196" spans="1:5" x14ac:dyDescent="0.35">
      <c r="A196" s="7" t="s">
        <v>166</v>
      </c>
      <c r="B196" s="7" t="s">
        <v>101</v>
      </c>
      <c r="C196" s="7"/>
      <c r="E196" s="7"/>
    </row>
    <row r="197" spans="1:5" x14ac:dyDescent="0.35">
      <c r="A197" s="7" t="s">
        <v>167</v>
      </c>
      <c r="C197" s="7"/>
      <c r="E197" s="7"/>
    </row>
    <row r="198" spans="1:5" x14ac:dyDescent="0.35">
      <c r="A198" s="7" t="s">
        <v>168</v>
      </c>
      <c r="B198" s="7" t="s">
        <v>492</v>
      </c>
      <c r="C198" s="7"/>
      <c r="E198" s="7"/>
    </row>
    <row r="199" spans="1:5" x14ac:dyDescent="0.35">
      <c r="A199" s="7" t="s">
        <v>103</v>
      </c>
      <c r="B199" s="7" t="s">
        <v>103</v>
      </c>
      <c r="C199" s="7"/>
      <c r="E199" s="7"/>
    </row>
    <row r="200" spans="1:5" x14ac:dyDescent="0.35">
      <c r="A200" s="7" t="s">
        <v>104</v>
      </c>
      <c r="B200" s="7" t="s">
        <v>104</v>
      </c>
      <c r="C200" s="7"/>
      <c r="E200" s="7"/>
    </row>
    <row r="201" spans="1:5" x14ac:dyDescent="0.35">
      <c r="A201" s="7" t="s">
        <v>105</v>
      </c>
      <c r="B201" s="7" t="s">
        <v>105</v>
      </c>
      <c r="C201" s="7"/>
      <c r="E201" s="7"/>
    </row>
    <row r="202" spans="1:5" x14ac:dyDescent="0.35">
      <c r="A202" s="7" t="s">
        <v>169</v>
      </c>
      <c r="B202" s="7" t="s">
        <v>493</v>
      </c>
      <c r="C202" s="7"/>
      <c r="E202" s="7"/>
    </row>
    <row r="203" spans="1:5" x14ac:dyDescent="0.35">
      <c r="A203" s="7" t="s">
        <v>170</v>
      </c>
      <c r="B203" s="7" t="s">
        <v>494</v>
      </c>
      <c r="C203" s="7"/>
      <c r="E203" s="7"/>
    </row>
    <row r="204" spans="1:5" x14ac:dyDescent="0.35">
      <c r="A204" s="7" t="s">
        <v>171</v>
      </c>
      <c r="B204" s="7" t="s">
        <v>108</v>
      </c>
      <c r="C204" s="7"/>
      <c r="E204" s="7"/>
    </row>
    <row r="205" spans="1:5" x14ac:dyDescent="0.35">
      <c r="A205" s="7" t="s">
        <v>172</v>
      </c>
      <c r="B205" s="7" t="s">
        <v>495</v>
      </c>
      <c r="C205" s="7"/>
      <c r="E205" s="7"/>
    </row>
    <row r="206" spans="1:5" x14ac:dyDescent="0.35">
      <c r="A206" s="7" t="s">
        <v>173</v>
      </c>
      <c r="B206" s="7"/>
      <c r="C206" s="7"/>
      <c r="E206" s="7"/>
    </row>
    <row r="207" spans="1:5" x14ac:dyDescent="0.35">
      <c r="A207" s="7" t="s">
        <v>120</v>
      </c>
      <c r="B207" s="7"/>
      <c r="C207" s="7"/>
      <c r="E207" s="7"/>
    </row>
    <row r="208" spans="1:5" ht="15" thickBot="1" x14ac:dyDescent="0.4">
      <c r="A208" s="8" t="s">
        <v>174</v>
      </c>
      <c r="B208" s="8"/>
      <c r="C208" s="8"/>
      <c r="E208" s="8"/>
    </row>
    <row r="210" spans="3:3" x14ac:dyDescent="0.35">
      <c r="C210" s="3" t="s">
        <v>451</v>
      </c>
    </row>
    <row r="211" spans="3:3" x14ac:dyDescent="0.35">
      <c r="C211" s="3" t="s">
        <v>452</v>
      </c>
    </row>
    <row r="212" spans="3:3" x14ac:dyDescent="0.35">
      <c r="C212" s="3" t="s">
        <v>603</v>
      </c>
    </row>
    <row r="213" spans="3:3" x14ac:dyDescent="0.35">
      <c r="C213" s="3" t="s">
        <v>604</v>
      </c>
    </row>
    <row r="215" spans="3:3" x14ac:dyDescent="0.35">
      <c r="C215" s="3" t="s">
        <v>496</v>
      </c>
    </row>
    <row r="216" spans="3:3" x14ac:dyDescent="0.35">
      <c r="C216" s="3" t="s">
        <v>497</v>
      </c>
    </row>
    <row r="217" spans="3:3" x14ac:dyDescent="0.35">
      <c r="C217" s="3" t="s">
        <v>407</v>
      </c>
    </row>
    <row r="218" spans="3:3" x14ac:dyDescent="0.35">
      <c r="C218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3830-8474-43B5-80DD-A953F1321F04}">
  <dimension ref="A1:K95"/>
  <sheetViews>
    <sheetView topLeftCell="E1" workbookViewId="0">
      <selection activeCell="L40" sqref="L40"/>
    </sheetView>
  </sheetViews>
  <sheetFormatPr defaultRowHeight="14.5" x14ac:dyDescent="0.35"/>
  <cols>
    <col min="1" max="3" width="67" style="3" customWidth="1"/>
    <col min="4" max="4" width="16.453125" style="45" customWidth="1"/>
    <col min="5" max="5" width="65.1796875" style="3" customWidth="1"/>
    <col min="6" max="6" width="16.453125" style="45" customWidth="1"/>
    <col min="7" max="7" width="13.6328125" style="4" customWidth="1"/>
    <col min="8" max="8" width="27.36328125" style="3" customWidth="1"/>
    <col min="9" max="16384" width="8.7265625" style="3"/>
  </cols>
  <sheetData>
    <row r="1" spans="1:7" s="2" customFormat="1" ht="73" thickBot="1" x14ac:dyDescent="0.4">
      <c r="A1" s="2" t="s">
        <v>333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7" x14ac:dyDescent="0.35">
      <c r="A2" s="6" t="s">
        <v>334</v>
      </c>
      <c r="B2" s="6"/>
      <c r="C2" s="6" t="s">
        <v>377</v>
      </c>
      <c r="D2" s="46"/>
      <c r="E2" s="6"/>
      <c r="F2" s="46"/>
    </row>
    <row r="3" spans="1:7" ht="29" x14ac:dyDescent="0.35">
      <c r="A3" s="7" t="s">
        <v>335</v>
      </c>
      <c r="B3" s="7" t="s">
        <v>335</v>
      </c>
      <c r="C3" s="7" t="s">
        <v>335</v>
      </c>
      <c r="D3" s="9"/>
      <c r="E3" s="7" t="s">
        <v>335</v>
      </c>
      <c r="F3" s="9"/>
    </row>
    <row r="4" spans="1:7" ht="145" x14ac:dyDescent="0.35">
      <c r="A4" s="7" t="s">
        <v>336</v>
      </c>
      <c r="B4" s="7" t="s">
        <v>498</v>
      </c>
      <c r="C4" s="7" t="s">
        <v>378</v>
      </c>
      <c r="D4" s="47"/>
      <c r="E4" s="7" t="s">
        <v>769</v>
      </c>
      <c r="F4" s="47"/>
    </row>
    <row r="5" spans="1:7" x14ac:dyDescent="0.35">
      <c r="A5" s="7"/>
      <c r="B5" s="7"/>
      <c r="C5" s="7"/>
      <c r="D5" s="47"/>
      <c r="E5" s="7"/>
      <c r="F5" s="47"/>
    </row>
    <row r="6" spans="1:7" x14ac:dyDescent="0.35">
      <c r="A6" s="7" t="s">
        <v>337</v>
      </c>
      <c r="B6" s="7"/>
      <c r="C6" s="7"/>
      <c r="D6" s="47"/>
      <c r="E6" s="7"/>
      <c r="F6" s="47"/>
    </row>
    <row r="7" spans="1:7" x14ac:dyDescent="0.35">
      <c r="A7" s="7" t="s">
        <v>338</v>
      </c>
      <c r="B7" s="7"/>
      <c r="C7" s="7"/>
      <c r="D7" s="47"/>
      <c r="E7" s="7"/>
      <c r="F7" s="47"/>
    </row>
    <row r="8" spans="1:7" x14ac:dyDescent="0.35">
      <c r="A8" s="7" t="s">
        <v>85</v>
      </c>
      <c r="B8" s="7" t="s">
        <v>85</v>
      </c>
      <c r="C8" s="7" t="s">
        <v>85</v>
      </c>
      <c r="D8" s="47"/>
      <c r="E8" s="7" t="s">
        <v>85</v>
      </c>
      <c r="F8" s="47"/>
    </row>
    <row r="9" spans="1:7" x14ac:dyDescent="0.35">
      <c r="A9" s="7" t="s">
        <v>86</v>
      </c>
      <c r="B9" s="7" t="s">
        <v>86</v>
      </c>
      <c r="C9" s="7" t="s">
        <v>86</v>
      </c>
      <c r="D9" s="47"/>
      <c r="E9" s="7" t="s">
        <v>86</v>
      </c>
      <c r="F9" s="47"/>
    </row>
    <row r="10" spans="1:7" x14ac:dyDescent="0.35">
      <c r="A10" s="7" t="s">
        <v>87</v>
      </c>
      <c r="B10" s="7" t="s">
        <v>87</v>
      </c>
      <c r="C10" s="7" t="s">
        <v>87</v>
      </c>
      <c r="D10" s="47"/>
      <c r="E10" s="7" t="s">
        <v>87</v>
      </c>
      <c r="F10" s="47"/>
    </row>
    <row r="11" spans="1:7" x14ac:dyDescent="0.35">
      <c r="A11" s="7" t="s">
        <v>339</v>
      </c>
      <c r="B11" s="7" t="s">
        <v>339</v>
      </c>
      <c r="C11" s="7" t="s">
        <v>339</v>
      </c>
      <c r="D11" s="47"/>
      <c r="E11" s="7" t="s">
        <v>339</v>
      </c>
      <c r="F11" s="47"/>
    </row>
    <row r="12" spans="1:7" x14ac:dyDescent="0.35">
      <c r="A12" s="7" t="s">
        <v>89</v>
      </c>
      <c r="B12" s="7" t="s">
        <v>89</v>
      </c>
      <c r="C12" s="7" t="s">
        <v>89</v>
      </c>
      <c r="D12" s="47"/>
      <c r="E12" s="7" t="s">
        <v>89</v>
      </c>
      <c r="F12" s="47"/>
    </row>
    <row r="13" spans="1:7" x14ac:dyDescent="0.35">
      <c r="A13" s="7" t="s">
        <v>112</v>
      </c>
      <c r="B13" s="7" t="s">
        <v>379</v>
      </c>
      <c r="C13" s="7" t="s">
        <v>379</v>
      </c>
      <c r="D13" s="47"/>
      <c r="E13" s="7" t="s">
        <v>379</v>
      </c>
      <c r="F13" s="47"/>
    </row>
    <row r="14" spans="1:7" x14ac:dyDescent="0.35">
      <c r="A14" s="7" t="s">
        <v>340</v>
      </c>
      <c r="B14" s="7" t="s">
        <v>380</v>
      </c>
      <c r="C14" s="7" t="s">
        <v>380</v>
      </c>
      <c r="D14" s="47"/>
      <c r="E14" s="7" t="s">
        <v>380</v>
      </c>
      <c r="F14" s="47"/>
    </row>
    <row r="15" spans="1:7" x14ac:dyDescent="0.35">
      <c r="A15" s="7" t="s">
        <v>341</v>
      </c>
      <c r="B15" s="7"/>
      <c r="C15" s="7"/>
      <c r="D15" s="47"/>
      <c r="E15" s="7"/>
      <c r="F15" s="47"/>
    </row>
    <row r="16" spans="1:7" x14ac:dyDescent="0.35">
      <c r="A16" s="7" t="s">
        <v>342</v>
      </c>
      <c r="B16" s="7"/>
      <c r="C16" s="7"/>
      <c r="D16" s="47"/>
      <c r="E16" s="7"/>
      <c r="F16" s="47"/>
    </row>
    <row r="17" spans="1:7" x14ac:dyDescent="0.35">
      <c r="A17" s="7" t="s">
        <v>343</v>
      </c>
      <c r="B17" s="7"/>
      <c r="C17" s="7"/>
      <c r="D17" s="47"/>
      <c r="E17" s="7"/>
      <c r="F17" s="47"/>
    </row>
    <row r="18" spans="1:7" x14ac:dyDescent="0.35">
      <c r="A18" s="7" t="s">
        <v>344</v>
      </c>
      <c r="B18" s="7"/>
      <c r="C18" s="7"/>
      <c r="D18" s="47"/>
      <c r="E18" s="7"/>
      <c r="F18" s="47"/>
    </row>
    <row r="19" spans="1:7" x14ac:dyDescent="0.35">
      <c r="A19" s="7" t="s">
        <v>345</v>
      </c>
      <c r="B19" s="7"/>
      <c r="C19" s="7"/>
      <c r="D19" s="26"/>
      <c r="E19" s="7"/>
      <c r="F19" s="26"/>
      <c r="G19" s="5"/>
    </row>
    <row r="20" spans="1:7" x14ac:dyDescent="0.35">
      <c r="A20" s="7" t="s">
        <v>119</v>
      </c>
      <c r="B20" s="7"/>
      <c r="C20" s="7"/>
      <c r="D20" s="47"/>
      <c r="E20" s="7"/>
      <c r="F20" s="47"/>
    </row>
    <row r="21" spans="1:7" x14ac:dyDescent="0.35">
      <c r="A21" s="7" t="s">
        <v>120</v>
      </c>
      <c r="B21" s="7"/>
      <c r="C21" s="7"/>
      <c r="D21" s="47"/>
      <c r="E21" s="7"/>
      <c r="F21" s="47"/>
    </row>
    <row r="22" spans="1:7" x14ac:dyDescent="0.35">
      <c r="A22" s="7" t="s">
        <v>121</v>
      </c>
      <c r="B22" s="7"/>
      <c r="C22" s="7"/>
      <c r="D22" s="47"/>
      <c r="E22" s="7"/>
      <c r="F22" s="47"/>
    </row>
    <row r="23" spans="1:7" x14ac:dyDescent="0.35">
      <c r="A23" s="7" t="s">
        <v>346</v>
      </c>
      <c r="B23" s="7"/>
      <c r="C23" s="7"/>
      <c r="D23" s="47"/>
      <c r="E23" s="7"/>
      <c r="F23" s="47"/>
    </row>
    <row r="24" spans="1:7" x14ac:dyDescent="0.35">
      <c r="A24" s="7" t="s">
        <v>347</v>
      </c>
      <c r="B24" s="7"/>
      <c r="C24" s="7"/>
      <c r="D24" s="47"/>
      <c r="E24" s="7"/>
      <c r="F24" s="47"/>
    </row>
    <row r="25" spans="1:7" x14ac:dyDescent="0.35">
      <c r="A25" s="7" t="s">
        <v>348</v>
      </c>
      <c r="B25" s="7"/>
      <c r="C25" s="7"/>
      <c r="D25" s="26"/>
      <c r="E25" s="7"/>
      <c r="F25" s="26"/>
      <c r="G25" s="5"/>
    </row>
    <row r="26" spans="1:7" x14ac:dyDescent="0.35">
      <c r="A26" s="7" t="s">
        <v>349</v>
      </c>
      <c r="B26" s="7"/>
      <c r="C26" s="7"/>
      <c r="D26" s="47"/>
      <c r="E26" s="7"/>
      <c r="F26" s="47"/>
    </row>
    <row r="27" spans="1:7" x14ac:dyDescent="0.35">
      <c r="A27" s="7" t="s">
        <v>350</v>
      </c>
      <c r="B27" s="7"/>
      <c r="C27" s="7"/>
      <c r="D27" s="47"/>
      <c r="E27" s="7"/>
      <c r="F27" s="47"/>
    </row>
    <row r="28" spans="1:7" x14ac:dyDescent="0.35">
      <c r="A28" s="7" t="s">
        <v>351</v>
      </c>
      <c r="B28" s="7"/>
      <c r="C28" s="7"/>
      <c r="D28" s="47"/>
      <c r="E28" s="7"/>
      <c r="F28" s="47"/>
    </row>
    <row r="29" spans="1:7" x14ac:dyDescent="0.35">
      <c r="A29" s="7" t="s">
        <v>352</v>
      </c>
      <c r="B29" s="7"/>
      <c r="C29" s="7"/>
      <c r="D29" s="47"/>
      <c r="E29" s="7"/>
      <c r="F29" s="47"/>
    </row>
    <row r="30" spans="1:7" x14ac:dyDescent="0.35">
      <c r="A30" s="7" t="s">
        <v>353</v>
      </c>
      <c r="B30" s="7"/>
      <c r="C30" s="7"/>
      <c r="D30" s="47"/>
      <c r="E30" s="7"/>
      <c r="F30" s="47"/>
    </row>
    <row r="31" spans="1:7" x14ac:dyDescent="0.35">
      <c r="A31" s="7" t="s">
        <v>354</v>
      </c>
      <c r="B31" s="7"/>
      <c r="C31" s="7"/>
      <c r="D31" s="47"/>
      <c r="E31" s="7"/>
      <c r="F31" s="47"/>
    </row>
    <row r="32" spans="1:7" x14ac:dyDescent="0.35">
      <c r="A32" s="7" t="s">
        <v>103</v>
      </c>
      <c r="B32" s="7"/>
      <c r="C32" s="7"/>
      <c r="D32" s="47"/>
      <c r="E32" s="7"/>
      <c r="F32" s="47"/>
    </row>
    <row r="33" spans="1:7" x14ac:dyDescent="0.35">
      <c r="A33" s="7" t="s">
        <v>104</v>
      </c>
      <c r="B33" s="7"/>
      <c r="C33" s="7"/>
      <c r="D33" s="47"/>
      <c r="E33" s="7"/>
      <c r="F33" s="47"/>
    </row>
    <row r="34" spans="1:7" x14ac:dyDescent="0.35">
      <c r="A34" s="7" t="s">
        <v>105</v>
      </c>
      <c r="B34" s="7"/>
      <c r="C34" s="7"/>
      <c r="D34" s="47"/>
      <c r="E34" s="7"/>
      <c r="F34" s="47"/>
    </row>
    <row r="35" spans="1:7" x14ac:dyDescent="0.35">
      <c r="A35" s="7" t="s">
        <v>355</v>
      </c>
      <c r="B35" s="7"/>
      <c r="C35" s="7"/>
      <c r="D35" s="47"/>
      <c r="E35" s="7"/>
      <c r="F35" s="47"/>
    </row>
    <row r="36" spans="1:7" x14ac:dyDescent="0.35">
      <c r="A36" s="7" t="s">
        <v>356</v>
      </c>
      <c r="B36" s="7"/>
      <c r="C36" s="7"/>
      <c r="D36" s="47"/>
      <c r="E36" s="7"/>
      <c r="F36" s="47"/>
    </row>
    <row r="37" spans="1:7" x14ac:dyDescent="0.35">
      <c r="A37" s="7" t="s">
        <v>357</v>
      </c>
      <c r="B37" s="7"/>
      <c r="C37" s="7"/>
      <c r="D37" s="47"/>
      <c r="E37" s="7"/>
      <c r="F37" s="47"/>
    </row>
    <row r="38" spans="1:7" x14ac:dyDescent="0.35">
      <c r="A38" s="7" t="s">
        <v>358</v>
      </c>
      <c r="B38" s="7"/>
      <c r="C38" s="7"/>
      <c r="D38" s="26"/>
      <c r="E38" s="7"/>
      <c r="F38" s="26"/>
      <c r="G38" s="5"/>
    </row>
    <row r="39" spans="1:7" x14ac:dyDescent="0.35">
      <c r="A39" s="7" t="s">
        <v>359</v>
      </c>
      <c r="B39" s="7"/>
      <c r="C39" s="7"/>
      <c r="D39" s="47"/>
      <c r="E39" s="7"/>
      <c r="F39" s="47"/>
    </row>
    <row r="40" spans="1:7" x14ac:dyDescent="0.35">
      <c r="A40" s="7" t="s">
        <v>120</v>
      </c>
      <c r="B40" s="7"/>
      <c r="C40" s="7"/>
      <c r="D40" s="47"/>
      <c r="E40" s="7"/>
      <c r="F40" s="47"/>
    </row>
    <row r="41" spans="1:7" x14ac:dyDescent="0.35">
      <c r="A41" s="7" t="s">
        <v>360</v>
      </c>
      <c r="B41" s="7"/>
      <c r="C41" s="7"/>
      <c r="D41" s="47"/>
      <c r="E41" s="7"/>
      <c r="F41" s="47"/>
    </row>
    <row r="42" spans="1:7" x14ac:dyDescent="0.35">
      <c r="A42" s="7" t="s">
        <v>16</v>
      </c>
      <c r="B42" s="7"/>
      <c r="C42" s="7"/>
      <c r="D42" s="47"/>
      <c r="E42" s="7"/>
      <c r="F42" s="47"/>
    </row>
    <row r="43" spans="1:7" x14ac:dyDescent="0.35">
      <c r="A43" s="7" t="s">
        <v>361</v>
      </c>
      <c r="B43" s="7"/>
      <c r="C43" s="7"/>
      <c r="D43" s="47"/>
      <c r="E43" s="7"/>
      <c r="F43" s="47"/>
    </row>
    <row r="44" spans="1:7" ht="15" thickBot="1" x14ac:dyDescent="0.4">
      <c r="A44" s="8" t="s">
        <v>362</v>
      </c>
      <c r="B44" s="8"/>
      <c r="C44" s="8"/>
      <c r="D44" s="48"/>
      <c r="E44" s="8"/>
      <c r="F44" s="48"/>
    </row>
    <row r="45" spans="1:7" ht="15" thickBot="1" x14ac:dyDescent="0.4"/>
    <row r="46" spans="1:7" x14ac:dyDescent="0.35">
      <c r="A46" s="6" t="s">
        <v>363</v>
      </c>
      <c r="B46" s="6"/>
      <c r="C46" s="6" t="s">
        <v>377</v>
      </c>
      <c r="D46" s="46"/>
      <c r="E46" s="6" t="s">
        <v>377</v>
      </c>
      <c r="F46" s="46"/>
    </row>
    <row r="47" spans="1:7" x14ac:dyDescent="0.35">
      <c r="A47" s="7" t="s">
        <v>364</v>
      </c>
      <c r="B47" s="7" t="s">
        <v>364</v>
      </c>
      <c r="C47" s="7" t="s">
        <v>364</v>
      </c>
      <c r="D47" s="47"/>
      <c r="E47" s="7" t="s">
        <v>364</v>
      </c>
      <c r="F47" s="47"/>
    </row>
    <row r="48" spans="1:7" ht="145" x14ac:dyDescent="0.35">
      <c r="A48" s="7" t="s">
        <v>365</v>
      </c>
      <c r="B48" s="7" t="s">
        <v>499</v>
      </c>
      <c r="C48" s="7" t="s">
        <v>381</v>
      </c>
      <c r="D48" s="47"/>
      <c r="E48" s="7" t="s">
        <v>381</v>
      </c>
      <c r="F48" s="47"/>
    </row>
    <row r="49" spans="1:11" x14ac:dyDescent="0.35">
      <c r="A49" s="7" t="s">
        <v>85</v>
      </c>
      <c r="B49" s="7" t="s">
        <v>85</v>
      </c>
      <c r="C49" s="7" t="s">
        <v>85</v>
      </c>
      <c r="D49" s="47"/>
      <c r="E49" s="7" t="s">
        <v>85</v>
      </c>
      <c r="F49" s="47"/>
    </row>
    <row r="50" spans="1:11" x14ac:dyDescent="0.35">
      <c r="A50" s="7" t="s">
        <v>86</v>
      </c>
      <c r="B50" s="7" t="s">
        <v>86</v>
      </c>
      <c r="C50" s="7" t="s">
        <v>86</v>
      </c>
      <c r="D50" s="47"/>
      <c r="E50" s="7" t="s">
        <v>86</v>
      </c>
      <c r="F50" s="47"/>
    </row>
    <row r="51" spans="1:11" x14ac:dyDescent="0.35">
      <c r="A51" s="7" t="s">
        <v>87</v>
      </c>
      <c r="B51" s="7" t="s">
        <v>87</v>
      </c>
      <c r="C51" s="7" t="s">
        <v>87</v>
      </c>
      <c r="D51" s="47"/>
      <c r="E51" s="7" t="s">
        <v>87</v>
      </c>
      <c r="F51" s="47"/>
    </row>
    <row r="52" spans="1:11" x14ac:dyDescent="0.35">
      <c r="A52" s="7" t="s">
        <v>88</v>
      </c>
      <c r="B52" s="7" t="s">
        <v>88</v>
      </c>
      <c r="C52" s="7" t="s">
        <v>88</v>
      </c>
      <c r="D52" s="47"/>
      <c r="E52" s="7" t="s">
        <v>88</v>
      </c>
      <c r="F52" s="47"/>
    </row>
    <row r="53" spans="1:11" x14ac:dyDescent="0.35">
      <c r="A53" s="7" t="s">
        <v>89</v>
      </c>
      <c r="B53" s="7" t="s">
        <v>89</v>
      </c>
      <c r="C53" s="7" t="s">
        <v>89</v>
      </c>
      <c r="D53" s="47"/>
      <c r="E53" s="7" t="s">
        <v>89</v>
      </c>
      <c r="F53" s="47"/>
    </row>
    <row r="54" spans="1:11" x14ac:dyDescent="0.35">
      <c r="A54" s="7" t="s">
        <v>112</v>
      </c>
      <c r="D54" s="47"/>
      <c r="F54" s="47"/>
    </row>
    <row r="55" spans="1:11" x14ac:dyDescent="0.35">
      <c r="A55" s="7" t="s">
        <v>113</v>
      </c>
      <c r="B55" s="7" t="s">
        <v>500</v>
      </c>
      <c r="C55" s="3" t="s">
        <v>594</v>
      </c>
      <c r="D55" s="47">
        <f>(0.177568-0.168604)/0.168604</f>
        <v>5.3165998434200848E-2</v>
      </c>
      <c r="E55" s="7" t="s">
        <v>770</v>
      </c>
      <c r="F55" s="47">
        <f>(0.177549-0.168604)/0.168604</f>
        <v>5.3053308343811584E-2</v>
      </c>
    </row>
    <row r="56" spans="1:11" x14ac:dyDescent="0.35">
      <c r="A56" s="7" t="s">
        <v>114</v>
      </c>
      <c r="B56" s="7" t="s">
        <v>91</v>
      </c>
      <c r="C56" s="3" t="s">
        <v>91</v>
      </c>
      <c r="D56" s="47"/>
      <c r="E56" s="7" t="s">
        <v>91</v>
      </c>
      <c r="F56" s="47"/>
    </row>
    <row r="57" spans="1:11" x14ac:dyDescent="0.35">
      <c r="A57" s="7" t="s">
        <v>366</v>
      </c>
      <c r="B57" s="7" t="s">
        <v>501</v>
      </c>
      <c r="C57" s="3" t="s">
        <v>595</v>
      </c>
      <c r="D57" s="47">
        <f>(1113137.696945-1182187.281095)/1182187.281095</f>
        <v>-5.8408329419720108E-2</v>
      </c>
      <c r="E57" s="7" t="s">
        <v>771</v>
      </c>
      <c r="F57" s="47">
        <f>(1113194.468189-1182187.281095)/1182187.281095</f>
        <v>-5.8360307211303718E-2</v>
      </c>
      <c r="G57" s="5"/>
      <c r="H57" s="16" t="s">
        <v>803</v>
      </c>
      <c r="I57" s="4">
        <f>ABS(D57)</f>
        <v>5.8408329419720108E-2</v>
      </c>
      <c r="K57" s="4">
        <f>ABS(F57)</f>
        <v>5.8360307211303718E-2</v>
      </c>
    </row>
    <row r="58" spans="1:11" x14ac:dyDescent="0.35">
      <c r="A58" s="7" t="s">
        <v>367</v>
      </c>
      <c r="B58" s="7" t="s">
        <v>502</v>
      </c>
      <c r="C58" s="3" t="s">
        <v>596</v>
      </c>
      <c r="D58" s="47">
        <f>(19.384084-18.322585)/18.322585</f>
        <v>5.7933910526271337E-2</v>
      </c>
      <c r="E58" s="7" t="s">
        <v>772</v>
      </c>
      <c r="F58" s="47">
        <f>(19.383226-18.322585)/18.322585</f>
        <v>5.7887083072612318E-2</v>
      </c>
      <c r="H58" s="16" t="s">
        <v>802</v>
      </c>
      <c r="I58" s="4">
        <f t="shared" ref="I58:K60" si="0">ABS(D58)</f>
        <v>5.7933910526271337E-2</v>
      </c>
      <c r="K58" s="4">
        <f t="shared" si="0"/>
        <v>5.7887083072612318E-2</v>
      </c>
    </row>
    <row r="59" spans="1:11" x14ac:dyDescent="0.35">
      <c r="A59" s="7" t="s">
        <v>368</v>
      </c>
      <c r="B59" s="7" t="s">
        <v>503</v>
      </c>
      <c r="C59" s="7" t="s">
        <v>597</v>
      </c>
      <c r="D59" s="47">
        <f>(1.209182-1.209248)/1.209248</f>
        <v>-5.4579374950482874E-5</v>
      </c>
      <c r="E59" s="7" t="s">
        <v>773</v>
      </c>
      <c r="F59" s="47">
        <f>(1.20925-1.209248)/1.209248</f>
        <v>1.6539204529058279E-6</v>
      </c>
      <c r="H59" s="16" t="s">
        <v>791</v>
      </c>
      <c r="I59" s="4">
        <f t="shared" si="0"/>
        <v>5.4579374950482874E-5</v>
      </c>
      <c r="K59" s="4">
        <f t="shared" si="0"/>
        <v>1.6539204529058279E-6</v>
      </c>
    </row>
    <row r="60" spans="1:11" x14ac:dyDescent="0.35">
      <c r="A60" s="7" t="s">
        <v>369</v>
      </c>
      <c r="B60" s="7" t="s">
        <v>504</v>
      </c>
      <c r="C60" s="7" t="s">
        <v>598</v>
      </c>
      <c r="D60" s="47">
        <f>(18.174902-17.113337)/17.113337</f>
        <v>6.2031443662916123E-2</v>
      </c>
      <c r="E60" s="7" t="s">
        <v>774</v>
      </c>
      <c r="F60" s="47">
        <f>(18.173976-17.113337)/17.113337</f>
        <v>6.1977333818646722E-2</v>
      </c>
      <c r="H60" s="16" t="s">
        <v>804</v>
      </c>
      <c r="I60" s="4">
        <f t="shared" si="0"/>
        <v>6.2031443662916123E-2</v>
      </c>
      <c r="K60" s="4">
        <f t="shared" si="0"/>
        <v>6.1977333818646722E-2</v>
      </c>
    </row>
    <row r="61" spans="1:11" x14ac:dyDescent="0.35">
      <c r="A61" s="7" t="s">
        <v>119</v>
      </c>
      <c r="D61" s="47"/>
      <c r="F61" s="47"/>
      <c r="H61" s="7" t="s">
        <v>805</v>
      </c>
      <c r="I61" s="4">
        <f>ABS(D76)</f>
        <v>6.8531182524326606E-2</v>
      </c>
      <c r="K61" s="4">
        <f>ABS(F76)</f>
        <v>6.8340241699465856E-2</v>
      </c>
    </row>
    <row r="62" spans="1:11" x14ac:dyDescent="0.35">
      <c r="A62" s="7" t="s">
        <v>120</v>
      </c>
      <c r="D62" s="47"/>
      <c r="F62" s="47"/>
      <c r="H62" s="7" t="s">
        <v>802</v>
      </c>
      <c r="I62" s="4">
        <f t="shared" ref="I62:K64" si="1">ABS(D77)</f>
        <v>7.2995277647023155E-2</v>
      </c>
      <c r="K62" s="4">
        <f t="shared" si="1"/>
        <v>7.2777634369416547E-2</v>
      </c>
    </row>
    <row r="63" spans="1:11" x14ac:dyDescent="0.35">
      <c r="A63" s="7" t="s">
        <v>121</v>
      </c>
      <c r="D63" s="47"/>
      <c r="F63" s="47"/>
      <c r="H63" s="7" t="s">
        <v>791</v>
      </c>
      <c r="I63" s="4">
        <f t="shared" si="1"/>
        <v>0</v>
      </c>
      <c r="K63" s="4">
        <f t="shared" si="1"/>
        <v>0</v>
      </c>
    </row>
    <row r="64" spans="1:11" ht="15" thickBot="1" x14ac:dyDescent="0.4">
      <c r="A64" s="7" t="s">
        <v>122</v>
      </c>
      <c r="D64" s="47"/>
      <c r="F64" s="47"/>
      <c r="H64" s="8" t="s">
        <v>806</v>
      </c>
      <c r="I64" s="4">
        <f t="shared" si="1"/>
        <v>7.3573037376383377E-2</v>
      </c>
      <c r="K64" s="4">
        <f t="shared" si="1"/>
        <v>7.3353671445953048E-2</v>
      </c>
    </row>
    <row r="65" spans="1:7" x14ac:dyDescent="0.35">
      <c r="A65" s="7" t="s">
        <v>123</v>
      </c>
      <c r="D65" s="47"/>
      <c r="F65" s="47"/>
    </row>
    <row r="66" spans="1:7" x14ac:dyDescent="0.35">
      <c r="A66" s="7" t="s">
        <v>124</v>
      </c>
      <c r="B66" s="7" t="s">
        <v>96</v>
      </c>
      <c r="C66" s="7" t="s">
        <v>96</v>
      </c>
      <c r="D66" s="47"/>
      <c r="E66" s="7" t="s">
        <v>96</v>
      </c>
      <c r="F66" s="47"/>
    </row>
    <row r="67" spans="1:7" x14ac:dyDescent="0.35">
      <c r="A67" s="7" t="s">
        <v>125</v>
      </c>
      <c r="B67" s="7" t="s">
        <v>97</v>
      </c>
      <c r="C67" s="3" t="s">
        <v>97</v>
      </c>
      <c r="D67" s="47"/>
      <c r="E67" s="7" t="s">
        <v>97</v>
      </c>
      <c r="F67" s="47"/>
    </row>
    <row r="68" spans="1:7" x14ac:dyDescent="0.35">
      <c r="A68" s="7" t="s">
        <v>126</v>
      </c>
      <c r="B68" s="7" t="s">
        <v>98</v>
      </c>
      <c r="C68" s="3" t="s">
        <v>98</v>
      </c>
      <c r="D68" s="47"/>
      <c r="E68" s="7" t="s">
        <v>98</v>
      </c>
      <c r="F68" s="47"/>
    </row>
    <row r="69" spans="1:7" x14ac:dyDescent="0.35">
      <c r="A69" s="7" t="s">
        <v>127</v>
      </c>
      <c r="B69" s="7" t="s">
        <v>99</v>
      </c>
      <c r="C69" s="3" t="s">
        <v>99</v>
      </c>
      <c r="D69" s="47"/>
      <c r="E69" s="7" t="s">
        <v>99</v>
      </c>
      <c r="F69" s="47"/>
    </row>
    <row r="70" spans="1:7" x14ac:dyDescent="0.35">
      <c r="A70" s="7" t="s">
        <v>128</v>
      </c>
      <c r="B70" s="7" t="s">
        <v>505</v>
      </c>
      <c r="C70" s="3" t="s">
        <v>382</v>
      </c>
      <c r="D70" s="47"/>
      <c r="E70" s="7" t="s">
        <v>382</v>
      </c>
      <c r="F70" s="47"/>
    </row>
    <row r="71" spans="1:7" x14ac:dyDescent="0.35">
      <c r="A71" s="7" t="s">
        <v>129</v>
      </c>
      <c r="B71" s="7" t="s">
        <v>179</v>
      </c>
      <c r="C71" s="3" t="s">
        <v>179</v>
      </c>
      <c r="D71" s="47"/>
      <c r="E71" s="7" t="s">
        <v>179</v>
      </c>
      <c r="F71" s="47"/>
    </row>
    <row r="72" spans="1:7" x14ac:dyDescent="0.35">
      <c r="A72" s="7" t="s">
        <v>130</v>
      </c>
      <c r="B72" s="7" t="s">
        <v>506</v>
      </c>
      <c r="C72" s="7" t="s">
        <v>589</v>
      </c>
      <c r="D72" s="47">
        <f>(20.164347-18.939593)/18.939593</f>
        <v>6.4666331530989121E-2</v>
      </c>
      <c r="E72" s="7" t="s">
        <v>775</v>
      </c>
      <c r="F72" s="47">
        <f>(20.164493-18.939593)/18.939593</f>
        <v>6.4674040249967452E-2</v>
      </c>
    </row>
    <row r="73" spans="1:7" x14ac:dyDescent="0.35">
      <c r="A73" s="7" t="s">
        <v>103</v>
      </c>
      <c r="B73" s="7" t="s">
        <v>103</v>
      </c>
      <c r="C73" s="3" t="s">
        <v>103</v>
      </c>
      <c r="D73" s="47"/>
      <c r="E73" s="7" t="s">
        <v>103</v>
      </c>
      <c r="F73" s="47"/>
    </row>
    <row r="74" spans="1:7" x14ac:dyDescent="0.35">
      <c r="A74" s="7" t="s">
        <v>104</v>
      </c>
      <c r="B74" s="7" t="s">
        <v>104</v>
      </c>
      <c r="C74" s="3" t="s">
        <v>104</v>
      </c>
      <c r="D74" s="47"/>
      <c r="E74" s="7" t="s">
        <v>104</v>
      </c>
      <c r="F74" s="47"/>
    </row>
    <row r="75" spans="1:7" x14ac:dyDescent="0.35">
      <c r="A75" s="7" t="s">
        <v>105</v>
      </c>
      <c r="B75" s="7" t="s">
        <v>105</v>
      </c>
      <c r="C75" s="3" t="s">
        <v>105</v>
      </c>
      <c r="D75" s="47"/>
      <c r="E75" s="7" t="s">
        <v>105</v>
      </c>
      <c r="F75" s="47"/>
    </row>
    <row r="76" spans="1:7" x14ac:dyDescent="0.35">
      <c r="A76" s="7" t="s">
        <v>370</v>
      </c>
      <c r="B76" s="7" t="s">
        <v>507</v>
      </c>
      <c r="C76" s="3" t="s">
        <v>599</v>
      </c>
      <c r="D76" s="47">
        <f>(1245686.733919-1337335.947858)/1337335.947858</f>
        <v>-6.8531182524326606E-2</v>
      </c>
      <c r="E76" s="7" t="s">
        <v>776</v>
      </c>
      <c r="F76" s="47">
        <f>(1245942.085948-1337335.947858)/1337335.947858</f>
        <v>-6.8340241699465856E-2</v>
      </c>
      <c r="G76" s="5"/>
    </row>
    <row r="77" spans="1:7" x14ac:dyDescent="0.35">
      <c r="A77" s="7" t="s">
        <v>371</v>
      </c>
      <c r="B77" s="7" t="s">
        <v>508</v>
      </c>
      <c r="C77" s="3" t="s">
        <v>600</v>
      </c>
      <c r="D77" s="47">
        <f>(0.847971-0.790284)/0.790284</f>
        <v>7.2995277647023155E-2</v>
      </c>
      <c r="E77" s="7" t="s">
        <v>777</v>
      </c>
      <c r="F77" s="47">
        <f>(0.847799-0.790284)/0.790284</f>
        <v>7.2777634369416547E-2</v>
      </c>
    </row>
    <row r="78" spans="1:7" x14ac:dyDescent="0.35">
      <c r="A78" s="7" t="s">
        <v>372</v>
      </c>
      <c r="B78" s="7" t="s">
        <v>509</v>
      </c>
      <c r="C78" s="7" t="s">
        <v>509</v>
      </c>
      <c r="D78" s="47">
        <f>(0.006206-0.006206)/0.006206</f>
        <v>0</v>
      </c>
      <c r="E78" s="7" t="s">
        <v>509</v>
      </c>
      <c r="F78" s="47">
        <f>(0.006206-0.006206)/0.006206</f>
        <v>0</v>
      </c>
    </row>
    <row r="79" spans="1:7" x14ac:dyDescent="0.35">
      <c r="A79" s="7" t="s">
        <v>373</v>
      </c>
      <c r="B79" s="7" t="s">
        <v>510</v>
      </c>
      <c r="C79" s="7" t="s">
        <v>601</v>
      </c>
      <c r="D79" s="47">
        <f>(0.841765-0.784078)/0.784078</f>
        <v>7.3573037376383377E-2</v>
      </c>
      <c r="E79" s="7" t="s">
        <v>778</v>
      </c>
      <c r="F79" s="47">
        <f>(0.841593-0.784078)/0.784078</f>
        <v>7.3353671445953048E-2</v>
      </c>
    </row>
    <row r="80" spans="1:7" x14ac:dyDescent="0.35">
      <c r="A80" s="7" t="s">
        <v>374</v>
      </c>
      <c r="C80" s="7"/>
      <c r="D80" s="47"/>
      <c r="F80" s="47"/>
    </row>
    <row r="81" spans="1:7" x14ac:dyDescent="0.35">
      <c r="A81" s="7" t="s">
        <v>120</v>
      </c>
      <c r="C81" s="7"/>
      <c r="D81" s="47"/>
      <c r="F81" s="47"/>
    </row>
    <row r="82" spans="1:7" x14ac:dyDescent="0.35">
      <c r="A82" s="7" t="s">
        <v>375</v>
      </c>
      <c r="B82" s="7"/>
      <c r="C82" s="7"/>
      <c r="D82" s="47"/>
      <c r="E82" s="7" t="s">
        <v>16</v>
      </c>
      <c r="F82" s="47"/>
    </row>
    <row r="83" spans="1:7" x14ac:dyDescent="0.35">
      <c r="A83" s="7" t="s">
        <v>16</v>
      </c>
      <c r="B83" s="7" t="s">
        <v>16</v>
      </c>
      <c r="C83" s="7" t="s">
        <v>16</v>
      </c>
      <c r="D83" s="47"/>
      <c r="E83" s="7" t="s">
        <v>779</v>
      </c>
      <c r="F83" s="47"/>
    </row>
    <row r="84" spans="1:7" x14ac:dyDescent="0.35">
      <c r="A84" s="7" t="s">
        <v>376</v>
      </c>
      <c r="B84" s="7" t="s">
        <v>511</v>
      </c>
      <c r="C84" s="7" t="s">
        <v>602</v>
      </c>
      <c r="D84" s="47"/>
      <c r="E84" s="7"/>
      <c r="F84" s="47"/>
    </row>
    <row r="85" spans="1:7" ht="15" thickBot="1" x14ac:dyDescent="0.4">
      <c r="A85" s="8" t="s">
        <v>138</v>
      </c>
      <c r="B85" s="8"/>
      <c r="C85" s="8"/>
      <c r="D85" s="48"/>
      <c r="E85" s="8"/>
      <c r="F85" s="48"/>
    </row>
    <row r="86" spans="1:7" x14ac:dyDescent="0.35">
      <c r="D86" s="49"/>
      <c r="F86" s="49"/>
    </row>
    <row r="87" spans="1:7" x14ac:dyDescent="0.35">
      <c r="C87" s="3" t="s">
        <v>451</v>
      </c>
      <c r="D87" s="49"/>
      <c r="F87" s="49"/>
    </row>
    <row r="88" spans="1:7" x14ac:dyDescent="0.35">
      <c r="C88" s="3" t="s">
        <v>452</v>
      </c>
      <c r="D88" s="49"/>
      <c r="F88" s="49"/>
    </row>
    <row r="89" spans="1:7" x14ac:dyDescent="0.35">
      <c r="C89" s="3" t="s">
        <v>603</v>
      </c>
      <c r="D89" s="49"/>
      <c r="F89" s="49"/>
    </row>
    <row r="90" spans="1:7" x14ac:dyDescent="0.35">
      <c r="C90" s="3" t="s">
        <v>604</v>
      </c>
      <c r="D90" s="68"/>
      <c r="F90" s="68"/>
    </row>
    <row r="91" spans="1:7" x14ac:dyDescent="0.35">
      <c r="D91" s="68"/>
      <c r="F91" s="68"/>
    </row>
    <row r="92" spans="1:7" x14ac:dyDescent="0.35">
      <c r="C92" s="3" t="s">
        <v>496</v>
      </c>
      <c r="D92" s="68"/>
      <c r="F92" s="68"/>
    </row>
    <row r="93" spans="1:7" x14ac:dyDescent="0.35">
      <c r="C93" s="3" t="s">
        <v>497</v>
      </c>
      <c r="D93" s="68"/>
      <c r="F93" s="68"/>
    </row>
    <row r="94" spans="1:7" x14ac:dyDescent="0.35">
      <c r="C94" s="3" t="s">
        <v>407</v>
      </c>
    </row>
    <row r="95" spans="1:7" x14ac:dyDescent="0.35">
      <c r="C95" s="3" t="s">
        <v>408</v>
      </c>
      <c r="D95" s="5"/>
      <c r="F95" s="5"/>
      <c r="G95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C0A8-66C6-4D9B-8B0A-B13439016D97}">
  <dimension ref="A1:K118"/>
  <sheetViews>
    <sheetView topLeftCell="C46" workbookViewId="0">
      <selection activeCell="O64" sqref="O64"/>
    </sheetView>
  </sheetViews>
  <sheetFormatPr defaultRowHeight="14.5" x14ac:dyDescent="0.35"/>
  <cols>
    <col min="1" max="2" width="70.54296875" style="3" customWidth="1"/>
    <col min="3" max="3" width="73.90625" style="3" customWidth="1"/>
    <col min="4" max="4" width="17.81640625" style="10" customWidth="1"/>
    <col min="5" max="5" width="74" style="3" customWidth="1"/>
    <col min="6" max="6" width="17.81640625" style="10" customWidth="1"/>
    <col min="7" max="7" width="13.6328125" style="4" customWidth="1"/>
    <col min="8" max="8" width="20.81640625" style="3" customWidth="1"/>
    <col min="9" max="16384" width="8.7265625" style="3"/>
  </cols>
  <sheetData>
    <row r="1" spans="1:11" s="2" customFormat="1" ht="73" thickBot="1" x14ac:dyDescent="0.4">
      <c r="A1" s="2" t="s">
        <v>181</v>
      </c>
      <c r="B1" s="33" t="s">
        <v>671</v>
      </c>
      <c r="C1" s="33" t="s">
        <v>673</v>
      </c>
      <c r="D1" s="14" t="s">
        <v>672</v>
      </c>
      <c r="E1" s="33" t="s">
        <v>674</v>
      </c>
      <c r="F1" s="14" t="s">
        <v>672</v>
      </c>
      <c r="G1" s="44"/>
    </row>
    <row r="2" spans="1:11" ht="14" customHeight="1" x14ac:dyDescent="0.35">
      <c r="A2" s="6" t="s">
        <v>182</v>
      </c>
      <c r="B2" s="15"/>
      <c r="C2" s="15" t="s">
        <v>227</v>
      </c>
      <c r="D2" s="50"/>
      <c r="E2" s="6" t="s">
        <v>227</v>
      </c>
      <c r="F2" s="50"/>
    </row>
    <row r="3" spans="1:11" x14ac:dyDescent="0.35">
      <c r="A3" s="7" t="s">
        <v>183</v>
      </c>
      <c r="B3" s="7" t="s">
        <v>183</v>
      </c>
      <c r="C3" s="16" t="s">
        <v>228</v>
      </c>
      <c r="D3" s="18"/>
      <c r="E3" s="7" t="s">
        <v>228</v>
      </c>
      <c r="F3" s="18"/>
    </row>
    <row r="4" spans="1:11" ht="159.5" x14ac:dyDescent="0.35">
      <c r="A4" s="7" t="s">
        <v>184</v>
      </c>
      <c r="B4" s="16" t="s">
        <v>512</v>
      </c>
      <c r="C4" s="16" t="s">
        <v>229</v>
      </c>
      <c r="D4" s="18"/>
      <c r="E4" s="69" t="s">
        <v>229</v>
      </c>
      <c r="F4" s="18"/>
    </row>
    <row r="5" spans="1:11" x14ac:dyDescent="0.35">
      <c r="A5" s="7"/>
      <c r="B5" s="16"/>
      <c r="C5" s="16"/>
      <c r="D5" s="18"/>
      <c r="E5" s="7"/>
      <c r="F5" s="18"/>
    </row>
    <row r="6" spans="1:11" x14ac:dyDescent="0.35">
      <c r="A6" s="7" t="s">
        <v>6</v>
      </c>
      <c r="B6" s="16" t="s">
        <v>6</v>
      </c>
      <c r="C6" s="16" t="s">
        <v>6</v>
      </c>
      <c r="D6" s="18"/>
      <c r="E6" s="7" t="s">
        <v>6</v>
      </c>
      <c r="F6" s="18"/>
    </row>
    <row r="7" spans="1:11" x14ac:dyDescent="0.35">
      <c r="A7" s="7" t="s">
        <v>7</v>
      </c>
      <c r="B7" s="16" t="s">
        <v>7</v>
      </c>
      <c r="C7" s="16" t="s">
        <v>7</v>
      </c>
      <c r="D7" s="18"/>
      <c r="E7" s="7" t="s">
        <v>7</v>
      </c>
      <c r="F7" s="18"/>
    </row>
    <row r="8" spans="1:11" x14ac:dyDescent="0.35">
      <c r="A8" s="7" t="s">
        <v>67</v>
      </c>
      <c r="B8" s="16" t="s">
        <v>54</v>
      </c>
      <c r="C8" s="16" t="s">
        <v>54</v>
      </c>
      <c r="D8" s="18"/>
      <c r="E8" s="7" t="s">
        <v>54</v>
      </c>
      <c r="F8" s="18"/>
    </row>
    <row r="9" spans="1:11" x14ac:dyDescent="0.35">
      <c r="A9" s="7" t="s">
        <v>68</v>
      </c>
      <c r="B9" s="16" t="s">
        <v>9</v>
      </c>
      <c r="C9" s="16" t="s">
        <v>9</v>
      </c>
      <c r="D9" s="18"/>
      <c r="E9" s="7" t="s">
        <v>9</v>
      </c>
      <c r="F9" s="18"/>
    </row>
    <row r="10" spans="1:11" x14ac:dyDescent="0.35">
      <c r="A10" s="7" t="s">
        <v>10</v>
      </c>
      <c r="B10" s="16" t="s">
        <v>55</v>
      </c>
      <c r="C10" s="16" t="s">
        <v>55</v>
      </c>
      <c r="D10" s="18"/>
      <c r="E10" s="7" t="s">
        <v>55</v>
      </c>
      <c r="F10" s="18"/>
    </row>
    <row r="11" spans="1:11" x14ac:dyDescent="0.35">
      <c r="A11" s="7" t="s">
        <v>11</v>
      </c>
      <c r="B11" s="16" t="s">
        <v>402</v>
      </c>
      <c r="C11" s="16" t="s">
        <v>56</v>
      </c>
      <c r="D11" s="18"/>
      <c r="E11" s="7" t="s">
        <v>56</v>
      </c>
      <c r="F11" s="18"/>
    </row>
    <row r="12" spans="1:11" x14ac:dyDescent="0.35">
      <c r="A12" s="7" t="s">
        <v>12</v>
      </c>
      <c r="B12" s="16" t="s">
        <v>410</v>
      </c>
      <c r="C12" s="16" t="s">
        <v>57</v>
      </c>
      <c r="D12" s="18"/>
      <c r="E12" s="7" t="s">
        <v>57</v>
      </c>
      <c r="F12" s="18"/>
    </row>
    <row r="13" spans="1:11" x14ac:dyDescent="0.35">
      <c r="A13" s="7" t="s">
        <v>185</v>
      </c>
      <c r="B13" s="16" t="s">
        <v>513</v>
      </c>
      <c r="C13" s="16" t="s">
        <v>535</v>
      </c>
      <c r="D13" s="18">
        <f>(0.29291-0.294397)/0.294397</f>
        <v>-5.0510025577706836E-3</v>
      </c>
      <c r="E13" s="7" t="s">
        <v>780</v>
      </c>
      <c r="F13" s="18">
        <f>(0.298512-0.294397)/0.294397</f>
        <v>1.3977723957784826E-2</v>
      </c>
      <c r="H13" s="16" t="s">
        <v>807</v>
      </c>
      <c r="I13" s="4">
        <f>ABS(D13)</f>
        <v>5.0510025577706836E-3</v>
      </c>
      <c r="K13" s="4">
        <f>ABS(F13)</f>
        <v>1.3977723957784826E-2</v>
      </c>
    </row>
    <row r="14" spans="1:11" x14ac:dyDescent="0.35">
      <c r="A14" s="7" t="s">
        <v>71</v>
      </c>
      <c r="B14" s="16" t="s">
        <v>71</v>
      </c>
      <c r="C14" s="16" t="s">
        <v>71</v>
      </c>
      <c r="D14" s="18">
        <v>0</v>
      </c>
      <c r="E14" s="7" t="s">
        <v>71</v>
      </c>
      <c r="F14" s="18">
        <v>0</v>
      </c>
      <c r="H14" s="16" t="s">
        <v>793</v>
      </c>
      <c r="I14" s="4">
        <f t="shared" ref="I14:K17" si="0">ABS(D14)</f>
        <v>0</v>
      </c>
      <c r="K14" s="4">
        <f t="shared" si="0"/>
        <v>0</v>
      </c>
    </row>
    <row r="15" spans="1:11" x14ac:dyDescent="0.35">
      <c r="A15" s="7" t="s">
        <v>186</v>
      </c>
      <c r="B15" s="16" t="s">
        <v>514</v>
      </c>
      <c r="C15" s="16" t="s">
        <v>536</v>
      </c>
      <c r="D15" s="18">
        <f>(0.202854-0.204277)/0.204277</f>
        <v>-6.9660314181233321E-3</v>
      </c>
      <c r="E15" s="7" t="s">
        <v>781</v>
      </c>
      <c r="F15" s="18">
        <f>(0.202761-0.204277)/0.204277</f>
        <v>-7.4212955937280733E-3</v>
      </c>
      <c r="H15" s="16" t="s">
        <v>808</v>
      </c>
      <c r="I15" s="4">
        <f t="shared" si="0"/>
        <v>6.9660314181233321E-3</v>
      </c>
      <c r="K15" s="4">
        <f t="shared" si="0"/>
        <v>7.4212955937280733E-3</v>
      </c>
    </row>
    <row r="16" spans="1:11" x14ac:dyDescent="0.35">
      <c r="A16" s="7" t="s">
        <v>187</v>
      </c>
      <c r="B16" s="16" t="s">
        <v>515</v>
      </c>
      <c r="C16" s="16" t="s">
        <v>537</v>
      </c>
      <c r="D16" s="18">
        <f>(0.066483-0.066536)/0.066536</f>
        <v>-7.9656126006969906E-4</v>
      </c>
      <c r="E16" s="7" t="s">
        <v>782</v>
      </c>
      <c r="F16" s="18">
        <f>(0.072174-0.066536)/0.066536</f>
        <v>8.4736082722135453E-2</v>
      </c>
      <c r="H16" s="16" t="s">
        <v>791</v>
      </c>
      <c r="I16" s="4">
        <f t="shared" si="0"/>
        <v>7.9656126006969906E-4</v>
      </c>
      <c r="K16" s="4">
        <f t="shared" si="0"/>
        <v>8.4736082722135453E-2</v>
      </c>
    </row>
    <row r="17" spans="1:11" x14ac:dyDescent="0.35">
      <c r="A17" s="7" t="s">
        <v>188</v>
      </c>
      <c r="B17" s="16" t="s">
        <v>516</v>
      </c>
      <c r="C17" s="16" t="s">
        <v>392</v>
      </c>
      <c r="D17" s="18">
        <f>(0.023573-0.023583)/0.023583</f>
        <v>-4.2403426196834979E-4</v>
      </c>
      <c r="E17" s="7" t="s">
        <v>783</v>
      </c>
      <c r="F17" s="18">
        <f>(0.023577-0.023583)/0.023583</f>
        <v>-2.5442055718098044E-4</v>
      </c>
      <c r="H17" s="16" t="s">
        <v>809</v>
      </c>
      <c r="I17" s="4">
        <f t="shared" si="0"/>
        <v>4.2403426196834979E-4</v>
      </c>
      <c r="K17" s="4">
        <f t="shared" si="0"/>
        <v>2.5442055718098044E-4</v>
      </c>
    </row>
    <row r="18" spans="1:11" x14ac:dyDescent="0.35">
      <c r="A18" s="7" t="s">
        <v>16</v>
      </c>
      <c r="B18" s="16" t="s">
        <v>16</v>
      </c>
      <c r="C18" s="16" t="s">
        <v>16</v>
      </c>
      <c r="D18" s="18"/>
      <c r="E18" s="7" t="s">
        <v>16</v>
      </c>
      <c r="F18" s="18"/>
      <c r="H18" s="7" t="s">
        <v>810</v>
      </c>
      <c r="I18" s="4">
        <f>ABS(D25)</f>
        <v>5.0744314241437981E-3</v>
      </c>
      <c r="K18" s="4">
        <f>ABS(F25)</f>
        <v>1.3786668893357851E-2</v>
      </c>
    </row>
    <row r="19" spans="1:11" x14ac:dyDescent="0.35">
      <c r="A19" s="7" t="s">
        <v>189</v>
      </c>
      <c r="B19" s="16" t="s">
        <v>517</v>
      </c>
      <c r="C19" s="16" t="s">
        <v>538</v>
      </c>
      <c r="D19" s="18"/>
      <c r="E19" s="7" t="s">
        <v>784</v>
      </c>
      <c r="F19" s="18"/>
      <c r="G19" s="5"/>
      <c r="H19" s="7"/>
      <c r="I19" s="4"/>
      <c r="K19" s="4"/>
    </row>
    <row r="20" spans="1:11" ht="15" thickBot="1" x14ac:dyDescent="0.4">
      <c r="A20" s="7" t="s">
        <v>190</v>
      </c>
      <c r="B20" s="16" t="s">
        <v>190</v>
      </c>
      <c r="C20" s="16" t="s">
        <v>190</v>
      </c>
      <c r="D20" s="18"/>
      <c r="E20" s="7" t="s">
        <v>190</v>
      </c>
      <c r="F20" s="18"/>
      <c r="H20" s="8"/>
      <c r="I20" s="4"/>
      <c r="K20" s="4"/>
    </row>
    <row r="21" spans="1:11" x14ac:dyDescent="0.35">
      <c r="A21" s="7" t="s">
        <v>191</v>
      </c>
      <c r="B21" s="16" t="s">
        <v>191</v>
      </c>
      <c r="C21" s="16" t="s">
        <v>191</v>
      </c>
      <c r="D21" s="18"/>
      <c r="E21" s="7" t="s">
        <v>191</v>
      </c>
      <c r="F21" s="18"/>
    </row>
    <row r="22" spans="1:11" x14ac:dyDescent="0.35">
      <c r="A22" s="7" t="s">
        <v>192</v>
      </c>
      <c r="B22" s="16" t="s">
        <v>192</v>
      </c>
      <c r="C22" s="16" t="s">
        <v>192</v>
      </c>
      <c r="D22" s="18"/>
      <c r="E22" s="7" t="s">
        <v>192</v>
      </c>
      <c r="F22" s="18"/>
    </row>
    <row r="23" spans="1:11" x14ac:dyDescent="0.35">
      <c r="A23" s="7" t="s">
        <v>193</v>
      </c>
      <c r="B23" s="16" t="s">
        <v>193</v>
      </c>
      <c r="C23" s="16" t="s">
        <v>193</v>
      </c>
      <c r="D23" s="18"/>
      <c r="E23" s="7" t="s">
        <v>193</v>
      </c>
      <c r="F23" s="18"/>
    </row>
    <row r="24" spans="1:11" x14ac:dyDescent="0.35">
      <c r="A24" s="7" t="s">
        <v>194</v>
      </c>
      <c r="B24" s="16" t="s">
        <v>194</v>
      </c>
      <c r="C24" s="16" t="s">
        <v>194</v>
      </c>
      <c r="D24" s="18"/>
      <c r="E24" s="7" t="s">
        <v>194</v>
      </c>
      <c r="F24" s="18"/>
    </row>
    <row r="25" spans="1:11" x14ac:dyDescent="0.35">
      <c r="A25" s="7" t="s">
        <v>195</v>
      </c>
      <c r="B25" s="16" t="s">
        <v>518</v>
      </c>
      <c r="C25" s="16" t="s">
        <v>539</v>
      </c>
      <c r="D25" s="18">
        <f>(60.85749-60.550232)/60.550232</f>
        <v>5.0744314241437981E-3</v>
      </c>
      <c r="E25" s="7" t="s">
        <v>785</v>
      </c>
      <c r="F25" s="18">
        <f>(59.715446-60.550232)/60.550232</f>
        <v>-1.3786668893357851E-2</v>
      </c>
      <c r="G25" s="5"/>
    </row>
    <row r="26" spans="1:11" x14ac:dyDescent="0.35">
      <c r="A26" s="7" t="s">
        <v>196</v>
      </c>
      <c r="B26" s="16" t="s">
        <v>196</v>
      </c>
      <c r="C26" s="16" t="s">
        <v>196</v>
      </c>
      <c r="D26" s="18"/>
      <c r="E26" s="7" t="s">
        <v>196</v>
      </c>
      <c r="F26" s="18"/>
    </row>
    <row r="27" spans="1:11" ht="15" thickBot="1" x14ac:dyDescent="0.4">
      <c r="A27" s="8" t="s">
        <v>197</v>
      </c>
      <c r="B27" s="17" t="s">
        <v>197</v>
      </c>
      <c r="C27" s="17" t="s">
        <v>197</v>
      </c>
      <c r="D27" s="51"/>
      <c r="E27" s="8" t="s">
        <v>197</v>
      </c>
      <c r="F27" s="51"/>
    </row>
    <row r="28" spans="1:11" ht="15" thickBot="1" x14ac:dyDescent="0.4"/>
    <row r="29" spans="1:11" x14ac:dyDescent="0.35">
      <c r="A29" s="6" t="s">
        <v>182</v>
      </c>
      <c r="B29" s="6"/>
      <c r="C29" s="6" t="s">
        <v>227</v>
      </c>
      <c r="D29" s="50"/>
      <c r="E29" s="6" t="s">
        <v>227</v>
      </c>
      <c r="F29" s="50"/>
    </row>
    <row r="30" spans="1:11" x14ac:dyDescent="0.35">
      <c r="A30" s="7" t="s">
        <v>198</v>
      </c>
      <c r="B30" s="7" t="s">
        <v>198</v>
      </c>
      <c r="C30" s="7" t="s">
        <v>230</v>
      </c>
      <c r="D30" s="18"/>
      <c r="E30" s="7" t="s">
        <v>230</v>
      </c>
      <c r="F30" s="18"/>
    </row>
    <row r="31" spans="1:11" ht="159.5" x14ac:dyDescent="0.35">
      <c r="A31" s="7" t="s">
        <v>199</v>
      </c>
      <c r="B31" s="7" t="s">
        <v>519</v>
      </c>
      <c r="C31" s="39" t="s">
        <v>394</v>
      </c>
      <c r="D31" s="18"/>
      <c r="F31" s="18"/>
    </row>
    <row r="32" spans="1:11" x14ac:dyDescent="0.35">
      <c r="A32" s="7"/>
      <c r="B32" s="7"/>
      <c r="C32" s="7"/>
      <c r="D32" s="18"/>
      <c r="F32" s="18"/>
    </row>
    <row r="33" spans="1:7" ht="29.5" thickBot="1" x14ac:dyDescent="0.4">
      <c r="A33" s="8" t="s">
        <v>200</v>
      </c>
      <c r="B33" s="8" t="s">
        <v>200</v>
      </c>
      <c r="C33" s="8"/>
      <c r="D33" s="51"/>
      <c r="F33" s="51"/>
    </row>
    <row r="34" spans="1:7" ht="15" thickBot="1" x14ac:dyDescent="0.4"/>
    <row r="35" spans="1:7" x14ac:dyDescent="0.35">
      <c r="A35" s="6" t="s">
        <v>182</v>
      </c>
      <c r="B35" s="6"/>
      <c r="C35" s="6" t="s">
        <v>227</v>
      </c>
      <c r="D35" s="50"/>
      <c r="E35" s="6" t="s">
        <v>227</v>
      </c>
      <c r="F35" s="50"/>
    </row>
    <row r="36" spans="1:7" x14ac:dyDescent="0.35">
      <c r="A36" s="7" t="s">
        <v>198</v>
      </c>
      <c r="B36" s="7"/>
      <c r="C36" s="7" t="s">
        <v>230</v>
      </c>
      <c r="D36" s="18"/>
      <c r="E36" s="7" t="s">
        <v>230</v>
      </c>
      <c r="F36" s="18"/>
    </row>
    <row r="37" spans="1:7" ht="87" x14ac:dyDescent="0.35">
      <c r="A37" s="7" t="s">
        <v>201</v>
      </c>
      <c r="B37" s="7" t="s">
        <v>397</v>
      </c>
      <c r="C37" s="40" t="s">
        <v>383</v>
      </c>
      <c r="D37" s="18"/>
      <c r="E37" s="7"/>
      <c r="F37" s="18"/>
    </row>
    <row r="38" spans="1:7" x14ac:dyDescent="0.35">
      <c r="A38" s="7"/>
      <c r="B38" s="7"/>
      <c r="C38" s="39"/>
      <c r="D38" s="18"/>
      <c r="E38" s="7"/>
      <c r="F38" s="18"/>
      <c r="G38" s="5"/>
    </row>
    <row r="39" spans="1:7" x14ac:dyDescent="0.35">
      <c r="A39" s="7" t="s">
        <v>6</v>
      </c>
      <c r="B39" s="7"/>
      <c r="C39" s="39" t="s">
        <v>393</v>
      </c>
      <c r="D39" s="18"/>
      <c r="E39" s="7" t="s">
        <v>397</v>
      </c>
      <c r="F39" s="18"/>
    </row>
    <row r="40" spans="1:7" x14ac:dyDescent="0.35">
      <c r="A40" s="7" t="s">
        <v>7</v>
      </c>
      <c r="B40" s="7"/>
      <c r="C40" s="7"/>
      <c r="D40" s="18"/>
      <c r="E40" s="7"/>
      <c r="F40" s="18"/>
    </row>
    <row r="41" spans="1:7" x14ac:dyDescent="0.35">
      <c r="A41" s="7" t="s">
        <v>67</v>
      </c>
      <c r="B41" s="7"/>
      <c r="C41" s="7"/>
      <c r="D41" s="18"/>
      <c r="E41" s="7"/>
      <c r="F41" s="18"/>
    </row>
    <row r="42" spans="1:7" x14ac:dyDescent="0.35">
      <c r="A42" s="7" t="s">
        <v>68</v>
      </c>
      <c r="B42" s="7"/>
      <c r="C42" s="7"/>
      <c r="D42" s="18"/>
      <c r="E42" s="7"/>
      <c r="F42" s="18"/>
    </row>
    <row r="43" spans="1:7" x14ac:dyDescent="0.35">
      <c r="A43" s="7" t="s">
        <v>10</v>
      </c>
      <c r="B43" s="7"/>
      <c r="C43" s="7"/>
      <c r="D43" s="18"/>
      <c r="E43" s="7"/>
      <c r="F43" s="18"/>
    </row>
    <row r="44" spans="1:7" x14ac:dyDescent="0.35">
      <c r="A44" s="7" t="s">
        <v>11</v>
      </c>
      <c r="B44" s="7"/>
      <c r="C44" s="7"/>
      <c r="D44" s="18"/>
      <c r="E44" s="7"/>
      <c r="F44" s="18"/>
    </row>
    <row r="45" spans="1:7" x14ac:dyDescent="0.35">
      <c r="A45" s="7" t="s">
        <v>12</v>
      </c>
      <c r="B45" s="7"/>
      <c r="C45" s="7"/>
      <c r="D45" s="18"/>
      <c r="E45" s="7"/>
      <c r="F45" s="18"/>
    </row>
    <row r="46" spans="1:7" x14ac:dyDescent="0.35">
      <c r="A46" s="7" t="s">
        <v>202</v>
      </c>
      <c r="B46" s="7"/>
      <c r="C46" s="7"/>
      <c r="D46" s="18"/>
      <c r="E46" s="7"/>
      <c r="F46" s="18"/>
    </row>
    <row r="47" spans="1:7" x14ac:dyDescent="0.35">
      <c r="A47" s="7" t="s">
        <v>71</v>
      </c>
      <c r="B47" s="7"/>
      <c r="C47" s="7"/>
      <c r="D47" s="18"/>
      <c r="E47" s="7"/>
      <c r="F47" s="18"/>
    </row>
    <row r="48" spans="1:7" x14ac:dyDescent="0.35">
      <c r="A48" s="7" t="s">
        <v>203</v>
      </c>
      <c r="B48" s="7"/>
      <c r="C48" s="7"/>
      <c r="D48" s="18"/>
      <c r="E48" s="7"/>
      <c r="F48" s="18"/>
    </row>
    <row r="49" spans="1:7" x14ac:dyDescent="0.35">
      <c r="A49" s="7" t="s">
        <v>204</v>
      </c>
      <c r="B49" s="7"/>
      <c r="C49" s="7"/>
      <c r="D49" s="18"/>
      <c r="E49" s="7"/>
      <c r="F49" s="18"/>
    </row>
    <row r="50" spans="1:7" x14ac:dyDescent="0.35">
      <c r="A50" s="7" t="s">
        <v>205</v>
      </c>
      <c r="B50" s="7"/>
      <c r="C50" s="7"/>
      <c r="D50" s="18"/>
      <c r="E50" s="7"/>
      <c r="F50" s="18"/>
    </row>
    <row r="51" spans="1:7" x14ac:dyDescent="0.35">
      <c r="A51" s="7" t="s">
        <v>16</v>
      </c>
      <c r="B51" s="7"/>
      <c r="C51" s="7"/>
      <c r="D51" s="18"/>
      <c r="E51" s="7"/>
      <c r="F51" s="18"/>
    </row>
    <row r="52" spans="1:7" x14ac:dyDescent="0.35">
      <c r="A52" s="7" t="s">
        <v>206</v>
      </c>
      <c r="B52" s="7"/>
      <c r="C52" s="7"/>
      <c r="D52" s="18"/>
      <c r="E52" s="7"/>
      <c r="F52" s="18"/>
    </row>
    <row r="53" spans="1:7" x14ac:dyDescent="0.35">
      <c r="A53" s="7" t="s">
        <v>207</v>
      </c>
      <c r="B53" s="7"/>
      <c r="C53" s="7"/>
      <c r="D53" s="18"/>
      <c r="E53" s="7"/>
      <c r="F53" s="18"/>
    </row>
    <row r="54" spans="1:7" x14ac:dyDescent="0.35">
      <c r="A54" s="7" t="s">
        <v>208</v>
      </c>
      <c r="B54" s="7"/>
      <c r="C54" s="7"/>
      <c r="D54" s="18"/>
      <c r="E54" s="7"/>
      <c r="F54" s="18"/>
    </row>
    <row r="55" spans="1:7" x14ac:dyDescent="0.35">
      <c r="A55" s="7" t="s">
        <v>192</v>
      </c>
      <c r="B55" s="7"/>
      <c r="C55" s="7"/>
      <c r="D55" s="18"/>
      <c r="E55" s="7"/>
      <c r="F55" s="18"/>
    </row>
    <row r="56" spans="1:7" x14ac:dyDescent="0.35">
      <c r="A56" s="7" t="s">
        <v>209</v>
      </c>
      <c r="B56" s="7"/>
      <c r="C56" s="7"/>
      <c r="D56" s="18"/>
      <c r="E56" s="7"/>
      <c r="F56" s="18"/>
    </row>
    <row r="57" spans="1:7" x14ac:dyDescent="0.35">
      <c r="A57" s="7" t="s">
        <v>194</v>
      </c>
      <c r="B57" s="7"/>
      <c r="C57" s="7"/>
      <c r="D57" s="18"/>
      <c r="E57" s="7"/>
      <c r="F57" s="18"/>
      <c r="G57" s="5"/>
    </row>
    <row r="58" spans="1:7" x14ac:dyDescent="0.35">
      <c r="A58" s="7" t="s">
        <v>210</v>
      </c>
      <c r="B58" s="7"/>
      <c r="C58" s="7"/>
      <c r="D58" s="18"/>
      <c r="E58" s="7"/>
      <c r="F58" s="18"/>
    </row>
    <row r="59" spans="1:7" x14ac:dyDescent="0.35">
      <c r="A59" s="7" t="s">
        <v>211</v>
      </c>
      <c r="B59" s="7"/>
      <c r="C59" s="7"/>
      <c r="D59" s="18"/>
      <c r="E59" s="7"/>
      <c r="F59" s="18"/>
    </row>
    <row r="60" spans="1:7" ht="15" thickBot="1" x14ac:dyDescent="0.4">
      <c r="A60" s="8" t="s">
        <v>212</v>
      </c>
      <c r="B60" s="8"/>
      <c r="C60" s="8"/>
      <c r="D60" s="51"/>
      <c r="E60" s="8"/>
      <c r="F60" s="51"/>
    </row>
    <row r="61" spans="1:7" ht="15" thickBot="1" x14ac:dyDescent="0.4"/>
    <row r="62" spans="1:7" x14ac:dyDescent="0.35">
      <c r="A62" s="6" t="s">
        <v>182</v>
      </c>
      <c r="B62" s="15"/>
      <c r="C62" s="15" t="s">
        <v>227</v>
      </c>
      <c r="D62" s="50"/>
      <c r="E62" s="6" t="s">
        <v>227</v>
      </c>
      <c r="F62" s="50"/>
    </row>
    <row r="63" spans="1:7" x14ac:dyDescent="0.35">
      <c r="A63" s="7" t="s">
        <v>213</v>
      </c>
      <c r="B63" s="7" t="s">
        <v>213</v>
      </c>
      <c r="C63" s="16" t="s">
        <v>232</v>
      </c>
      <c r="D63" s="18"/>
      <c r="E63" s="7" t="s">
        <v>232</v>
      </c>
      <c r="F63" s="18"/>
    </row>
    <row r="64" spans="1:7" ht="145" x14ac:dyDescent="0.35">
      <c r="A64" s="7" t="s">
        <v>214</v>
      </c>
      <c r="B64" s="7" t="s">
        <v>520</v>
      </c>
      <c r="C64" s="25" t="s">
        <v>233</v>
      </c>
      <c r="D64" s="18"/>
      <c r="E64" s="7" t="s">
        <v>233</v>
      </c>
      <c r="F64" s="18"/>
    </row>
    <row r="65" spans="1:11" x14ac:dyDescent="0.35">
      <c r="A65" s="7"/>
      <c r="B65" s="16"/>
      <c r="C65" s="16"/>
      <c r="D65" s="18"/>
      <c r="E65" s="7"/>
      <c r="F65" s="18"/>
    </row>
    <row r="66" spans="1:11" x14ac:dyDescent="0.35">
      <c r="A66" s="7" t="s">
        <v>6</v>
      </c>
      <c r="B66" s="16" t="s">
        <v>6</v>
      </c>
      <c r="C66" s="16" t="s">
        <v>6</v>
      </c>
      <c r="D66" s="18"/>
      <c r="E66" s="7" t="s">
        <v>6</v>
      </c>
      <c r="F66" s="18"/>
    </row>
    <row r="67" spans="1:11" x14ac:dyDescent="0.35">
      <c r="A67" s="7" t="s">
        <v>7</v>
      </c>
      <c r="B67" s="16" t="s">
        <v>7</v>
      </c>
      <c r="C67" s="16" t="s">
        <v>7</v>
      </c>
      <c r="D67" s="18"/>
      <c r="E67" s="7" t="s">
        <v>7</v>
      </c>
      <c r="F67" s="18"/>
    </row>
    <row r="68" spans="1:11" x14ac:dyDescent="0.35">
      <c r="A68" s="7" t="s">
        <v>67</v>
      </c>
      <c r="B68" s="16" t="s">
        <v>54</v>
      </c>
      <c r="C68" s="16" t="s">
        <v>54</v>
      </c>
      <c r="D68" s="18"/>
      <c r="E68" s="7" t="s">
        <v>54</v>
      </c>
      <c r="F68" s="18"/>
    </row>
    <row r="69" spans="1:11" x14ac:dyDescent="0.35">
      <c r="A69" s="7" t="s">
        <v>68</v>
      </c>
      <c r="B69" s="16" t="s">
        <v>9</v>
      </c>
      <c r="C69" s="16" t="s">
        <v>9</v>
      </c>
      <c r="D69" s="18"/>
      <c r="E69" s="7" t="s">
        <v>9</v>
      </c>
      <c r="F69" s="18"/>
    </row>
    <row r="70" spans="1:11" x14ac:dyDescent="0.35">
      <c r="A70" s="7" t="s">
        <v>10</v>
      </c>
      <c r="B70" s="16" t="s">
        <v>55</v>
      </c>
      <c r="C70" s="16" t="s">
        <v>55</v>
      </c>
      <c r="D70" s="18"/>
      <c r="E70" s="7" t="s">
        <v>55</v>
      </c>
      <c r="F70" s="18"/>
    </row>
    <row r="71" spans="1:11" x14ac:dyDescent="0.35">
      <c r="A71" s="7" t="s">
        <v>11</v>
      </c>
      <c r="B71" s="16" t="s">
        <v>402</v>
      </c>
      <c r="C71" s="16" t="s">
        <v>56</v>
      </c>
      <c r="D71" s="18"/>
      <c r="E71" s="7" t="s">
        <v>56</v>
      </c>
      <c r="F71" s="18"/>
    </row>
    <row r="72" spans="1:11" x14ac:dyDescent="0.35">
      <c r="A72" s="7" t="s">
        <v>12</v>
      </c>
      <c r="B72" s="16" t="s">
        <v>410</v>
      </c>
      <c r="C72" s="16" t="s">
        <v>57</v>
      </c>
      <c r="D72" s="18"/>
      <c r="E72" s="7" t="s">
        <v>57</v>
      </c>
      <c r="F72" s="18"/>
    </row>
    <row r="73" spans="1:11" x14ac:dyDescent="0.35">
      <c r="A73" s="7" t="s">
        <v>215</v>
      </c>
      <c r="B73" s="16" t="s">
        <v>521</v>
      </c>
      <c r="C73" s="16" t="s">
        <v>531</v>
      </c>
      <c r="D73" s="18">
        <f>(0.437-0.437034)/0.437034</f>
        <v>-7.779715079371054E-5</v>
      </c>
      <c r="E73" s="7" t="s">
        <v>786</v>
      </c>
      <c r="F73" s="18">
        <f>(0.446785-0.437034)/0.437034</f>
        <v>2.2311765217351533E-2</v>
      </c>
      <c r="H73" s="16" t="s">
        <v>807</v>
      </c>
      <c r="I73" s="4">
        <f>ABS(D73)</f>
        <v>7.779715079371054E-5</v>
      </c>
      <c r="K73" s="4">
        <f t="shared" ref="K73:K75" si="1">ABS(F73)</f>
        <v>2.2311765217351533E-2</v>
      </c>
    </row>
    <row r="74" spans="1:11" x14ac:dyDescent="0.35">
      <c r="A74" s="7" t="s">
        <v>216</v>
      </c>
      <c r="B74" s="16" t="s">
        <v>522</v>
      </c>
      <c r="C74" s="16" t="s">
        <v>532</v>
      </c>
      <c r="D74" s="18">
        <f>(0.43639-0.436424)/0.436424</f>
        <v>-7.7905889685210927E-5</v>
      </c>
      <c r="E74" s="7" t="s">
        <v>787</v>
      </c>
      <c r="F74" s="18">
        <f>(0.446175-0.436424)/0.436424</f>
        <v>2.2342950891793324E-2</v>
      </c>
      <c r="H74" s="16" t="s">
        <v>791</v>
      </c>
      <c r="I74" s="4">
        <f t="shared" ref="I74:I75" si="2">ABS(D74)</f>
        <v>7.7905889685210927E-5</v>
      </c>
      <c r="K74" s="4">
        <f t="shared" si="1"/>
        <v>2.2342950891793324E-2</v>
      </c>
    </row>
    <row r="75" spans="1:11" x14ac:dyDescent="0.35">
      <c r="A75" s="7" t="s">
        <v>217</v>
      </c>
      <c r="B75" s="16" t="s">
        <v>396</v>
      </c>
      <c r="C75" s="16" t="s">
        <v>395</v>
      </c>
      <c r="D75" s="18">
        <f>(0.000609-0.00061)/0.00061</f>
        <v>-1.6393442622951219E-3</v>
      </c>
      <c r="E75" s="7" t="s">
        <v>217</v>
      </c>
      <c r="F75" s="18">
        <f>(0.000611-0.00061)/0.00061</f>
        <v>1.6393442622951219E-3</v>
      </c>
      <c r="H75" s="16" t="s">
        <v>809</v>
      </c>
      <c r="I75" s="4">
        <f t="shared" si="2"/>
        <v>1.6393442622951219E-3</v>
      </c>
      <c r="K75" s="4">
        <f t="shared" si="1"/>
        <v>1.6393442622951219E-3</v>
      </c>
    </row>
    <row r="76" spans="1:11" x14ac:dyDescent="0.35">
      <c r="A76" s="7" t="s">
        <v>16</v>
      </c>
      <c r="B76" s="16" t="s">
        <v>16</v>
      </c>
      <c r="C76" s="16" t="s">
        <v>16</v>
      </c>
      <c r="D76" s="18"/>
      <c r="E76" s="7" t="s">
        <v>16</v>
      </c>
      <c r="F76" s="18"/>
      <c r="G76" s="5"/>
      <c r="H76" s="7" t="s">
        <v>810</v>
      </c>
      <c r="I76" s="4">
        <f>ABS(D82)</f>
        <v>7.8969134321676607E-5</v>
      </c>
      <c r="K76" s="4">
        <f>ABS(F82)</f>
        <v>2.1824435604826616E-2</v>
      </c>
    </row>
    <row r="77" spans="1:11" x14ac:dyDescent="0.35">
      <c r="A77" s="7" t="s">
        <v>218</v>
      </c>
      <c r="B77" s="16" t="s">
        <v>523</v>
      </c>
      <c r="C77" s="16" t="s">
        <v>533</v>
      </c>
      <c r="D77" s="18"/>
      <c r="E77" s="7" t="s">
        <v>788</v>
      </c>
      <c r="F77" s="18"/>
    </row>
    <row r="78" spans="1:11" x14ac:dyDescent="0.35">
      <c r="A78" s="7" t="s">
        <v>191</v>
      </c>
      <c r="B78" s="16" t="s">
        <v>191</v>
      </c>
      <c r="C78" s="16" t="s">
        <v>191</v>
      </c>
      <c r="D78" s="18"/>
      <c r="E78" s="7" t="s">
        <v>191</v>
      </c>
      <c r="F78" s="18"/>
    </row>
    <row r="79" spans="1:11" x14ac:dyDescent="0.35">
      <c r="A79" s="7" t="s">
        <v>192</v>
      </c>
      <c r="B79" s="16" t="s">
        <v>192</v>
      </c>
      <c r="C79" s="16" t="s">
        <v>192</v>
      </c>
      <c r="D79" s="18"/>
      <c r="E79" s="7" t="s">
        <v>192</v>
      </c>
      <c r="F79" s="18"/>
    </row>
    <row r="80" spans="1:11" x14ac:dyDescent="0.35">
      <c r="A80" s="7" t="s">
        <v>193</v>
      </c>
      <c r="B80" s="16" t="s">
        <v>193</v>
      </c>
      <c r="C80" s="16" t="s">
        <v>193</v>
      </c>
      <c r="D80" s="18"/>
      <c r="E80" s="7" t="s">
        <v>193</v>
      </c>
      <c r="F80" s="18"/>
    </row>
    <row r="81" spans="1:7" x14ac:dyDescent="0.35">
      <c r="A81" s="7" t="s">
        <v>194</v>
      </c>
      <c r="B81" s="16" t="s">
        <v>194</v>
      </c>
      <c r="C81" s="16" t="s">
        <v>194</v>
      </c>
      <c r="D81" s="18"/>
      <c r="E81" s="7" t="s">
        <v>194</v>
      </c>
      <c r="F81" s="18"/>
    </row>
    <row r="82" spans="1:7" x14ac:dyDescent="0.35">
      <c r="A82" s="7" t="s">
        <v>219</v>
      </c>
      <c r="B82" s="16" t="s">
        <v>524</v>
      </c>
      <c r="C82" s="16" t="s">
        <v>534</v>
      </c>
      <c r="D82" s="18">
        <f>(40.791309-40.788088)/40.788088</f>
        <v>7.8969134321676607E-5</v>
      </c>
      <c r="E82" s="7" t="s">
        <v>789</v>
      </c>
      <c r="F82" s="18">
        <f>(39.897911-40.788088)/40.788088</f>
        <v>-2.1824435604826616E-2</v>
      </c>
    </row>
    <row r="83" spans="1:7" x14ac:dyDescent="0.35">
      <c r="A83" s="7" t="s">
        <v>196</v>
      </c>
      <c r="B83" s="16" t="s">
        <v>196</v>
      </c>
      <c r="C83" s="16" t="s">
        <v>196</v>
      </c>
      <c r="D83" s="18"/>
      <c r="E83" s="7" t="s">
        <v>196</v>
      </c>
      <c r="F83" s="18"/>
    </row>
    <row r="84" spans="1:7" ht="15" thickBot="1" x14ac:dyDescent="0.4">
      <c r="A84" s="8" t="s">
        <v>197</v>
      </c>
      <c r="B84" s="17" t="s">
        <v>197</v>
      </c>
      <c r="C84" s="17" t="s">
        <v>197</v>
      </c>
      <c r="D84" s="51"/>
      <c r="E84" s="8" t="s">
        <v>197</v>
      </c>
      <c r="F84" s="51"/>
    </row>
    <row r="85" spans="1:7" ht="15" thickBot="1" x14ac:dyDescent="0.4"/>
    <row r="86" spans="1:7" x14ac:dyDescent="0.35">
      <c r="A86" s="6" t="s">
        <v>182</v>
      </c>
      <c r="B86" s="6"/>
      <c r="C86" s="6" t="s">
        <v>227</v>
      </c>
      <c r="D86" s="50"/>
      <c r="E86" s="6" t="s">
        <v>227</v>
      </c>
      <c r="F86" s="50"/>
    </row>
    <row r="87" spans="1:7" x14ac:dyDescent="0.35">
      <c r="A87" s="7" t="s">
        <v>220</v>
      </c>
      <c r="B87" s="7" t="s">
        <v>220</v>
      </c>
      <c r="C87" s="7" t="s">
        <v>234</v>
      </c>
      <c r="D87" s="18"/>
      <c r="E87" s="7" t="s">
        <v>234</v>
      </c>
      <c r="F87" s="18"/>
    </row>
    <row r="88" spans="1:7" ht="145" x14ac:dyDescent="0.35">
      <c r="A88" s="7" t="s">
        <v>221</v>
      </c>
      <c r="B88" s="7" t="s">
        <v>525</v>
      </c>
      <c r="C88" s="7"/>
      <c r="D88" s="18"/>
      <c r="E88" s="7" t="s">
        <v>231</v>
      </c>
      <c r="F88" s="18"/>
    </row>
    <row r="89" spans="1:7" x14ac:dyDescent="0.35">
      <c r="A89" s="7"/>
      <c r="B89" s="7"/>
      <c r="C89" s="7"/>
      <c r="D89" s="18"/>
      <c r="E89" s="7"/>
      <c r="F89" s="18"/>
    </row>
    <row r="90" spans="1:7" ht="29" x14ac:dyDescent="0.35">
      <c r="A90" s="7" t="s">
        <v>6</v>
      </c>
      <c r="B90" s="7" t="s">
        <v>200</v>
      </c>
      <c r="C90" s="39" t="s">
        <v>393</v>
      </c>
      <c r="D90" s="18"/>
      <c r="E90" s="7" t="s">
        <v>200</v>
      </c>
      <c r="F90" s="18"/>
    </row>
    <row r="91" spans="1:7" x14ac:dyDescent="0.35">
      <c r="A91" s="7" t="s">
        <v>7</v>
      </c>
      <c r="B91" s="7"/>
      <c r="C91" s="7"/>
      <c r="D91" s="18"/>
      <c r="E91" s="7"/>
      <c r="F91" s="18"/>
    </row>
    <row r="92" spans="1:7" x14ac:dyDescent="0.35">
      <c r="A92" s="7" t="s">
        <v>67</v>
      </c>
      <c r="B92" s="7"/>
      <c r="C92" s="9"/>
      <c r="D92" s="18"/>
      <c r="E92" s="7"/>
      <c r="F92" s="18"/>
    </row>
    <row r="93" spans="1:7" x14ac:dyDescent="0.35">
      <c r="A93" s="7" t="s">
        <v>68</v>
      </c>
      <c r="B93" s="7"/>
      <c r="C93" s="7"/>
      <c r="D93" s="18"/>
      <c r="E93" s="7"/>
      <c r="F93" s="18"/>
    </row>
    <row r="94" spans="1:7" x14ac:dyDescent="0.35">
      <c r="A94" s="7" t="s">
        <v>10</v>
      </c>
      <c r="B94" s="7"/>
      <c r="C94" s="7"/>
      <c r="D94" s="18"/>
      <c r="E94" s="7"/>
      <c r="F94" s="18"/>
    </row>
    <row r="95" spans="1:7" x14ac:dyDescent="0.35">
      <c r="A95" s="7" t="s">
        <v>11</v>
      </c>
      <c r="B95" s="7"/>
      <c r="C95" s="7"/>
      <c r="D95" s="18"/>
      <c r="E95" s="7"/>
      <c r="F95" s="18"/>
      <c r="G95" s="5"/>
    </row>
    <row r="96" spans="1:7" x14ac:dyDescent="0.35">
      <c r="A96" s="7" t="s">
        <v>12</v>
      </c>
      <c r="B96" s="7"/>
      <c r="C96" s="7"/>
      <c r="D96" s="18"/>
      <c r="E96" s="7"/>
      <c r="F96" s="18"/>
    </row>
    <row r="97" spans="1:6" x14ac:dyDescent="0.35">
      <c r="A97" s="7" t="s">
        <v>222</v>
      </c>
      <c r="B97" s="7"/>
      <c r="C97" s="7"/>
      <c r="D97" s="18"/>
      <c r="E97" s="7"/>
      <c r="F97" s="18"/>
    </row>
    <row r="98" spans="1:6" x14ac:dyDescent="0.35">
      <c r="A98" s="7" t="s">
        <v>223</v>
      </c>
      <c r="B98" s="7"/>
      <c r="C98" s="7"/>
      <c r="D98" s="18"/>
      <c r="E98" s="7"/>
      <c r="F98" s="18"/>
    </row>
    <row r="99" spans="1:6" x14ac:dyDescent="0.35">
      <c r="A99" s="7" t="s">
        <v>224</v>
      </c>
      <c r="B99" s="7"/>
      <c r="C99" s="7"/>
      <c r="D99" s="18"/>
      <c r="E99" s="7"/>
      <c r="F99" s="18"/>
    </row>
    <row r="100" spans="1:6" x14ac:dyDescent="0.35">
      <c r="A100" s="7" t="s">
        <v>16</v>
      </c>
      <c r="B100" s="7"/>
      <c r="C100" s="7"/>
      <c r="D100" s="18"/>
      <c r="E100" s="7"/>
      <c r="F100" s="18"/>
    </row>
    <row r="101" spans="1:6" x14ac:dyDescent="0.35">
      <c r="A101" s="7" t="s">
        <v>225</v>
      </c>
      <c r="B101" s="7"/>
      <c r="C101" s="7"/>
      <c r="D101" s="18"/>
      <c r="E101" s="7"/>
      <c r="F101" s="18"/>
    </row>
    <row r="102" spans="1:6" x14ac:dyDescent="0.35">
      <c r="A102" s="7" t="s">
        <v>208</v>
      </c>
      <c r="B102" s="7"/>
      <c r="C102" s="7"/>
      <c r="D102" s="18"/>
      <c r="E102" s="7"/>
      <c r="F102" s="18"/>
    </row>
    <row r="103" spans="1:6" x14ac:dyDescent="0.35">
      <c r="A103" s="7" t="s">
        <v>192</v>
      </c>
      <c r="B103" s="7"/>
      <c r="C103" s="7"/>
      <c r="D103" s="18"/>
      <c r="E103" s="7"/>
      <c r="F103" s="18"/>
    </row>
    <row r="104" spans="1:6" x14ac:dyDescent="0.35">
      <c r="A104" s="7" t="s">
        <v>209</v>
      </c>
      <c r="B104" s="7"/>
      <c r="C104" s="7"/>
      <c r="D104" s="18"/>
      <c r="E104" s="7"/>
      <c r="F104" s="18"/>
    </row>
    <row r="105" spans="1:6" x14ac:dyDescent="0.35">
      <c r="A105" s="7" t="s">
        <v>194</v>
      </c>
      <c r="B105" s="7"/>
      <c r="C105" s="7"/>
      <c r="D105" s="18"/>
      <c r="E105" s="7"/>
      <c r="F105" s="18"/>
    </row>
    <row r="106" spans="1:6" x14ac:dyDescent="0.35">
      <c r="A106" s="7" t="s">
        <v>226</v>
      </c>
      <c r="B106" s="7"/>
      <c r="C106" s="7"/>
      <c r="D106" s="18"/>
      <c r="E106" s="7"/>
      <c r="F106" s="18"/>
    </row>
    <row r="107" spans="1:6" x14ac:dyDescent="0.35">
      <c r="A107" s="7" t="s">
        <v>211</v>
      </c>
      <c r="B107" s="7"/>
      <c r="C107" s="7"/>
      <c r="D107" s="18"/>
      <c r="E107" s="7"/>
      <c r="F107" s="18"/>
    </row>
    <row r="108" spans="1:6" ht="15" thickBot="1" x14ac:dyDescent="0.4">
      <c r="A108" s="8" t="s">
        <v>212</v>
      </c>
      <c r="B108" s="8"/>
      <c r="C108" s="8"/>
      <c r="D108" s="51"/>
      <c r="E108" s="8"/>
      <c r="F108" s="51"/>
    </row>
    <row r="110" spans="1:6" x14ac:dyDescent="0.35">
      <c r="C110" s="3" t="s">
        <v>451</v>
      </c>
    </row>
    <row r="111" spans="1:6" x14ac:dyDescent="0.35">
      <c r="C111" s="3" t="s">
        <v>452</v>
      </c>
    </row>
    <row r="112" spans="1:6" x14ac:dyDescent="0.35">
      <c r="C112" s="3" t="s">
        <v>603</v>
      </c>
    </row>
    <row r="113" spans="3:3" x14ac:dyDescent="0.35">
      <c r="C113" s="3" t="s">
        <v>604</v>
      </c>
    </row>
    <row r="115" spans="3:3" x14ac:dyDescent="0.35">
      <c r="C115" s="3" t="s">
        <v>496</v>
      </c>
    </row>
    <row r="116" spans="3:3" x14ac:dyDescent="0.35">
      <c r="C116" s="3" t="s">
        <v>497</v>
      </c>
    </row>
    <row r="117" spans="3:3" x14ac:dyDescent="0.35">
      <c r="C117" s="3" t="s">
        <v>407</v>
      </c>
    </row>
    <row r="118" spans="3:3" x14ac:dyDescent="0.35">
      <c r="C118" s="3" t="s">
        <v>408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EDB3-7C06-4147-BAAD-C9C3AF39B513}">
  <dimension ref="A1:D62"/>
  <sheetViews>
    <sheetView topLeftCell="A31" workbookViewId="0">
      <selection activeCell="A31" sqref="A1:XFD1048576"/>
    </sheetView>
  </sheetViews>
  <sheetFormatPr defaultRowHeight="14.5" x14ac:dyDescent="0.35"/>
  <cols>
    <col min="1" max="2" width="60.6328125" customWidth="1"/>
  </cols>
  <sheetData>
    <row r="1" spans="1:4" x14ac:dyDescent="0.35">
      <c r="A1" s="72"/>
      <c r="B1" s="19"/>
      <c r="C1" s="21"/>
      <c r="D1" s="21"/>
    </row>
    <row r="2" spans="1:4" ht="15" thickBot="1" x14ac:dyDescent="0.4">
      <c r="A2" s="73"/>
      <c r="B2" s="20"/>
      <c r="C2" s="22"/>
      <c r="D2" s="22"/>
    </row>
    <row r="3" spans="1:4" ht="15" thickBot="1" x14ac:dyDescent="0.4">
      <c r="A3" s="23"/>
      <c r="B3" s="23"/>
      <c r="C3" s="23"/>
      <c r="D3" s="23"/>
    </row>
    <row r="4" spans="1:4" ht="15" thickBot="1" x14ac:dyDescent="0.4">
      <c r="A4" s="23"/>
      <c r="B4" s="23"/>
      <c r="C4" s="23"/>
      <c r="D4" s="23"/>
    </row>
    <row r="5" spans="1:4" ht="15" thickBot="1" x14ac:dyDescent="0.4">
      <c r="A5" s="23"/>
      <c r="B5" s="23"/>
      <c r="C5" s="23"/>
      <c r="D5" s="23"/>
    </row>
    <row r="6" spans="1:4" ht="15" thickBot="1" x14ac:dyDescent="0.4">
      <c r="A6" s="23"/>
      <c r="B6" s="23"/>
      <c r="C6" s="23"/>
      <c r="D6" s="23"/>
    </row>
    <row r="7" spans="1:4" ht="15" thickBot="1" x14ac:dyDescent="0.4">
      <c r="A7" s="23"/>
      <c r="B7" s="23"/>
      <c r="C7" s="23"/>
      <c r="D7" s="23"/>
    </row>
    <row r="8" spans="1:4" ht="15" thickBot="1" x14ac:dyDescent="0.4">
      <c r="A8" s="23"/>
      <c r="B8" s="23"/>
      <c r="C8" s="23"/>
      <c r="D8" s="23"/>
    </row>
    <row r="9" spans="1:4" ht="15" thickBot="1" x14ac:dyDescent="0.4">
      <c r="A9" s="23"/>
      <c r="B9" s="23"/>
      <c r="C9" s="23"/>
      <c r="D9" s="23"/>
    </row>
    <row r="10" spans="1:4" ht="15" thickBot="1" x14ac:dyDescent="0.4">
      <c r="A10" s="23"/>
      <c r="B10" s="23"/>
      <c r="C10" s="23"/>
      <c r="D10" s="23"/>
    </row>
    <row r="11" spans="1:4" ht="15" thickBot="1" x14ac:dyDescent="0.4">
      <c r="A11" s="23"/>
      <c r="B11" s="23"/>
      <c r="C11" s="23"/>
      <c r="D11" s="23"/>
    </row>
    <row r="12" spans="1:4" ht="15" thickBot="1" x14ac:dyDescent="0.4">
      <c r="A12" s="23"/>
      <c r="B12" s="23"/>
      <c r="C12" s="23"/>
      <c r="D12" s="23"/>
    </row>
    <row r="13" spans="1:4" ht="15" thickBot="1" x14ac:dyDescent="0.4">
      <c r="A13" s="23"/>
      <c r="B13" s="23"/>
      <c r="C13" s="23"/>
      <c r="D13" s="23"/>
    </row>
    <row r="14" spans="1:4" ht="15" thickBot="1" x14ac:dyDescent="0.4">
      <c r="A14" s="23"/>
      <c r="B14" s="23"/>
      <c r="C14" s="23"/>
      <c r="D14" s="23"/>
    </row>
    <row r="15" spans="1:4" ht="15" thickBot="1" x14ac:dyDescent="0.4">
      <c r="A15" s="23"/>
      <c r="B15" s="23"/>
      <c r="C15" s="23"/>
      <c r="D15" s="23"/>
    </row>
    <row r="16" spans="1:4" ht="15" thickBot="1" x14ac:dyDescent="0.4">
      <c r="A16" s="23"/>
      <c r="B16" s="23"/>
      <c r="C16" s="23"/>
      <c r="D16" s="23"/>
    </row>
    <row r="17" spans="1:4" ht="15" thickBot="1" x14ac:dyDescent="0.4">
      <c r="A17" s="23"/>
      <c r="B17" s="23"/>
      <c r="C17" s="23"/>
      <c r="D17" s="23"/>
    </row>
    <row r="18" spans="1:4" ht="15" thickBot="1" x14ac:dyDescent="0.4">
      <c r="A18" s="23"/>
      <c r="B18" s="23"/>
      <c r="C18" s="23"/>
      <c r="D18" s="23"/>
    </row>
    <row r="19" spans="1:4" ht="15" thickBot="1" x14ac:dyDescent="0.4">
      <c r="A19" s="23"/>
      <c r="B19" s="23"/>
      <c r="C19" s="23"/>
      <c r="D19" s="23"/>
    </row>
    <row r="20" spans="1:4" ht="15" thickBot="1" x14ac:dyDescent="0.4">
      <c r="A20" s="23"/>
      <c r="B20" s="23"/>
      <c r="C20" s="23"/>
      <c r="D20" s="23"/>
    </row>
    <row r="21" spans="1:4" ht="15" thickBot="1" x14ac:dyDescent="0.4">
      <c r="A21" s="23"/>
      <c r="B21" s="23"/>
      <c r="C21" s="23"/>
      <c r="D21" s="23"/>
    </row>
    <row r="22" spans="1:4" ht="15" thickBot="1" x14ac:dyDescent="0.4">
      <c r="A22" s="23"/>
      <c r="B22" s="23"/>
      <c r="C22" s="23"/>
      <c r="D22" s="23"/>
    </row>
    <row r="23" spans="1:4" ht="15" thickBot="1" x14ac:dyDescent="0.4">
      <c r="A23" s="23"/>
      <c r="B23" s="23"/>
      <c r="C23" s="23"/>
      <c r="D23" s="23"/>
    </row>
    <row r="24" spans="1:4" ht="15" thickBot="1" x14ac:dyDescent="0.4">
      <c r="A24" s="23"/>
      <c r="B24" s="23"/>
      <c r="C24" s="24"/>
      <c r="D24" s="23"/>
    </row>
    <row r="25" spans="1:4" ht="15" thickBot="1" x14ac:dyDescent="0.4">
      <c r="A25" s="23"/>
      <c r="B25" s="23"/>
      <c r="C25" s="24"/>
      <c r="D25" s="23"/>
    </row>
    <row r="26" spans="1:4" ht="15" thickBot="1" x14ac:dyDescent="0.4">
      <c r="A26" s="23"/>
      <c r="B26" s="23"/>
      <c r="C26" s="23"/>
      <c r="D26" s="23"/>
    </row>
    <row r="27" spans="1:4" ht="15" thickBot="1" x14ac:dyDescent="0.4">
      <c r="A27" s="23"/>
      <c r="B27" s="23"/>
      <c r="C27" s="23"/>
      <c r="D27" s="23"/>
    </row>
    <row r="28" spans="1:4" ht="15" thickBot="1" x14ac:dyDescent="0.4">
      <c r="A28" s="23"/>
      <c r="B28" s="23"/>
      <c r="C28" s="23"/>
      <c r="D28" s="23"/>
    </row>
    <row r="29" spans="1:4" ht="15" thickBot="1" x14ac:dyDescent="0.4">
      <c r="A29" s="23"/>
      <c r="B29" s="23"/>
      <c r="C29" s="23"/>
      <c r="D29" s="23"/>
    </row>
    <row r="30" spans="1:4" ht="15" thickBot="1" x14ac:dyDescent="0.4">
      <c r="A30" s="23"/>
      <c r="B30" s="23"/>
      <c r="C30" s="23"/>
      <c r="D30" s="23"/>
    </row>
    <row r="31" spans="1:4" x14ac:dyDescent="0.35">
      <c r="A31" s="72"/>
      <c r="B31" s="19"/>
      <c r="C31" s="21"/>
      <c r="D31" s="21"/>
    </row>
    <row r="32" spans="1:4" ht="15" thickBot="1" x14ac:dyDescent="0.4">
      <c r="A32" s="73"/>
      <c r="B32" s="20"/>
      <c r="C32" s="22"/>
      <c r="D32" s="22"/>
    </row>
    <row r="33" spans="1:4" ht="15" thickBot="1" x14ac:dyDescent="0.4">
      <c r="A33" s="23"/>
      <c r="B33" s="23"/>
      <c r="C33" s="23"/>
      <c r="D33" s="23"/>
    </row>
    <row r="34" spans="1:4" ht="15" thickBot="1" x14ac:dyDescent="0.4">
      <c r="A34" s="23"/>
      <c r="B34" s="23"/>
      <c r="C34" s="23"/>
      <c r="D34" s="23"/>
    </row>
    <row r="35" spans="1:4" ht="15" thickBot="1" x14ac:dyDescent="0.4">
      <c r="A35" s="23"/>
      <c r="B35" s="23"/>
      <c r="C35" s="23"/>
      <c r="D35" s="23"/>
    </row>
    <row r="36" spans="1:4" ht="15" thickBot="1" x14ac:dyDescent="0.4">
      <c r="A36" s="23"/>
      <c r="B36" s="23"/>
      <c r="C36" s="23"/>
      <c r="D36" s="23"/>
    </row>
    <row r="37" spans="1:4" ht="15" thickBot="1" x14ac:dyDescent="0.4">
      <c r="A37" s="23"/>
      <c r="B37" s="23"/>
      <c r="C37" s="23"/>
      <c r="D37" s="23"/>
    </row>
    <row r="38" spans="1:4" ht="15" thickBot="1" x14ac:dyDescent="0.4">
      <c r="A38" s="23"/>
      <c r="B38" s="23"/>
      <c r="C38" s="23"/>
      <c r="D38" s="23"/>
    </row>
    <row r="39" spans="1:4" ht="15" thickBot="1" x14ac:dyDescent="0.4">
      <c r="A39" s="23"/>
      <c r="B39" s="23"/>
      <c r="C39" s="23"/>
      <c r="D39" s="23"/>
    </row>
    <row r="40" spans="1:4" ht="15" thickBot="1" x14ac:dyDescent="0.4">
      <c r="A40" s="23"/>
      <c r="B40" s="23"/>
      <c r="C40" s="23"/>
      <c r="D40" s="23"/>
    </row>
    <row r="41" spans="1:4" ht="15" thickBot="1" x14ac:dyDescent="0.4">
      <c r="A41" s="23"/>
      <c r="B41" s="23"/>
      <c r="C41" s="23"/>
      <c r="D41" s="23"/>
    </row>
    <row r="42" spans="1:4" ht="15" thickBot="1" x14ac:dyDescent="0.4">
      <c r="A42" s="23"/>
      <c r="B42" s="23"/>
      <c r="C42" s="23"/>
      <c r="D42" s="23"/>
    </row>
    <row r="43" spans="1:4" ht="15" thickBot="1" x14ac:dyDescent="0.4">
      <c r="A43" s="23"/>
      <c r="B43" s="23"/>
      <c r="C43" s="23"/>
      <c r="D43" s="23"/>
    </row>
    <row r="44" spans="1:4" ht="15" thickBot="1" x14ac:dyDescent="0.4">
      <c r="A44" s="23"/>
      <c r="B44" s="23"/>
      <c r="C44" s="23"/>
      <c r="D44" s="23"/>
    </row>
    <row r="45" spans="1:4" ht="15" thickBot="1" x14ac:dyDescent="0.4">
      <c r="A45" s="23"/>
      <c r="B45" s="23"/>
      <c r="C45" s="23"/>
      <c r="D45" s="23"/>
    </row>
    <row r="46" spans="1:4" ht="15" thickBot="1" x14ac:dyDescent="0.4">
      <c r="A46" s="23"/>
      <c r="B46" s="23"/>
      <c r="C46" s="23"/>
      <c r="D46" s="23"/>
    </row>
    <row r="47" spans="1:4" ht="15" thickBot="1" x14ac:dyDescent="0.4">
      <c r="A47" s="23"/>
      <c r="B47" s="23"/>
      <c r="C47" s="23"/>
      <c r="D47" s="23"/>
    </row>
    <row r="48" spans="1:4" ht="15" thickBot="1" x14ac:dyDescent="0.4">
      <c r="A48" s="23"/>
      <c r="B48" s="23"/>
      <c r="C48" s="23"/>
      <c r="D48" s="23"/>
    </row>
    <row r="49" spans="1:4" ht="15" thickBot="1" x14ac:dyDescent="0.4">
      <c r="A49" s="23"/>
      <c r="B49" s="23"/>
      <c r="C49" s="23"/>
      <c r="D49" s="23"/>
    </row>
    <row r="50" spans="1:4" ht="15" thickBot="1" x14ac:dyDescent="0.4">
      <c r="A50" s="23"/>
      <c r="B50" s="23"/>
      <c r="C50" s="23"/>
      <c r="D50" s="23"/>
    </row>
    <row r="51" spans="1:4" ht="15" thickBot="1" x14ac:dyDescent="0.4">
      <c r="A51" s="23"/>
      <c r="B51" s="23"/>
      <c r="C51" s="23"/>
      <c r="D51" s="23"/>
    </row>
    <row r="52" spans="1:4" ht="15" thickBot="1" x14ac:dyDescent="0.4">
      <c r="A52" s="23"/>
      <c r="B52" s="23"/>
      <c r="C52" s="23"/>
      <c r="D52" s="23"/>
    </row>
    <row r="53" spans="1:4" ht="15" thickBot="1" x14ac:dyDescent="0.4">
      <c r="A53" s="23"/>
      <c r="B53" s="23"/>
      <c r="C53" s="23"/>
      <c r="D53" s="23"/>
    </row>
    <row r="54" spans="1:4" ht="15" thickBot="1" x14ac:dyDescent="0.4">
      <c r="A54" s="23"/>
      <c r="B54" s="23"/>
      <c r="C54" s="24"/>
      <c r="D54" s="23"/>
    </row>
    <row r="55" spans="1:4" ht="15" thickBot="1" x14ac:dyDescent="0.4">
      <c r="A55" s="23"/>
      <c r="B55" s="23"/>
      <c r="C55" s="24"/>
      <c r="D55" s="23"/>
    </row>
    <row r="56" spans="1:4" ht="15" thickBot="1" x14ac:dyDescent="0.4">
      <c r="A56" s="23"/>
      <c r="B56" s="23"/>
      <c r="C56" s="23"/>
      <c r="D56" s="23"/>
    </row>
    <row r="57" spans="1:4" ht="15" thickBot="1" x14ac:dyDescent="0.4">
      <c r="A57" s="23"/>
      <c r="B57" s="23"/>
      <c r="C57" s="23"/>
      <c r="D57" s="23"/>
    </row>
    <row r="58" spans="1:4" ht="15" thickBot="1" x14ac:dyDescent="0.4">
      <c r="A58" s="23"/>
      <c r="B58" s="23"/>
      <c r="C58" s="23"/>
      <c r="D58" s="23"/>
    </row>
    <row r="59" spans="1:4" ht="15" thickBot="1" x14ac:dyDescent="0.4">
      <c r="A59" s="23"/>
      <c r="B59" s="23"/>
      <c r="C59" s="23"/>
      <c r="D59" s="23"/>
    </row>
    <row r="60" spans="1:4" ht="15" thickBot="1" x14ac:dyDescent="0.4">
      <c r="A60" s="23"/>
      <c r="B60" s="23"/>
      <c r="C60" s="23"/>
      <c r="D60" s="23"/>
    </row>
    <row r="61" spans="1:4" ht="15" thickBot="1" x14ac:dyDescent="0.4">
      <c r="A61" s="23"/>
      <c r="B61" s="23"/>
      <c r="C61" s="23"/>
      <c r="D61" s="23"/>
    </row>
    <row r="62" spans="1:4" ht="15" thickBot="1" x14ac:dyDescent="0.4">
      <c r="A62" s="23"/>
      <c r="B62" s="23"/>
      <c r="C62" s="23"/>
      <c r="D62" s="23"/>
    </row>
  </sheetData>
  <mergeCells count="2">
    <mergeCell ref="A1:A2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zup - image (stock2.txt)</vt:lpstr>
      <vt:lpstr>zup - image (client1.txt)</vt:lpstr>
      <vt:lpstr>zup - randa (randa_sidewinder.t</vt:lpstr>
      <vt:lpstr>zup - strm (SW and ZCU)</vt:lpstr>
      <vt:lpstr>zup - rtb (rtb_sidewinder.txt)</vt:lpstr>
      <vt:lpstr>zup - rtb (rtb.txt)</vt:lpstr>
      <vt:lpstr>zup - spmv (spmv.txt)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Macaraeg, Christopher C.</dc:creator>
  <cp:lastModifiedBy>Macaraeg, Christopher C.</cp:lastModifiedBy>
  <dcterms:created xsi:type="dcterms:W3CDTF">2020-09-14T22:03:44Z</dcterms:created>
  <dcterms:modified xsi:type="dcterms:W3CDTF">2020-10-14T23:20:54Z</dcterms:modified>
</cp:coreProperties>
</file>