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work\lime\system\"/>
    </mc:Choice>
  </mc:AlternateContent>
  <xr:revisionPtr revIDLastSave="0" documentId="13_ncr:1_{E6DAAA87-859A-4515-8DAB-A8E2C71F384C}" xr6:coauthVersionLast="45" xr6:coauthVersionMax="45" xr10:uidLastSave="{00000000-0000-0000-0000-000000000000}"/>
  <bookViews>
    <workbookView xWindow="1545" yWindow="5085" windowWidth="18705" windowHeight="15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F22" i="1" s="1"/>
  <c r="H22" i="1" s="1"/>
  <c r="G22" i="1" l="1"/>
  <c r="C33" i="1"/>
  <c r="C35" i="1"/>
  <c r="C34" i="1"/>
  <c r="E12" i="1"/>
  <c r="F12" i="1" s="1"/>
  <c r="H12" i="1" s="1"/>
  <c r="E13" i="1"/>
  <c r="G13" i="1" s="1"/>
  <c r="E16" i="1"/>
  <c r="F16" i="1" s="1"/>
  <c r="H16" i="1" s="1"/>
  <c r="E11" i="1"/>
  <c r="E21" i="1" s="1"/>
  <c r="F21" i="1" s="1"/>
  <c r="H21" i="1" s="1"/>
  <c r="E8" i="1"/>
  <c r="E7" i="1"/>
  <c r="E14" i="1" s="1"/>
  <c r="E29" i="1" l="1"/>
  <c r="F29" i="1" s="1"/>
  <c r="H29" i="1" s="1"/>
  <c r="F14" i="1"/>
  <c r="H14" i="1" s="1"/>
  <c r="E27" i="1"/>
  <c r="G27" i="1" s="1"/>
  <c r="F13" i="1"/>
  <c r="H13" i="1" s="1"/>
  <c r="E15" i="1"/>
  <c r="E33" i="1"/>
  <c r="G33" i="1" s="1"/>
  <c r="F27" i="1"/>
  <c r="H27" i="1" s="1"/>
  <c r="G21" i="1"/>
  <c r="G16" i="1"/>
  <c r="G14" i="1"/>
  <c r="G12" i="1"/>
  <c r="B67" i="1"/>
  <c r="B66" i="1"/>
  <c r="G29" i="1" l="1"/>
  <c r="F33" i="1"/>
  <c r="H33" i="1" s="1"/>
  <c r="G15" i="1"/>
  <c r="F15" i="1"/>
  <c r="H15" i="1" s="1"/>
  <c r="D46" i="1"/>
  <c r="D45" i="1"/>
  <c r="D44" i="1"/>
  <c r="E32" i="1" l="1"/>
  <c r="G11" i="1"/>
  <c r="G7" i="1"/>
  <c r="G8" i="1"/>
  <c r="F8" i="1"/>
  <c r="H8" i="1" s="1"/>
  <c r="F7" i="1"/>
  <c r="H7" i="1" s="1"/>
  <c r="E35" i="1" l="1"/>
  <c r="F35" i="1" s="1"/>
  <c r="H35" i="1" s="1"/>
  <c r="E28" i="1"/>
  <c r="E40" i="1" s="1"/>
  <c r="E20" i="1"/>
  <c r="E31" i="1"/>
  <c r="E26" i="1"/>
  <c r="E50" i="1" s="1"/>
  <c r="E30" i="1"/>
  <c r="E54" i="1" s="1"/>
  <c r="G54" i="1" s="1"/>
  <c r="E25" i="1"/>
  <c r="E45" i="1" s="1"/>
  <c r="E34" i="1"/>
  <c r="E24" i="1"/>
  <c r="E23" i="1"/>
  <c r="E53" i="1" l="1"/>
  <c r="E55" i="1"/>
  <c r="G55" i="1" s="1"/>
  <c r="E41" i="1"/>
  <c r="E56" i="1"/>
  <c r="G56" i="1" s="1"/>
  <c r="E51" i="1"/>
  <c r="G35" i="1"/>
  <c r="F56" i="1"/>
  <c r="H56" i="1" s="1"/>
  <c r="F34" i="1"/>
  <c r="E46" i="1"/>
  <c r="G46" i="1" s="1"/>
  <c r="E39" i="1"/>
  <c r="E52" i="1"/>
  <c r="G34" i="1"/>
  <c r="E49" i="1"/>
  <c r="G49" i="1" s="1"/>
  <c r="E44" i="1"/>
  <c r="E38" i="1"/>
  <c r="F11" i="1"/>
  <c r="H11" i="1" s="1"/>
  <c r="H34" i="1" l="1"/>
  <c r="F46" i="1"/>
  <c r="H46" i="1" s="1"/>
  <c r="G50" i="1"/>
  <c r="G45" i="1"/>
  <c r="G44" i="1"/>
  <c r="F25" i="1"/>
  <c r="F45" i="1" s="1"/>
  <c r="G25" i="1"/>
  <c r="F23" i="1"/>
  <c r="G23" i="1"/>
  <c r="F32" i="1"/>
  <c r="G32" i="1"/>
  <c r="F31" i="1"/>
  <c r="H31" i="1" s="1"/>
  <c r="G31" i="1"/>
  <c r="F26" i="1"/>
  <c r="F50" i="1" s="1"/>
  <c r="G26" i="1"/>
  <c r="F20" i="1"/>
  <c r="G20" i="1"/>
  <c r="F30" i="1"/>
  <c r="G30" i="1"/>
  <c r="F28" i="1"/>
  <c r="H28" i="1" s="1"/>
  <c r="G28" i="1"/>
  <c r="F24" i="1"/>
  <c r="H24" i="1" s="1"/>
  <c r="G24" i="1"/>
  <c r="D77" i="1" l="1"/>
  <c r="F77" i="1" s="1"/>
  <c r="H77" i="1" s="1"/>
  <c r="D76" i="1"/>
  <c r="F76" i="1" s="1"/>
  <c r="H76" i="1" s="1"/>
  <c r="D75" i="1"/>
  <c r="F75" i="1" s="1"/>
  <c r="H75" i="1" s="1"/>
  <c r="D74" i="1"/>
  <c r="F74" i="1" s="1"/>
  <c r="H74" i="1" s="1"/>
  <c r="D73" i="1"/>
  <c r="F73" i="1" s="1"/>
  <c r="H73" i="1" s="1"/>
  <c r="D72" i="1"/>
  <c r="F72" i="1" s="1"/>
  <c r="H72" i="1" s="1"/>
  <c r="D71" i="1"/>
  <c r="F71" i="1" s="1"/>
  <c r="H71" i="1" s="1"/>
  <c r="D70" i="1"/>
  <c r="F70" i="1" s="1"/>
  <c r="H70" i="1" s="1"/>
  <c r="E75" i="1"/>
  <c r="G75" i="1" s="1"/>
  <c r="E73" i="1"/>
  <c r="G73" i="1" s="1"/>
  <c r="E76" i="1"/>
  <c r="G76" i="1" s="1"/>
  <c r="E77" i="1"/>
  <c r="G77" i="1" s="1"/>
  <c r="E74" i="1"/>
  <c r="G74" i="1" s="1"/>
  <c r="E71" i="1"/>
  <c r="G71" i="1" s="1"/>
  <c r="E70" i="1"/>
  <c r="G70" i="1" s="1"/>
  <c r="E72" i="1"/>
  <c r="G72" i="1" s="1"/>
  <c r="F54" i="1"/>
  <c r="H54" i="1" s="1"/>
  <c r="F52" i="1"/>
  <c r="F44" i="1"/>
  <c r="H44" i="1" s="1"/>
  <c r="F49" i="1"/>
  <c r="F53" i="1"/>
  <c r="H53" i="1" s="1"/>
  <c r="F55" i="1"/>
  <c r="H55" i="1" s="1"/>
  <c r="F51" i="1"/>
  <c r="H51" i="1" s="1"/>
  <c r="H25" i="1"/>
  <c r="H45" i="1"/>
  <c r="H30" i="1"/>
  <c r="H20" i="1"/>
  <c r="H32" i="1"/>
  <c r="H50" i="1"/>
  <c r="H26" i="1"/>
  <c r="H23" i="1"/>
  <c r="G51" i="1"/>
  <c r="G53" i="1"/>
  <c r="G52" i="1"/>
  <c r="G39" i="1"/>
  <c r="F39" i="1"/>
  <c r="H39" i="1" s="1"/>
  <c r="G41" i="1"/>
  <c r="F41" i="1"/>
  <c r="H41" i="1" s="1"/>
  <c r="G40" i="1"/>
  <c r="F40" i="1"/>
  <c r="H40" i="1" s="1"/>
  <c r="F38" i="1"/>
  <c r="H38" i="1" s="1"/>
  <c r="G38" i="1"/>
  <c r="I76" i="1" l="1"/>
  <c r="I75" i="1"/>
  <c r="I72" i="1"/>
  <c r="I77" i="1"/>
  <c r="I70" i="1"/>
  <c r="I74" i="1"/>
  <c r="I73" i="1"/>
  <c r="I71" i="1"/>
  <c r="H52" i="1"/>
  <c r="H49" i="1"/>
</calcChain>
</file>

<file path=xl/sharedStrings.xml><?xml version="1.0" encoding="utf-8"?>
<sst xmlns="http://schemas.openxmlformats.org/spreadsheetml/2006/main" count="207" uniqueCount="117">
  <si>
    <t>Scale Factor</t>
  </si>
  <si>
    <t>PS_CLK</t>
  </si>
  <si>
    <t>PLL</t>
  </si>
  <si>
    <t>Clock</t>
  </si>
  <si>
    <t>Source</t>
  </si>
  <si>
    <t>Divisor 0</t>
  </si>
  <si>
    <t>Divisor 1</t>
  </si>
  <si>
    <t>~</t>
  </si>
  <si>
    <t>Width</t>
  </si>
  <si>
    <t>Data Path</t>
  </si>
  <si>
    <t>Unit</t>
  </si>
  <si>
    <t>LSU</t>
  </si>
  <si>
    <t>MCU (MicroBlaze)</t>
  </si>
  <si>
    <t>Trace Stream</t>
  </si>
  <si>
    <t>Freq MHz</t>
  </si>
  <si>
    <t>Period ns</t>
  </si>
  <si>
    <t>SYS_CLK</t>
  </si>
  <si>
    <t>Band MB/s</t>
  </si>
  <si>
    <t>Memory</t>
  </si>
  <si>
    <t>On Chip Mem (OCM)</t>
  </si>
  <si>
    <t>Access ns</t>
  </si>
  <si>
    <t>Trace Mmap</t>
  </si>
  <si>
    <t>Dbeat ns</t>
  </si>
  <si>
    <t>Delay cyc</t>
  </si>
  <si>
    <t>ARM</t>
  </si>
  <si>
    <t>DRE</t>
  </si>
  <si>
    <t>UI_CLK</t>
  </si>
  <si>
    <t>Perf. Monitor</t>
  </si>
  <si>
    <t>MIG_PLL</t>
  </si>
  <si>
    <t>MIG_PHY</t>
  </si>
  <si>
    <t>Access time can be tuned with AXI delay cycles.</t>
  </si>
  <si>
    <t>PL Mem Inter.</t>
  </si>
  <si>
    <t>PL Mem Port</t>
  </si>
  <si>
    <t>Loopback</t>
  </si>
  <si>
    <t>Delay</t>
  </si>
  <si>
    <t>Slot 0</t>
  </si>
  <si>
    <t>Slot 1</t>
  </si>
  <si>
    <t>Total ns</t>
  </si>
  <si>
    <t>Memory bandwidth (sum of emulated Channels) is tuned with scale factor.</t>
  </si>
  <si>
    <t>Data Path bandwidth is tuned with AXI interconnect clock frequency.</t>
  </si>
  <si>
    <t>Emulation Control</t>
  </si>
  <si>
    <t>Zynq Clock Frequency and Emulated System Performance</t>
  </si>
  <si>
    <t xml:space="preserve">T_W </t>
  </si>
  <si>
    <t>T_R</t>
  </si>
  <si>
    <t>T_TRANS</t>
  </si>
  <si>
    <t>Time ns</t>
  </si>
  <si>
    <t>Average DRAM Read, off chip</t>
  </si>
  <si>
    <t>Average DRAM Write, off chip</t>
  </si>
  <si>
    <t>Transport latency, round trip, on to off chip and back</t>
  </si>
  <si>
    <t>Memory Parameters</t>
  </si>
  <si>
    <t>T_SRAM_W</t>
  </si>
  <si>
    <t>T_SRAM_R</t>
  </si>
  <si>
    <t>T_DRAM_W</t>
  </si>
  <si>
    <t>T_DRAM_R</t>
  </si>
  <si>
    <t>T_QUEUE_W</t>
  </si>
  <si>
    <t>T_QUEUE_R</t>
  </si>
  <si>
    <t>SRAM Write latency</t>
  </si>
  <si>
    <t>SRAM Read latency</t>
  </si>
  <si>
    <t>DRAM Write latency</t>
  </si>
  <si>
    <t>DRAM Read latency</t>
  </si>
  <si>
    <t>Write Queue delay</t>
  </si>
  <si>
    <t>Read Queue delay</t>
  </si>
  <si>
    <t>Calib cyc</t>
  </si>
  <si>
    <t>Input cell</t>
  </si>
  <si>
    <t>Scaled value</t>
  </si>
  <si>
    <t>Calib ns</t>
  </si>
  <si>
    <t>Delay ns</t>
  </si>
  <si>
    <t>Slot 0 SRAM W</t>
  </si>
  <si>
    <t>Slot 0 SRAM R</t>
  </si>
  <si>
    <t>Slot 0 DRAM W</t>
  </si>
  <si>
    <t>Slot 0 DRAM R</t>
  </si>
  <si>
    <t>Slot 1 SRAM W</t>
  </si>
  <si>
    <t>Slot 1 SRAM R</t>
  </si>
  <si>
    <t>Slot 1 DRAM W</t>
  </si>
  <si>
    <t>Slot 1 DRAM R</t>
  </si>
  <si>
    <t>delay0[2]</t>
  </si>
  <si>
    <t>delay0[4]</t>
  </si>
  <si>
    <t>delay1[2]</t>
  </si>
  <si>
    <t>delay1[4]</t>
  </si>
  <si>
    <t>delay2[2]</t>
  </si>
  <si>
    <t>delay2[4]</t>
  </si>
  <si>
    <t>delay3[2]</t>
  </si>
  <si>
    <t>delay3[4]</t>
  </si>
  <si>
    <t>Not used</t>
  </si>
  <si>
    <t>AR27/AT27 Bank: 65</t>
  </si>
  <si>
    <t>AC27 Bank: 503</t>
  </si>
  <si>
    <t>APLL</t>
  </si>
  <si>
    <t>DPLL</t>
  </si>
  <si>
    <t>VPLL</t>
  </si>
  <si>
    <t>IOPLL</t>
  </si>
  <si>
    <t>RPLL</t>
  </si>
  <si>
    <t>Multiplier</t>
  </si>
  <si>
    <t>ACPU</t>
  </si>
  <si>
    <t>GPU</t>
  </si>
  <si>
    <t>DDR</t>
  </si>
  <si>
    <t>FPD_DMA</t>
  </si>
  <si>
    <t>DPDMA</t>
  </si>
  <si>
    <t>PL0</t>
  </si>
  <si>
    <t>PL1</t>
  </si>
  <si>
    <t>PL2</t>
  </si>
  <si>
    <t>PL3</t>
  </si>
  <si>
    <t>DIV2 (or 1)</t>
  </si>
  <si>
    <t>ARM A53 Core</t>
  </si>
  <si>
    <t>ACPUe</t>
  </si>
  <si>
    <t>PL0e</t>
  </si>
  <si>
    <t>DDR4 PL (SODIMM)</t>
  </si>
  <si>
    <t>DDR4 PS (SODIMM)</t>
  </si>
  <si>
    <t>DDR_PHY</t>
  </si>
  <si>
    <t>CCI</t>
  </si>
  <si>
    <t>TOPSW_MN</t>
  </si>
  <si>
    <t>LPD_LSBUS</t>
  </si>
  <si>
    <t>APU</t>
  </si>
  <si>
    <t>DDR Mem Controller</t>
  </si>
  <si>
    <t>FPD</t>
  </si>
  <si>
    <t>LPD</t>
  </si>
  <si>
    <t>* If a FPD clock (GPU) uses an LPD PLL (IOPLL), the cross domain divider applies</t>
  </si>
  <si>
    <t>* Divider: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</si>
</sst>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1" fillId="3" borderId="0" xfId="2"/>
    <xf numFmtId="0" fontId="0" fillId="0" borderId="0" xfId="0" applyAlignment="1">
      <alignment horizontal="right"/>
    </xf>
    <xf numFmtId="0" fontId="2" fillId="2" borderId="1" xfId="1"/>
    <xf numFmtId="2" fontId="0" fillId="0" borderId="0" xfId="0" applyNumberFormat="1"/>
    <xf numFmtId="0" fontId="0" fillId="3" borderId="0" xfId="2" applyFont="1"/>
    <xf numFmtId="0" fontId="1" fillId="4" borderId="0" xfId="4"/>
    <xf numFmtId="4" fontId="0" fillId="0" borderId="0" xfId="3" applyNumberFormat="1" applyFont="1"/>
    <xf numFmtId="4" fontId="2" fillId="2" borderId="1" xfId="1" applyNumberFormat="1"/>
    <xf numFmtId="4" fontId="0" fillId="0" borderId="0" xfId="0" applyNumberFormat="1"/>
    <xf numFmtId="0" fontId="0" fillId="4" borderId="0" xfId="4" applyFon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4" fontId="0" fillId="5" borderId="0" xfId="0" applyNumberFormat="1" applyFill="1"/>
    <xf numFmtId="0" fontId="3" fillId="0" borderId="0" xfId="0" applyFont="1"/>
    <xf numFmtId="0" fontId="2" fillId="2" borderId="0" xfId="1" applyBorder="1"/>
  </cellXfs>
  <cellStyles count="5">
    <cellStyle name="20% - Accent1" xfId="2" builtinId="30"/>
    <cellStyle name="20% - Accent3" xfId="4" builtinId="38"/>
    <cellStyle name="Comma" xfId="3" builtinId="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workbookViewId="0"/>
  </sheetViews>
  <sheetFormatPr defaultRowHeight="15" x14ac:dyDescent="0.25"/>
  <cols>
    <col min="1" max="1" width="19.7109375" customWidth="1"/>
    <col min="2" max="2" width="10.85546875" customWidth="1"/>
    <col min="3" max="3" width="10.5703125" customWidth="1"/>
    <col min="4" max="4" width="10.42578125" customWidth="1"/>
    <col min="5" max="5" width="11" customWidth="1"/>
    <col min="6" max="6" width="10.140625" customWidth="1"/>
    <col min="7" max="7" width="10.85546875" customWidth="1"/>
    <col min="8" max="8" width="10.28515625" customWidth="1"/>
  </cols>
  <sheetData>
    <row r="1" spans="1:10" x14ac:dyDescent="0.25">
      <c r="A1" t="s">
        <v>41</v>
      </c>
    </row>
    <row r="3" spans="1:10" x14ac:dyDescent="0.25">
      <c r="A3" s="6" t="s">
        <v>0</v>
      </c>
      <c r="B3" s="3">
        <v>20</v>
      </c>
      <c r="F3" s="3"/>
      <c r="G3" t="s">
        <v>63</v>
      </c>
    </row>
    <row r="4" spans="1:10" x14ac:dyDescent="0.25">
      <c r="F4" s="6"/>
      <c r="G4" t="s">
        <v>64</v>
      </c>
    </row>
    <row r="6" spans="1:10" x14ac:dyDescent="0.25">
      <c r="A6" s="5" t="s">
        <v>3</v>
      </c>
      <c r="B6" s="5" t="s">
        <v>4</v>
      </c>
      <c r="C6" s="5"/>
      <c r="D6" s="1"/>
      <c r="E6" s="1" t="s">
        <v>14</v>
      </c>
      <c r="F6" s="1" t="s">
        <v>15</v>
      </c>
      <c r="G6" s="6" t="s">
        <v>14</v>
      </c>
      <c r="H6" s="6" t="s">
        <v>15</v>
      </c>
    </row>
    <row r="7" spans="1:10" x14ac:dyDescent="0.25">
      <c r="A7" t="s">
        <v>1</v>
      </c>
      <c r="B7" t="s">
        <v>85</v>
      </c>
      <c r="E7" s="8">
        <f>100/3</f>
        <v>33.333333333333336</v>
      </c>
      <c r="F7" s="4">
        <f>1/$E7*1000</f>
        <v>30</v>
      </c>
      <c r="G7" s="9">
        <f>$E7*$B$3</f>
        <v>666.66666666666674</v>
      </c>
      <c r="H7" s="9">
        <f>$F7/$B$3</f>
        <v>1.5</v>
      </c>
    </row>
    <row r="8" spans="1:10" x14ac:dyDescent="0.25">
      <c r="A8" t="s">
        <v>16</v>
      </c>
      <c r="B8" t="s">
        <v>84</v>
      </c>
      <c r="E8" s="8">
        <f>1000/3</f>
        <v>333.33333333333331</v>
      </c>
      <c r="F8" s="4">
        <f>1/$E8*1000</f>
        <v>3</v>
      </c>
      <c r="G8" s="9">
        <f>$E8*$B$3</f>
        <v>6666.6666666666661</v>
      </c>
      <c r="H8" s="9">
        <f>$F8/$B$3</f>
        <v>0.15</v>
      </c>
    </row>
    <row r="10" spans="1:10" x14ac:dyDescent="0.25">
      <c r="A10" s="1" t="s">
        <v>2</v>
      </c>
      <c r="B10" s="5" t="s">
        <v>4</v>
      </c>
      <c r="C10" s="5" t="s">
        <v>91</v>
      </c>
      <c r="D10" s="1" t="s">
        <v>101</v>
      </c>
      <c r="E10" s="1" t="s">
        <v>14</v>
      </c>
      <c r="F10" s="1" t="s">
        <v>15</v>
      </c>
      <c r="G10" s="6" t="s">
        <v>14</v>
      </c>
      <c r="H10" s="6" t="s">
        <v>15</v>
      </c>
    </row>
    <row r="11" spans="1:10" x14ac:dyDescent="0.25">
      <c r="A11" t="s">
        <v>86</v>
      </c>
      <c r="B11" t="s">
        <v>1</v>
      </c>
      <c r="C11" s="3">
        <v>66</v>
      </c>
      <c r="D11" s="3">
        <v>2</v>
      </c>
      <c r="E11" s="7">
        <f>VLOOKUP($B11,$A$7:$F$8,5,FALSE)*$C11/$D11</f>
        <v>1100</v>
      </c>
      <c r="F11" s="4">
        <f>1/$E11*1000</f>
        <v>0.90909090909090906</v>
      </c>
      <c r="G11" s="9">
        <f>$E11*$B$3</f>
        <v>22000</v>
      </c>
      <c r="H11" s="9">
        <f>$F11/$B$3</f>
        <v>4.5454545454545456E-2</v>
      </c>
      <c r="J11" t="s">
        <v>113</v>
      </c>
    </row>
    <row r="12" spans="1:10" x14ac:dyDescent="0.25">
      <c r="A12" t="s">
        <v>87</v>
      </c>
      <c r="B12" t="s">
        <v>1</v>
      </c>
      <c r="C12" s="3">
        <v>83</v>
      </c>
      <c r="D12" s="3">
        <v>2</v>
      </c>
      <c r="E12" s="7">
        <f t="shared" ref="E12:E16" si="0">VLOOKUP($B12,$A$7:$F$8,5,FALSE)*$C12/$D12</f>
        <v>1383.3333333333335</v>
      </c>
      <c r="F12" s="4">
        <f t="shared" ref="F12:F16" si="1">1/$E12*1000</f>
        <v>0.72289156626506013</v>
      </c>
      <c r="G12" s="9">
        <f t="shared" ref="G12:G16" si="2">$E12*$B$3</f>
        <v>27666.666666666672</v>
      </c>
      <c r="H12" s="9">
        <f t="shared" ref="H12:H16" si="3">$F12/$B$3</f>
        <v>3.6144578313253004E-2</v>
      </c>
      <c r="J12" t="s">
        <v>113</v>
      </c>
    </row>
    <row r="13" spans="1:10" x14ac:dyDescent="0.25">
      <c r="A13" t="s">
        <v>88</v>
      </c>
      <c r="B13" t="s">
        <v>1</v>
      </c>
      <c r="C13" s="3">
        <v>90</v>
      </c>
      <c r="D13" s="3">
        <v>2</v>
      </c>
      <c r="E13" s="7">
        <f t="shared" si="0"/>
        <v>1500</v>
      </c>
      <c r="F13" s="4">
        <f t="shared" si="1"/>
        <v>0.66666666666666663</v>
      </c>
      <c r="G13" s="9">
        <f t="shared" si="2"/>
        <v>30000</v>
      </c>
      <c r="H13" s="9">
        <f t="shared" si="3"/>
        <v>3.3333333333333333E-2</v>
      </c>
      <c r="J13" t="s">
        <v>113</v>
      </c>
    </row>
    <row r="14" spans="1:10" x14ac:dyDescent="0.25">
      <c r="A14" t="s">
        <v>89</v>
      </c>
      <c r="B14" t="s">
        <v>1</v>
      </c>
      <c r="C14" s="3">
        <v>90</v>
      </c>
      <c r="D14" s="3">
        <v>2</v>
      </c>
      <c r="E14" s="7">
        <f t="shared" si="0"/>
        <v>1500</v>
      </c>
      <c r="F14" s="4">
        <f t="shared" si="1"/>
        <v>0.66666666666666663</v>
      </c>
      <c r="G14" s="9">
        <f t="shared" si="2"/>
        <v>30000</v>
      </c>
      <c r="H14" s="9">
        <f t="shared" si="3"/>
        <v>3.3333333333333333E-2</v>
      </c>
      <c r="J14" t="s">
        <v>114</v>
      </c>
    </row>
    <row r="15" spans="1:10" x14ac:dyDescent="0.25">
      <c r="A15" t="s">
        <v>90</v>
      </c>
      <c r="B15" t="s">
        <v>1</v>
      </c>
      <c r="C15" s="16">
        <v>84</v>
      </c>
      <c r="D15" s="3">
        <v>2</v>
      </c>
      <c r="E15" s="7">
        <f t="shared" si="0"/>
        <v>1400</v>
      </c>
      <c r="F15" s="4">
        <f t="shared" si="1"/>
        <v>0.7142857142857143</v>
      </c>
      <c r="G15" s="9">
        <f t="shared" si="2"/>
        <v>28000</v>
      </c>
      <c r="H15" s="9">
        <f t="shared" si="3"/>
        <v>3.5714285714285712E-2</v>
      </c>
      <c r="J15" t="s">
        <v>114</v>
      </c>
    </row>
    <row r="16" spans="1:10" x14ac:dyDescent="0.25">
      <c r="A16" t="s">
        <v>28</v>
      </c>
      <c r="B16" t="s">
        <v>16</v>
      </c>
      <c r="C16" s="3">
        <v>4</v>
      </c>
      <c r="D16" s="3">
        <v>1</v>
      </c>
      <c r="E16" s="7">
        <f t="shared" si="0"/>
        <v>1333.3333333333333</v>
      </c>
      <c r="F16" s="4">
        <f t="shared" si="1"/>
        <v>0.75</v>
      </c>
      <c r="G16" s="9">
        <f t="shared" si="2"/>
        <v>26666.666666666664</v>
      </c>
      <c r="H16" s="9">
        <f t="shared" si="3"/>
        <v>3.7499999999999999E-2</v>
      </c>
    </row>
    <row r="18" spans="1:10" x14ac:dyDescent="0.25">
      <c r="A18" t="s">
        <v>115</v>
      </c>
    </row>
    <row r="19" spans="1:10" x14ac:dyDescent="0.25">
      <c r="A19" s="1" t="s">
        <v>3</v>
      </c>
      <c r="B19" s="1" t="s">
        <v>4</v>
      </c>
      <c r="C19" s="1" t="s">
        <v>5</v>
      </c>
      <c r="D19" s="1" t="s">
        <v>6</v>
      </c>
      <c r="E19" s="5" t="s">
        <v>14</v>
      </c>
      <c r="F19" s="5" t="s">
        <v>15</v>
      </c>
      <c r="G19" s="6" t="s">
        <v>14</v>
      </c>
      <c r="H19" s="6" t="s">
        <v>15</v>
      </c>
    </row>
    <row r="20" spans="1:10" x14ac:dyDescent="0.25">
      <c r="A20" t="s">
        <v>92</v>
      </c>
      <c r="B20" t="s">
        <v>86</v>
      </c>
      <c r="C20" s="3">
        <v>1</v>
      </c>
      <c r="D20" s="2" t="s">
        <v>7</v>
      </c>
      <c r="E20" s="7">
        <f>VLOOKUP($B20,$A$11:$F$16,5,FALSE)/$C20</f>
        <v>1100</v>
      </c>
      <c r="F20" s="4">
        <f t="shared" ref="F20:F35" si="4">1/$E20*1000</f>
        <v>0.90909090909090906</v>
      </c>
      <c r="G20" s="9">
        <f>$E20*$B$3</f>
        <v>22000</v>
      </c>
      <c r="H20" s="9">
        <f>$F20/$B$3</f>
        <v>4.5454545454545456E-2</v>
      </c>
    </row>
    <row r="21" spans="1:10" x14ac:dyDescent="0.25">
      <c r="A21" t="s">
        <v>103</v>
      </c>
      <c r="B21" t="s">
        <v>86</v>
      </c>
      <c r="C21" s="3">
        <v>8</v>
      </c>
      <c r="D21" s="2" t="s">
        <v>7</v>
      </c>
      <c r="E21" s="7">
        <f>VLOOKUP($B21,$A$11:$F$16,5,FALSE)/$C21</f>
        <v>137.5</v>
      </c>
      <c r="F21" s="4">
        <f t="shared" si="4"/>
        <v>7.2727272727272725</v>
      </c>
      <c r="G21" s="9">
        <f>$E21*$B$3</f>
        <v>2750</v>
      </c>
      <c r="H21" s="9">
        <f>$F21/$B$3</f>
        <v>0.36363636363636365</v>
      </c>
    </row>
    <row r="22" spans="1:10" x14ac:dyDescent="0.25">
      <c r="A22" t="s">
        <v>93</v>
      </c>
      <c r="B22" t="s">
        <v>89</v>
      </c>
      <c r="C22" s="3">
        <v>1</v>
      </c>
      <c r="D22" s="2" t="s">
        <v>7</v>
      </c>
      <c r="E22" s="7">
        <f>VLOOKUP($B22,$A$11:$F$16,5,FALSE)/$C22/3</f>
        <v>500</v>
      </c>
      <c r="F22" s="4">
        <f t="shared" si="4"/>
        <v>2</v>
      </c>
      <c r="G22" s="9">
        <f t="shared" ref="G22" si="5">$E22*$B$3</f>
        <v>10000</v>
      </c>
      <c r="H22" s="9">
        <f t="shared" ref="H22" si="6">$F22/$B$3</f>
        <v>0.1</v>
      </c>
      <c r="J22" t="s">
        <v>116</v>
      </c>
    </row>
    <row r="23" spans="1:10" x14ac:dyDescent="0.25">
      <c r="A23" t="s">
        <v>94</v>
      </c>
      <c r="B23" t="s">
        <v>87</v>
      </c>
      <c r="C23" s="3">
        <v>3</v>
      </c>
      <c r="D23" s="2" t="s">
        <v>7</v>
      </c>
      <c r="E23" s="7">
        <f t="shared" ref="E22:E27" si="7">VLOOKUP($B23,$A$11:$F$16,5,FALSE)/$C23</f>
        <v>461.11111111111114</v>
      </c>
      <c r="F23" s="4">
        <f t="shared" si="4"/>
        <v>2.1686746987951806</v>
      </c>
      <c r="G23" s="9">
        <f t="shared" ref="G22:G35" si="8">$E23*$B$3</f>
        <v>9222.2222222222226</v>
      </c>
      <c r="H23" s="9">
        <f t="shared" ref="H22:H35" si="9">$F23/$B$3</f>
        <v>0.10843373493975902</v>
      </c>
    </row>
    <row r="24" spans="1:10" x14ac:dyDescent="0.25">
      <c r="A24" t="s">
        <v>95</v>
      </c>
      <c r="B24" t="s">
        <v>86</v>
      </c>
      <c r="C24" s="3">
        <v>2</v>
      </c>
      <c r="D24" s="2" t="s">
        <v>7</v>
      </c>
      <c r="E24" s="7">
        <f t="shared" si="7"/>
        <v>550</v>
      </c>
      <c r="F24" s="4">
        <f t="shared" si="4"/>
        <v>1.8181818181818181</v>
      </c>
      <c r="G24" s="9">
        <f t="shared" si="8"/>
        <v>11000</v>
      </c>
      <c r="H24" s="9">
        <f t="shared" si="9"/>
        <v>9.0909090909090912E-2</v>
      </c>
    </row>
    <row r="25" spans="1:10" x14ac:dyDescent="0.25">
      <c r="A25" t="s">
        <v>96</v>
      </c>
      <c r="B25" t="s">
        <v>86</v>
      </c>
      <c r="C25" s="3">
        <v>2</v>
      </c>
      <c r="D25" s="2" t="s">
        <v>7</v>
      </c>
      <c r="E25" s="7">
        <f t="shared" si="7"/>
        <v>550</v>
      </c>
      <c r="F25" s="4">
        <f t="shared" si="4"/>
        <v>1.8181818181818181</v>
      </c>
      <c r="G25" s="9">
        <f t="shared" si="8"/>
        <v>11000</v>
      </c>
      <c r="H25" s="9">
        <f t="shared" si="9"/>
        <v>9.0909090909090912E-2</v>
      </c>
    </row>
    <row r="26" spans="1:10" x14ac:dyDescent="0.25">
      <c r="A26" t="s">
        <v>109</v>
      </c>
      <c r="B26" t="s">
        <v>87</v>
      </c>
      <c r="C26" s="3">
        <v>3</v>
      </c>
      <c r="D26" s="2" t="s">
        <v>7</v>
      </c>
      <c r="E26" s="7">
        <f t="shared" si="7"/>
        <v>461.11111111111114</v>
      </c>
      <c r="F26" s="4">
        <f t="shared" si="4"/>
        <v>2.1686746987951806</v>
      </c>
      <c r="G26" s="9">
        <f t="shared" si="8"/>
        <v>9222.2222222222226</v>
      </c>
      <c r="H26" s="9">
        <f t="shared" si="9"/>
        <v>0.10843373493975902</v>
      </c>
    </row>
    <row r="27" spans="1:10" x14ac:dyDescent="0.25">
      <c r="A27" t="s">
        <v>110</v>
      </c>
      <c r="B27" t="s">
        <v>89</v>
      </c>
      <c r="C27" s="3">
        <v>15</v>
      </c>
      <c r="D27" s="2" t="s">
        <v>7</v>
      </c>
      <c r="E27" s="7">
        <f t="shared" si="7"/>
        <v>100</v>
      </c>
      <c r="F27" s="4">
        <f t="shared" si="4"/>
        <v>10</v>
      </c>
      <c r="G27" s="9">
        <f t="shared" si="8"/>
        <v>2000</v>
      </c>
      <c r="H27" s="9">
        <f t="shared" si="9"/>
        <v>0.5</v>
      </c>
    </row>
    <row r="28" spans="1:10" x14ac:dyDescent="0.25">
      <c r="A28" t="s">
        <v>97</v>
      </c>
      <c r="B28" t="s">
        <v>89</v>
      </c>
      <c r="C28" s="3">
        <v>6</v>
      </c>
      <c r="D28" s="3">
        <v>1</v>
      </c>
      <c r="E28" s="7">
        <f>VLOOKUP($B28,$A$11:$F$16,5,FALSE)/$C28/$D28</f>
        <v>250</v>
      </c>
      <c r="F28" s="4">
        <f t="shared" si="4"/>
        <v>4</v>
      </c>
      <c r="G28" s="9">
        <f t="shared" si="8"/>
        <v>5000</v>
      </c>
      <c r="H28" s="9">
        <f t="shared" si="9"/>
        <v>0.2</v>
      </c>
    </row>
    <row r="29" spans="1:10" x14ac:dyDescent="0.25">
      <c r="A29" t="s">
        <v>104</v>
      </c>
      <c r="B29" t="s">
        <v>89</v>
      </c>
      <c r="C29" s="3">
        <v>24</v>
      </c>
      <c r="D29" s="3">
        <v>1</v>
      </c>
      <c r="E29" s="7">
        <f>VLOOKUP($B29,$A$11:$F$16,5,FALSE)/$C29/$D29</f>
        <v>62.5</v>
      </c>
      <c r="F29" s="4">
        <f t="shared" si="4"/>
        <v>16</v>
      </c>
      <c r="G29" s="9">
        <f t="shared" si="8"/>
        <v>1250</v>
      </c>
      <c r="H29" s="9">
        <f t="shared" si="9"/>
        <v>0.8</v>
      </c>
    </row>
    <row r="30" spans="1:10" x14ac:dyDescent="0.25">
      <c r="A30" t="s">
        <v>98</v>
      </c>
      <c r="B30" t="s">
        <v>89</v>
      </c>
      <c r="C30" s="3">
        <v>5</v>
      </c>
      <c r="D30" s="3">
        <v>1</v>
      </c>
      <c r="E30" s="7">
        <f t="shared" ref="E30:E32" si="10">VLOOKUP($B30,$A$11:$F$16,5,FALSE)/$C30/$D30</f>
        <v>300</v>
      </c>
      <c r="F30" s="4">
        <f t="shared" si="4"/>
        <v>3.3333333333333335</v>
      </c>
      <c r="G30" s="9">
        <f t="shared" si="8"/>
        <v>6000</v>
      </c>
      <c r="H30" s="9">
        <f t="shared" si="9"/>
        <v>0.16666666666666669</v>
      </c>
    </row>
    <row r="31" spans="1:10" x14ac:dyDescent="0.25">
      <c r="A31" t="s">
        <v>99</v>
      </c>
      <c r="B31" t="s">
        <v>90</v>
      </c>
      <c r="C31" s="3">
        <v>4</v>
      </c>
      <c r="D31" s="3">
        <v>1</v>
      </c>
      <c r="E31" s="7">
        <f t="shared" si="10"/>
        <v>350</v>
      </c>
      <c r="F31" s="4">
        <f t="shared" si="4"/>
        <v>2.8571428571428572</v>
      </c>
      <c r="G31" s="9">
        <f t="shared" si="8"/>
        <v>7000</v>
      </c>
      <c r="H31" s="9">
        <f t="shared" si="9"/>
        <v>0.14285714285714285</v>
      </c>
      <c r="J31" t="s">
        <v>83</v>
      </c>
    </row>
    <row r="32" spans="1:10" x14ac:dyDescent="0.25">
      <c r="A32" t="s">
        <v>100</v>
      </c>
      <c r="B32" t="s">
        <v>90</v>
      </c>
      <c r="C32" s="3">
        <v>4</v>
      </c>
      <c r="D32" s="3">
        <v>1</v>
      </c>
      <c r="E32" s="7">
        <f t="shared" si="10"/>
        <v>350</v>
      </c>
      <c r="F32" s="4">
        <f t="shared" si="4"/>
        <v>2.8571428571428572</v>
      </c>
      <c r="G32" s="9">
        <f t="shared" si="8"/>
        <v>7000</v>
      </c>
      <c r="H32" s="9">
        <f t="shared" si="9"/>
        <v>0.14285714285714285</v>
      </c>
      <c r="J32" t="s">
        <v>83</v>
      </c>
    </row>
    <row r="33" spans="1:8" x14ac:dyDescent="0.25">
      <c r="A33" t="s">
        <v>107</v>
      </c>
      <c r="B33" t="s">
        <v>87</v>
      </c>
      <c r="C33" s="3">
        <f>3/2</f>
        <v>1.5</v>
      </c>
      <c r="D33" s="2" t="s">
        <v>7</v>
      </c>
      <c r="E33" s="7">
        <f>VLOOKUP($B33,$A$11:$F$16,5,FALSE)/$C33</f>
        <v>922.22222222222229</v>
      </c>
      <c r="F33" s="4">
        <f t="shared" si="4"/>
        <v>1.0843373493975903</v>
      </c>
      <c r="G33" s="9">
        <f t="shared" si="8"/>
        <v>18444.444444444445</v>
      </c>
      <c r="H33" s="9">
        <f t="shared" si="9"/>
        <v>5.4216867469879512E-2</v>
      </c>
    </row>
    <row r="34" spans="1:8" x14ac:dyDescent="0.25">
      <c r="A34" t="s">
        <v>29</v>
      </c>
      <c r="B34" t="s">
        <v>28</v>
      </c>
      <c r="C34" s="3">
        <f>5/4</f>
        <v>1.25</v>
      </c>
      <c r="D34" s="2" t="s">
        <v>7</v>
      </c>
      <c r="E34" s="7">
        <f>VLOOKUP($B34,$A$11:$F$16,5,FALSE)/$C34</f>
        <v>1066.6666666666665</v>
      </c>
      <c r="F34" s="4">
        <f t="shared" si="4"/>
        <v>0.93750000000000022</v>
      </c>
      <c r="G34" s="9">
        <f t="shared" si="8"/>
        <v>21333.333333333328</v>
      </c>
      <c r="H34" s="9">
        <f t="shared" si="9"/>
        <v>4.6875000000000014E-2</v>
      </c>
    </row>
    <row r="35" spans="1:8" x14ac:dyDescent="0.25">
      <c r="A35" t="s">
        <v>26</v>
      </c>
      <c r="B35" t="s">
        <v>28</v>
      </c>
      <c r="C35" s="3">
        <f>5</f>
        <v>5</v>
      </c>
      <c r="D35" s="2" t="s">
        <v>7</v>
      </c>
      <c r="E35" s="7">
        <f>VLOOKUP($B35,$A$11:$F$16,5,FALSE)/$C35</f>
        <v>266.66666666666663</v>
      </c>
      <c r="F35" s="4">
        <f t="shared" si="4"/>
        <v>3.7500000000000009</v>
      </c>
      <c r="G35" s="9">
        <f t="shared" si="8"/>
        <v>5333.3333333333321</v>
      </c>
      <c r="H35" s="9">
        <f t="shared" si="9"/>
        <v>0.18750000000000006</v>
      </c>
    </row>
    <row r="37" spans="1:8" x14ac:dyDescent="0.25">
      <c r="A37" s="1" t="s">
        <v>10</v>
      </c>
      <c r="B37" s="1" t="s">
        <v>4</v>
      </c>
      <c r="C37" s="1"/>
      <c r="D37" s="1"/>
      <c r="E37" s="1" t="s">
        <v>14</v>
      </c>
      <c r="F37" s="1" t="s">
        <v>15</v>
      </c>
      <c r="G37" s="6" t="s">
        <v>14</v>
      </c>
      <c r="H37" s="6" t="s">
        <v>15</v>
      </c>
    </row>
    <row r="38" spans="1:8" x14ac:dyDescent="0.25">
      <c r="A38" s="11" t="s">
        <v>102</v>
      </c>
      <c r="B38" s="11" t="s">
        <v>103</v>
      </c>
      <c r="C38" s="11"/>
      <c r="D38" s="11"/>
      <c r="E38" s="12">
        <f>VLOOKUP($B38,$A$20:$F$35,5,FALSE)</f>
        <v>137.5</v>
      </c>
      <c r="F38" s="13">
        <f>1/$E38*1000</f>
        <v>7.2727272727272725</v>
      </c>
      <c r="G38" s="14">
        <f>$E38*$B$3</f>
        <v>2750</v>
      </c>
      <c r="H38" s="12">
        <f>$F38/$B$3</f>
        <v>0.36363636363636365</v>
      </c>
    </row>
    <row r="39" spans="1:8" x14ac:dyDescent="0.25">
      <c r="A39" s="11" t="s">
        <v>11</v>
      </c>
      <c r="B39" s="11" t="s">
        <v>104</v>
      </c>
      <c r="C39" s="11"/>
      <c r="D39" s="11"/>
      <c r="E39" s="12">
        <f t="shared" ref="E39:E41" si="11">VLOOKUP($B39,$A$20:$F$35,5,FALSE)</f>
        <v>62.5</v>
      </c>
      <c r="F39" s="13">
        <f>1/$E39*1000</f>
        <v>16</v>
      </c>
      <c r="G39" s="14">
        <f>$E39*$B$3</f>
        <v>1250</v>
      </c>
      <c r="H39" s="12">
        <f t="shared" ref="H39:H41" si="12">$F39/$B$3</f>
        <v>0.8</v>
      </c>
    </row>
    <row r="40" spans="1:8" x14ac:dyDescent="0.25">
      <c r="A40" s="11" t="s">
        <v>12</v>
      </c>
      <c r="B40" s="11" t="s">
        <v>104</v>
      </c>
      <c r="C40" s="11"/>
      <c r="D40" s="11"/>
      <c r="E40" s="12">
        <f t="shared" si="11"/>
        <v>62.5</v>
      </c>
      <c r="F40" s="13">
        <f>1/$E40*1000</f>
        <v>16</v>
      </c>
      <c r="G40" s="14">
        <f>$E40*$B$3</f>
        <v>1250</v>
      </c>
      <c r="H40" s="12">
        <f t="shared" si="12"/>
        <v>0.8</v>
      </c>
    </row>
    <row r="41" spans="1:8" x14ac:dyDescent="0.25">
      <c r="A41" t="s">
        <v>27</v>
      </c>
      <c r="B41" t="s">
        <v>98</v>
      </c>
      <c r="E41" s="12">
        <f t="shared" si="11"/>
        <v>300</v>
      </c>
      <c r="F41" s="4">
        <f>1/$E41*1000</f>
        <v>3.3333333333333335</v>
      </c>
      <c r="G41" s="9">
        <f>$E41*$B$3</f>
        <v>6000</v>
      </c>
      <c r="H41" s="9">
        <f t="shared" si="12"/>
        <v>0.16666666666666669</v>
      </c>
    </row>
    <row r="43" spans="1:8" x14ac:dyDescent="0.25">
      <c r="A43" s="1" t="s">
        <v>18</v>
      </c>
      <c r="B43" s="1" t="s">
        <v>4</v>
      </c>
      <c r="C43" s="1" t="s">
        <v>8</v>
      </c>
      <c r="D43" s="5" t="s">
        <v>20</v>
      </c>
      <c r="E43" s="1" t="s">
        <v>17</v>
      </c>
      <c r="F43" s="5" t="s">
        <v>22</v>
      </c>
      <c r="G43" s="6" t="s">
        <v>17</v>
      </c>
      <c r="H43" s="10" t="s">
        <v>22</v>
      </c>
    </row>
    <row r="44" spans="1:8" x14ac:dyDescent="0.25">
      <c r="A44" t="s">
        <v>19</v>
      </c>
      <c r="B44" t="s">
        <v>110</v>
      </c>
      <c r="C44">
        <v>8</v>
      </c>
      <c r="D44">
        <f>10+10</f>
        <v>20</v>
      </c>
      <c r="E44" s="9">
        <f>VLOOKUP($B44,$A$20:$F$35,5,FALSE)*$C44</f>
        <v>800</v>
      </c>
      <c r="F44" s="4">
        <f>VLOOKUP($B44,$A$20:$F$35,6,FALSE)</f>
        <v>10</v>
      </c>
      <c r="G44" s="9">
        <f>$E44*$B$3</f>
        <v>16000</v>
      </c>
      <c r="H44" s="9">
        <f>$F44/$B$3</f>
        <v>0.5</v>
      </c>
    </row>
    <row r="45" spans="1:8" x14ac:dyDescent="0.25">
      <c r="A45" t="s">
        <v>106</v>
      </c>
      <c r="B45" t="s">
        <v>107</v>
      </c>
      <c r="C45">
        <v>8</v>
      </c>
      <c r="D45">
        <f>60+10</f>
        <v>70</v>
      </c>
      <c r="E45" s="9">
        <f>VLOOKUP($B45,$A$20:$F$35,5,FALSE)*2*$C45</f>
        <v>14755.555555555557</v>
      </c>
      <c r="F45" s="4">
        <f>VLOOKUP($B45,$A$20:$F$35,6,FALSE)</f>
        <v>1.0843373493975903</v>
      </c>
      <c r="G45" s="9">
        <f>$E45*$B$3</f>
        <v>295111.11111111112</v>
      </c>
      <c r="H45" s="9">
        <f>$F45/$B$3</f>
        <v>5.4216867469879512E-2</v>
      </c>
    </row>
    <row r="46" spans="1:8" x14ac:dyDescent="0.25">
      <c r="A46" t="s">
        <v>105</v>
      </c>
      <c r="B46" t="s">
        <v>29</v>
      </c>
      <c r="C46">
        <v>8</v>
      </c>
      <c r="D46">
        <f>60+10</f>
        <v>70</v>
      </c>
      <c r="E46" s="9">
        <f>VLOOKUP($B46,$A$20:$F$35,5,FALSE)*2*$C46</f>
        <v>17066.666666666664</v>
      </c>
      <c r="F46" s="4">
        <f>VLOOKUP($B46,$A$20:$F$35,6,FALSE)</f>
        <v>0.93750000000000022</v>
      </c>
      <c r="G46" s="9">
        <f>$E46*$B$3</f>
        <v>341333.33333333326</v>
      </c>
      <c r="H46" s="9">
        <f>$F46/$B$3</f>
        <v>4.6875000000000014E-2</v>
      </c>
    </row>
    <row r="48" spans="1:8" x14ac:dyDescent="0.25">
      <c r="A48" s="1" t="s">
        <v>9</v>
      </c>
      <c r="B48" s="1" t="s">
        <v>4</v>
      </c>
      <c r="C48" s="1" t="s">
        <v>8</v>
      </c>
      <c r="D48" s="5" t="s">
        <v>23</v>
      </c>
      <c r="E48" s="1" t="s">
        <v>17</v>
      </c>
      <c r="F48" s="5" t="s">
        <v>22</v>
      </c>
      <c r="G48" s="6" t="s">
        <v>17</v>
      </c>
      <c r="H48" s="10" t="s">
        <v>22</v>
      </c>
    </row>
    <row r="49" spans="1:10" x14ac:dyDescent="0.25">
      <c r="A49" t="s">
        <v>112</v>
      </c>
      <c r="B49" t="s">
        <v>94</v>
      </c>
      <c r="C49">
        <v>16</v>
      </c>
      <c r="D49">
        <v>4</v>
      </c>
      <c r="E49" s="9">
        <f>VLOOKUP($B50,$A$20:$F$35,5,FALSE)*$C50</f>
        <v>7377.7777777777783</v>
      </c>
      <c r="F49" s="9">
        <f>VLOOKUP($B50,$A$20:$F$35,6,FALSE)</f>
        <v>2.1686746987951806</v>
      </c>
      <c r="G49" s="9">
        <f>$E49*$B$3</f>
        <v>147555.55555555556</v>
      </c>
      <c r="H49" s="9">
        <f>$F49/$B$3</f>
        <v>0.10843373493975902</v>
      </c>
    </row>
    <row r="50" spans="1:10" x14ac:dyDescent="0.25">
      <c r="A50" t="s">
        <v>108</v>
      </c>
      <c r="B50" t="s">
        <v>109</v>
      </c>
      <c r="C50">
        <v>16</v>
      </c>
      <c r="D50">
        <v>2</v>
      </c>
      <c r="E50" s="9">
        <f>VLOOKUP($B49,$A$20:$F$35,5,FALSE)*$C49</f>
        <v>7377.7777777777783</v>
      </c>
      <c r="F50" s="9">
        <f>VLOOKUP($B49,$A$20:$F$35,6,FALSE)</f>
        <v>2.1686746987951806</v>
      </c>
      <c r="G50" s="9">
        <f>$E50*$B$3</f>
        <v>147555.55555555556</v>
      </c>
      <c r="H50" s="9">
        <f>$F50/$B$3</f>
        <v>0.10843373493975902</v>
      </c>
    </row>
    <row r="51" spans="1:10" x14ac:dyDescent="0.25">
      <c r="A51" t="s">
        <v>111</v>
      </c>
      <c r="B51" t="s">
        <v>103</v>
      </c>
      <c r="C51">
        <v>16</v>
      </c>
      <c r="D51">
        <v>2</v>
      </c>
      <c r="E51" s="9">
        <f t="shared" ref="E51:E56" si="13">VLOOKUP($B51,$A$20:$F$35,5,FALSE)*$C51</f>
        <v>2200</v>
      </c>
      <c r="F51" s="9">
        <f t="shared" ref="F51:F56" si="14">VLOOKUP($B51,$A$20:$F$35,6,FALSE)</f>
        <v>7.2727272727272725</v>
      </c>
      <c r="G51" s="14">
        <f t="shared" ref="G51:G56" si="15">$E51*$B$3</f>
        <v>44000</v>
      </c>
      <c r="H51" s="9">
        <f t="shared" ref="H51:H56" si="16">$F51/$B$3</f>
        <v>0.36363636363636365</v>
      </c>
      <c r="J51" t="s">
        <v>24</v>
      </c>
    </row>
    <row r="52" spans="1:10" x14ac:dyDescent="0.25">
      <c r="A52" s="11" t="s">
        <v>32</v>
      </c>
      <c r="B52" s="11" t="s">
        <v>104</v>
      </c>
      <c r="C52" s="11">
        <v>8</v>
      </c>
      <c r="D52">
        <v>2</v>
      </c>
      <c r="E52" s="9">
        <f t="shared" si="13"/>
        <v>500</v>
      </c>
      <c r="F52" s="9">
        <f t="shared" si="14"/>
        <v>16</v>
      </c>
      <c r="G52" s="14">
        <f t="shared" si="15"/>
        <v>10000</v>
      </c>
      <c r="H52" s="12">
        <f t="shared" si="16"/>
        <v>0.8</v>
      </c>
      <c r="J52" t="s">
        <v>25</v>
      </c>
    </row>
    <row r="53" spans="1:10" x14ac:dyDescent="0.25">
      <c r="A53" s="11" t="s">
        <v>33</v>
      </c>
      <c r="B53" s="11" t="s">
        <v>98</v>
      </c>
      <c r="C53" s="11">
        <v>16</v>
      </c>
      <c r="D53">
        <v>2</v>
      </c>
      <c r="E53" s="9">
        <f t="shared" si="13"/>
        <v>4800</v>
      </c>
      <c r="F53" s="9">
        <f t="shared" si="14"/>
        <v>3.3333333333333335</v>
      </c>
      <c r="G53" s="12">
        <f t="shared" si="15"/>
        <v>96000</v>
      </c>
      <c r="H53" s="12">
        <f t="shared" si="16"/>
        <v>0.16666666666666669</v>
      </c>
      <c r="J53" t="s">
        <v>35</v>
      </c>
    </row>
    <row r="54" spans="1:10" x14ac:dyDescent="0.25">
      <c r="A54" t="s">
        <v>31</v>
      </c>
      <c r="B54" t="s">
        <v>98</v>
      </c>
      <c r="C54">
        <v>8</v>
      </c>
      <c r="D54">
        <v>4</v>
      </c>
      <c r="E54" s="9">
        <f t="shared" si="13"/>
        <v>2400</v>
      </c>
      <c r="F54" s="9">
        <f t="shared" si="14"/>
        <v>3.3333333333333335</v>
      </c>
      <c r="G54" s="9">
        <f t="shared" si="15"/>
        <v>48000</v>
      </c>
      <c r="H54" s="9">
        <f t="shared" si="16"/>
        <v>0.16666666666666669</v>
      </c>
      <c r="J54" t="s">
        <v>36</v>
      </c>
    </row>
    <row r="55" spans="1:10" x14ac:dyDescent="0.25">
      <c r="A55" t="s">
        <v>13</v>
      </c>
      <c r="B55" t="s">
        <v>98</v>
      </c>
      <c r="C55">
        <v>64</v>
      </c>
      <c r="D55">
        <v>0</v>
      </c>
      <c r="E55" s="9">
        <f t="shared" si="13"/>
        <v>19200</v>
      </c>
      <c r="F55" s="9">
        <f t="shared" si="14"/>
        <v>3.3333333333333335</v>
      </c>
      <c r="G55" s="9">
        <f t="shared" si="15"/>
        <v>384000</v>
      </c>
      <c r="H55" s="9">
        <f t="shared" si="16"/>
        <v>0.16666666666666669</v>
      </c>
    </row>
    <row r="56" spans="1:10" x14ac:dyDescent="0.25">
      <c r="A56" t="s">
        <v>21</v>
      </c>
      <c r="B56" t="s">
        <v>26</v>
      </c>
      <c r="C56">
        <v>64</v>
      </c>
      <c r="D56">
        <v>0</v>
      </c>
      <c r="E56" s="9">
        <f t="shared" si="13"/>
        <v>17066.666666666664</v>
      </c>
      <c r="F56" s="9">
        <f t="shared" si="14"/>
        <v>3.7500000000000009</v>
      </c>
      <c r="G56" s="9">
        <f t="shared" si="15"/>
        <v>341333.33333333326</v>
      </c>
      <c r="H56" s="9">
        <f t="shared" si="16"/>
        <v>0.18750000000000006</v>
      </c>
    </row>
    <row r="57" spans="1:10" x14ac:dyDescent="0.25">
      <c r="E57" s="9"/>
      <c r="F57" s="9"/>
      <c r="G57" s="9"/>
      <c r="H57" s="9"/>
    </row>
    <row r="58" spans="1:10" x14ac:dyDescent="0.25">
      <c r="A58" s="1" t="s">
        <v>49</v>
      </c>
      <c r="B58" s="1" t="s">
        <v>45</v>
      </c>
      <c r="E58" s="9"/>
      <c r="F58" s="9"/>
      <c r="G58" s="9"/>
      <c r="H58" s="9"/>
    </row>
    <row r="59" spans="1:10" x14ac:dyDescent="0.25">
      <c r="A59" t="s">
        <v>42</v>
      </c>
      <c r="B59" s="3">
        <v>106</v>
      </c>
      <c r="D59" t="s">
        <v>47</v>
      </c>
      <c r="E59" s="9"/>
      <c r="F59" s="9"/>
      <c r="G59" s="9"/>
      <c r="H59" s="9"/>
    </row>
    <row r="60" spans="1:10" x14ac:dyDescent="0.25">
      <c r="A60" t="s">
        <v>43</v>
      </c>
      <c r="B60" s="3">
        <v>85</v>
      </c>
      <c r="D60" t="s">
        <v>46</v>
      </c>
      <c r="E60" s="9"/>
      <c r="F60" s="9"/>
      <c r="G60" s="9"/>
      <c r="H60" s="9"/>
    </row>
    <row r="61" spans="1:10" x14ac:dyDescent="0.25">
      <c r="A61" t="s">
        <v>44</v>
      </c>
      <c r="B61" s="3">
        <v>24</v>
      </c>
      <c r="D61" t="s">
        <v>48</v>
      </c>
      <c r="E61" s="9"/>
      <c r="F61" s="9"/>
      <c r="G61" s="9"/>
      <c r="H61" s="9"/>
    </row>
    <row r="62" spans="1:10" x14ac:dyDescent="0.25">
      <c r="A62" t="s">
        <v>50</v>
      </c>
      <c r="B62" s="3">
        <v>12</v>
      </c>
      <c r="D62" t="s">
        <v>56</v>
      </c>
      <c r="E62" s="9"/>
      <c r="F62" s="9"/>
      <c r="G62" s="9"/>
      <c r="H62" s="9"/>
    </row>
    <row r="63" spans="1:10" x14ac:dyDescent="0.25">
      <c r="A63" t="s">
        <v>51</v>
      </c>
      <c r="B63" s="3">
        <v>12</v>
      </c>
      <c r="D63" t="s">
        <v>57</v>
      </c>
      <c r="E63" s="9"/>
      <c r="F63" s="9"/>
      <c r="G63" s="9"/>
      <c r="H63" s="9"/>
    </row>
    <row r="64" spans="1:10" x14ac:dyDescent="0.25">
      <c r="A64" t="s">
        <v>52</v>
      </c>
      <c r="B64" s="3">
        <v>45</v>
      </c>
      <c r="D64" t="s">
        <v>58</v>
      </c>
      <c r="E64" s="9"/>
      <c r="F64" s="9"/>
      <c r="G64" s="9"/>
      <c r="H64" s="9"/>
    </row>
    <row r="65" spans="1:11" x14ac:dyDescent="0.25">
      <c r="A65" t="s">
        <v>53</v>
      </c>
      <c r="B65" s="3">
        <v>45</v>
      </c>
      <c r="D65" t="s">
        <v>59</v>
      </c>
      <c r="E65" s="9"/>
      <c r="F65" s="9"/>
      <c r="G65" s="9"/>
      <c r="H65" s="9"/>
    </row>
    <row r="66" spans="1:11" x14ac:dyDescent="0.25">
      <c r="A66" t="s">
        <v>54</v>
      </c>
      <c r="B66" s="3">
        <f>$B59-$B64-$B$61</f>
        <v>37</v>
      </c>
      <c r="D66" t="s">
        <v>60</v>
      </c>
      <c r="E66" s="9"/>
      <c r="F66" s="9"/>
      <c r="G66" s="9"/>
      <c r="H66" s="9"/>
    </row>
    <row r="67" spans="1:11" x14ac:dyDescent="0.25">
      <c r="A67" t="s">
        <v>55</v>
      </c>
      <c r="B67" s="3">
        <f>$B60-$B65-$B$61</f>
        <v>16</v>
      </c>
      <c r="D67" t="s">
        <v>61</v>
      </c>
      <c r="E67" s="9"/>
      <c r="F67" s="9"/>
      <c r="G67" s="9"/>
      <c r="H67" s="9"/>
    </row>
    <row r="69" spans="1:11" x14ac:dyDescent="0.25">
      <c r="A69" s="1" t="s">
        <v>34</v>
      </c>
      <c r="B69" s="1" t="s">
        <v>4</v>
      </c>
      <c r="C69" s="1" t="s">
        <v>62</v>
      </c>
      <c r="D69" s="1" t="s">
        <v>23</v>
      </c>
      <c r="E69" s="1" t="s">
        <v>65</v>
      </c>
      <c r="F69" s="1" t="s">
        <v>66</v>
      </c>
      <c r="G69" s="6" t="s">
        <v>65</v>
      </c>
      <c r="H69" s="6" t="s">
        <v>66</v>
      </c>
      <c r="I69" s="6" t="s">
        <v>37</v>
      </c>
    </row>
    <row r="70" spans="1:11" x14ac:dyDescent="0.25">
      <c r="A70" t="s">
        <v>67</v>
      </c>
      <c r="B70" s="11" t="s">
        <v>98</v>
      </c>
      <c r="C70" s="3">
        <v>52</v>
      </c>
      <c r="D70">
        <f>($B$62+$B$61)*ROUND($B$3/VLOOKUP($B70,$A$20:$F$35,6,FALSE),0)-$C70</f>
        <v>164</v>
      </c>
      <c r="E70" s="12">
        <f>$C70*VLOOKUP($B70,$A$20:$F$35,6,FALSE)</f>
        <v>173.33333333333334</v>
      </c>
      <c r="F70" s="12">
        <f>$D70*VLOOKUP($B70,$A$20:$F$35,6,FALSE)</f>
        <v>546.66666666666674</v>
      </c>
      <c r="G70" s="4">
        <f>$E70/$B$3</f>
        <v>8.6666666666666679</v>
      </c>
      <c r="H70" s="4">
        <f>$F70/$B$3</f>
        <v>27.333333333333336</v>
      </c>
      <c r="I70" s="4">
        <f>$G70+$H70</f>
        <v>36</v>
      </c>
      <c r="K70" t="s">
        <v>75</v>
      </c>
    </row>
    <row r="71" spans="1:11" x14ac:dyDescent="0.25">
      <c r="A71" t="s">
        <v>68</v>
      </c>
      <c r="B71" s="11" t="s">
        <v>98</v>
      </c>
      <c r="C71" s="3">
        <v>69</v>
      </c>
      <c r="D71">
        <f>($B$63+$B$61)*ROUND($B$3/VLOOKUP($B71,$A$20:$F$35,6,FALSE),0)-$C71</f>
        <v>147</v>
      </c>
      <c r="E71" s="12">
        <f t="shared" ref="E71:E77" si="17">$C71*VLOOKUP($B71,$A$20:$F$35,6,FALSE)</f>
        <v>230</v>
      </c>
      <c r="F71" s="12">
        <f t="shared" ref="F71:F77" si="18">$D71*VLOOKUP($B71,$A$20:$F$35,6,FALSE)</f>
        <v>490</v>
      </c>
      <c r="G71" s="4">
        <f t="shared" ref="G71:G77" si="19">$E71/$B$3</f>
        <v>11.5</v>
      </c>
      <c r="H71" s="4">
        <f t="shared" ref="H71:H77" si="20">$F71/$B$3</f>
        <v>24.5</v>
      </c>
      <c r="I71" s="4">
        <f t="shared" ref="I71:I77" si="21">$G71+$H71</f>
        <v>36</v>
      </c>
      <c r="K71" t="s">
        <v>76</v>
      </c>
    </row>
    <row r="72" spans="1:11" x14ac:dyDescent="0.25">
      <c r="A72" t="s">
        <v>69</v>
      </c>
      <c r="B72" s="11" t="s">
        <v>98</v>
      </c>
      <c r="C72" s="3">
        <v>52</v>
      </c>
      <c r="D72">
        <f>($B$64+$B$66+$B$61)*ROUND($B$3/VLOOKUP($B72,$A$20:$F$35,6,FALSE),0)-$C72</f>
        <v>584</v>
      </c>
      <c r="E72" s="12">
        <f t="shared" si="17"/>
        <v>173.33333333333334</v>
      </c>
      <c r="F72" s="12">
        <f t="shared" si="18"/>
        <v>1946.6666666666667</v>
      </c>
      <c r="G72" s="4">
        <f t="shared" si="19"/>
        <v>8.6666666666666679</v>
      </c>
      <c r="H72" s="4">
        <f t="shared" si="20"/>
        <v>97.333333333333343</v>
      </c>
      <c r="I72" s="4">
        <f t="shared" si="21"/>
        <v>106.00000000000001</v>
      </c>
      <c r="K72" t="s">
        <v>77</v>
      </c>
    </row>
    <row r="73" spans="1:11" x14ac:dyDescent="0.25">
      <c r="A73" t="s">
        <v>70</v>
      </c>
      <c r="B73" s="11" t="s">
        <v>98</v>
      </c>
      <c r="C73" s="3">
        <v>69</v>
      </c>
      <c r="D73">
        <f>($B$65+$B$67+$B$61)*ROUND($B$3/VLOOKUP($B73,$A$20:$F$35,6,FALSE),0)-$C73</f>
        <v>441</v>
      </c>
      <c r="E73" s="12">
        <f t="shared" si="17"/>
        <v>230</v>
      </c>
      <c r="F73" s="12">
        <f t="shared" si="18"/>
        <v>1470</v>
      </c>
      <c r="G73" s="4">
        <f t="shared" si="19"/>
        <v>11.5</v>
      </c>
      <c r="H73" s="4">
        <f t="shared" si="20"/>
        <v>73.5</v>
      </c>
      <c r="I73" s="4">
        <f t="shared" si="21"/>
        <v>85</v>
      </c>
      <c r="K73" t="s">
        <v>78</v>
      </c>
    </row>
    <row r="74" spans="1:11" x14ac:dyDescent="0.25">
      <c r="A74" t="s">
        <v>71</v>
      </c>
      <c r="B74" s="11" t="s">
        <v>98</v>
      </c>
      <c r="C74" s="3">
        <v>48</v>
      </c>
      <c r="D74">
        <f>($B$62)*ROUND($B$3/VLOOKUP($B74,$A$20:$F$35,6,FALSE),0)-$C74</f>
        <v>24</v>
      </c>
      <c r="E74" s="12">
        <f t="shared" si="17"/>
        <v>160</v>
      </c>
      <c r="F74" s="12">
        <f t="shared" si="18"/>
        <v>80</v>
      </c>
      <c r="G74" s="4">
        <f t="shared" si="19"/>
        <v>8</v>
      </c>
      <c r="H74" s="4">
        <f t="shared" si="20"/>
        <v>4</v>
      </c>
      <c r="I74" s="4">
        <f t="shared" si="21"/>
        <v>12</v>
      </c>
      <c r="K74" t="s">
        <v>79</v>
      </c>
    </row>
    <row r="75" spans="1:11" x14ac:dyDescent="0.25">
      <c r="A75" t="s">
        <v>72</v>
      </c>
      <c r="B75" s="11" t="s">
        <v>98</v>
      </c>
      <c r="C75" s="3">
        <v>66</v>
      </c>
      <c r="D75">
        <f>($B$63)*ROUND($B$3/VLOOKUP($B75,$A$20:$F$35,6,FALSE),0)-$C75</f>
        <v>6</v>
      </c>
      <c r="E75" s="12">
        <f t="shared" si="17"/>
        <v>220</v>
      </c>
      <c r="F75" s="12">
        <f t="shared" si="18"/>
        <v>20</v>
      </c>
      <c r="G75" s="4">
        <f t="shared" si="19"/>
        <v>11</v>
      </c>
      <c r="H75" s="4">
        <f t="shared" si="20"/>
        <v>1</v>
      </c>
      <c r="I75" s="4">
        <f t="shared" si="21"/>
        <v>12</v>
      </c>
      <c r="K75" t="s">
        <v>80</v>
      </c>
    </row>
    <row r="76" spans="1:11" x14ac:dyDescent="0.25">
      <c r="A76" t="s">
        <v>73</v>
      </c>
      <c r="B76" s="11" t="s">
        <v>98</v>
      </c>
      <c r="C76" s="3">
        <v>48</v>
      </c>
      <c r="D76">
        <f>($B$64+$B$66)*ROUND($B$3/VLOOKUP($B76,$A$20:$F$35,6,FALSE),0)-$C76</f>
        <v>444</v>
      </c>
      <c r="E76" s="12">
        <f t="shared" si="17"/>
        <v>160</v>
      </c>
      <c r="F76" s="12">
        <f t="shared" si="18"/>
        <v>1480</v>
      </c>
      <c r="G76" s="4">
        <f t="shared" si="19"/>
        <v>8</v>
      </c>
      <c r="H76" s="4">
        <f t="shared" si="20"/>
        <v>74</v>
      </c>
      <c r="I76" s="4">
        <f t="shared" si="21"/>
        <v>82</v>
      </c>
      <c r="K76" t="s">
        <v>81</v>
      </c>
    </row>
    <row r="77" spans="1:11" x14ac:dyDescent="0.25">
      <c r="A77" t="s">
        <v>74</v>
      </c>
      <c r="B77" s="11" t="s">
        <v>98</v>
      </c>
      <c r="C77" s="3">
        <v>66</v>
      </c>
      <c r="D77">
        <f>($B$65+$B$67)*ROUND($B$3/VLOOKUP($B77,$A$20:$F$35,6,FALSE),0)-$C77</f>
        <v>300</v>
      </c>
      <c r="E77" s="12">
        <f t="shared" si="17"/>
        <v>220</v>
      </c>
      <c r="F77" s="12">
        <f t="shared" si="18"/>
        <v>1000</v>
      </c>
      <c r="G77" s="4">
        <f t="shared" si="19"/>
        <v>11</v>
      </c>
      <c r="H77" s="4">
        <f t="shared" si="20"/>
        <v>50</v>
      </c>
      <c r="I77" s="4">
        <f t="shared" si="21"/>
        <v>61</v>
      </c>
      <c r="K77" t="s">
        <v>82</v>
      </c>
    </row>
    <row r="79" spans="1:11" s="15" customFormat="1" x14ac:dyDescent="0.25">
      <c r="A79" s="15" t="s">
        <v>40</v>
      </c>
    </row>
    <row r="80" spans="1:11" x14ac:dyDescent="0.25">
      <c r="A80" t="s">
        <v>38</v>
      </c>
    </row>
    <row r="81" spans="1:1" x14ac:dyDescent="0.25">
      <c r="A81" t="s">
        <v>39</v>
      </c>
    </row>
    <row r="82" spans="1:1" x14ac:dyDescent="0.25">
      <c r="A82" t="s">
        <v>30</v>
      </c>
    </row>
    <row r="84" spans="1:1" s="15" customFormat="1" x14ac:dyDescent="0.25"/>
    <row r="90" spans="1:1" s="15" customFormat="1" x14ac:dyDescent="0.25"/>
    <row r="104" s="15" customFormat="1" x14ac:dyDescent="0.25"/>
    <row r="108" s="15" customFormat="1" x14ac:dyDescent="0.25"/>
  </sheetData>
  <pageMargins left="0.25" right="0.25" top="0.25" bottom="0.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2014-11-01T01:00:25Z</cp:lastPrinted>
  <dcterms:created xsi:type="dcterms:W3CDTF">2014-10-30T21:09:47Z</dcterms:created>
  <dcterms:modified xsi:type="dcterms:W3CDTF">2020-01-29T23:01:03Z</dcterms:modified>
</cp:coreProperties>
</file>