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L:\work\lime\system\"/>
    </mc:Choice>
  </mc:AlternateContent>
  <xr:revisionPtr revIDLastSave="0" documentId="13_ncr:1_{DA3D265C-02E8-4E56-A984-0FFB9B3B5515}" xr6:coauthVersionLast="45" xr6:coauthVersionMax="45" xr10:uidLastSave="{00000000-0000-0000-0000-000000000000}"/>
  <bookViews>
    <workbookView xWindow="19260" yWindow="4815" windowWidth="18705" windowHeight="1555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5" i="1" l="1"/>
  <c r="H45" i="1" s="1"/>
  <c r="E45" i="1"/>
  <c r="G45" i="1" s="1"/>
  <c r="B65" i="1" l="1"/>
  <c r="B64" i="1"/>
  <c r="D41" i="1" l="1"/>
  <c r="D40" i="1"/>
  <c r="D39" i="1"/>
  <c r="E14" i="1" l="1"/>
  <c r="G14" i="1" s="1"/>
  <c r="E13" i="1"/>
  <c r="E12" i="1"/>
  <c r="G12" i="1" s="1"/>
  <c r="E11" i="1"/>
  <c r="G7" i="1"/>
  <c r="G8" i="1"/>
  <c r="F8" i="1"/>
  <c r="H8" i="1" s="1"/>
  <c r="F7" i="1"/>
  <c r="H7" i="1" s="1"/>
  <c r="G11" i="1" l="1"/>
  <c r="E17" i="1"/>
  <c r="E28" i="1"/>
  <c r="E24" i="1"/>
  <c r="E30" i="1"/>
  <c r="E25" i="1"/>
  <c r="G13" i="1"/>
  <c r="E18" i="1"/>
  <c r="E27" i="1"/>
  <c r="E23" i="1"/>
  <c r="E44" i="1" s="1"/>
  <c r="E26" i="1"/>
  <c r="E22" i="1"/>
  <c r="E40" i="1" s="1"/>
  <c r="E29" i="1"/>
  <c r="E41" i="1" s="1"/>
  <c r="F14" i="1"/>
  <c r="H14" i="1" s="1"/>
  <c r="C21" i="1"/>
  <c r="E21" i="1" s="1"/>
  <c r="C20" i="1"/>
  <c r="E20" i="1" s="1"/>
  <c r="C19" i="1"/>
  <c r="E19" i="1" s="1"/>
  <c r="G24" i="1" l="1"/>
  <c r="F24" i="1"/>
  <c r="H24" i="1" s="1"/>
  <c r="F17" i="1"/>
  <c r="H17" i="1" s="1"/>
  <c r="G17" i="1"/>
  <c r="E53" i="1"/>
  <c r="G53" i="1" s="1"/>
  <c r="E36" i="1"/>
  <c r="E51" i="1"/>
  <c r="E52" i="1"/>
  <c r="G52" i="1" s="1"/>
  <c r="E39" i="1"/>
  <c r="E46" i="1"/>
  <c r="G46" i="1" s="1"/>
  <c r="E47" i="1"/>
  <c r="G47" i="1" s="1"/>
  <c r="E33" i="1"/>
  <c r="E48" i="1"/>
  <c r="E49" i="1"/>
  <c r="E34" i="1"/>
  <c r="E35" i="1"/>
  <c r="E50" i="1"/>
  <c r="F30" i="1"/>
  <c r="E54" i="1"/>
  <c r="G54" i="1" s="1"/>
  <c r="G30" i="1"/>
  <c r="F29" i="1"/>
  <c r="F41" i="1" s="1"/>
  <c r="G41" i="1"/>
  <c r="G29" i="1"/>
  <c r="F11" i="1"/>
  <c r="H11" i="1" s="1"/>
  <c r="F12" i="1"/>
  <c r="H12" i="1" s="1"/>
  <c r="F13" i="1"/>
  <c r="H13" i="1" s="1"/>
  <c r="H30" i="1" l="1"/>
  <c r="F54" i="1"/>
  <c r="H54" i="1" s="1"/>
  <c r="H29" i="1"/>
  <c r="H41" i="1"/>
  <c r="G44" i="1"/>
  <c r="G40" i="1"/>
  <c r="G39" i="1"/>
  <c r="F22" i="1"/>
  <c r="F40" i="1" s="1"/>
  <c r="G22" i="1"/>
  <c r="F20" i="1"/>
  <c r="G20" i="1"/>
  <c r="F28" i="1"/>
  <c r="G28" i="1"/>
  <c r="F27" i="1"/>
  <c r="H27" i="1" s="1"/>
  <c r="G27" i="1"/>
  <c r="F19" i="1"/>
  <c r="H19" i="1" s="1"/>
  <c r="G19" i="1"/>
  <c r="F23" i="1"/>
  <c r="G23" i="1"/>
  <c r="F18" i="1"/>
  <c r="G18" i="1"/>
  <c r="F26" i="1"/>
  <c r="G26" i="1"/>
  <c r="F25" i="1"/>
  <c r="G25" i="1"/>
  <c r="F21" i="1"/>
  <c r="H21" i="1" s="1"/>
  <c r="G21" i="1"/>
  <c r="F44" i="1" l="1"/>
  <c r="H25" i="1"/>
  <c r="F50" i="1"/>
  <c r="F51" i="1"/>
  <c r="F53" i="1"/>
  <c r="F52" i="1"/>
  <c r="H52" i="1" s="1"/>
  <c r="F47" i="1"/>
  <c r="H47" i="1" s="1"/>
  <c r="F46" i="1"/>
  <c r="F39" i="1"/>
  <c r="H39" i="1" s="1"/>
  <c r="F49" i="1"/>
  <c r="H49" i="1" s="1"/>
  <c r="F48" i="1"/>
  <c r="H48" i="1" s="1"/>
  <c r="D74" i="1"/>
  <c r="F74" i="1" s="1"/>
  <c r="H74" i="1" s="1"/>
  <c r="D73" i="1"/>
  <c r="F73" i="1" s="1"/>
  <c r="H73" i="1" s="1"/>
  <c r="D72" i="1"/>
  <c r="F72" i="1" s="1"/>
  <c r="H72" i="1" s="1"/>
  <c r="D71" i="1"/>
  <c r="F71" i="1" s="1"/>
  <c r="H71" i="1" s="1"/>
  <c r="D70" i="1"/>
  <c r="F70" i="1" s="1"/>
  <c r="H70" i="1" s="1"/>
  <c r="D69" i="1"/>
  <c r="F69" i="1" s="1"/>
  <c r="H69" i="1" s="1"/>
  <c r="D68" i="1"/>
  <c r="F68" i="1" s="1"/>
  <c r="H68" i="1" s="1"/>
  <c r="D75" i="1"/>
  <c r="F75" i="1" s="1"/>
  <c r="H75" i="1" s="1"/>
  <c r="E73" i="1"/>
  <c r="G73" i="1" s="1"/>
  <c r="E71" i="1"/>
  <c r="G71" i="1" s="1"/>
  <c r="E74" i="1"/>
  <c r="G74" i="1" s="1"/>
  <c r="E75" i="1"/>
  <c r="G75" i="1" s="1"/>
  <c r="E72" i="1"/>
  <c r="G72" i="1" s="1"/>
  <c r="E69" i="1"/>
  <c r="G69" i="1" s="1"/>
  <c r="E68" i="1"/>
  <c r="G68" i="1" s="1"/>
  <c r="E70" i="1"/>
  <c r="G70" i="1" s="1"/>
  <c r="H51" i="1"/>
  <c r="H53" i="1"/>
  <c r="H22" i="1"/>
  <c r="H40" i="1"/>
  <c r="H26" i="1"/>
  <c r="H18" i="1"/>
  <c r="H28" i="1"/>
  <c r="H44" i="1"/>
  <c r="H23" i="1"/>
  <c r="H20" i="1"/>
  <c r="G48" i="1"/>
  <c r="G49" i="1"/>
  <c r="G51" i="1"/>
  <c r="G50" i="1"/>
  <c r="G34" i="1"/>
  <c r="F34" i="1"/>
  <c r="H34" i="1" s="1"/>
  <c r="G36" i="1"/>
  <c r="F36" i="1"/>
  <c r="H36" i="1" s="1"/>
  <c r="G35" i="1"/>
  <c r="F35" i="1"/>
  <c r="H35" i="1" s="1"/>
  <c r="F33" i="1"/>
  <c r="H33" i="1" s="1"/>
  <c r="G33" i="1"/>
  <c r="I74" i="1" l="1"/>
  <c r="I73" i="1"/>
  <c r="I70" i="1"/>
  <c r="I75" i="1"/>
  <c r="I68" i="1"/>
  <c r="I72" i="1"/>
  <c r="I71" i="1"/>
  <c r="I69" i="1"/>
  <c r="H50" i="1"/>
  <c r="H46" i="1"/>
</calcChain>
</file>

<file path=xl/sharedStrings.xml><?xml version="1.0" encoding="utf-8"?>
<sst xmlns="http://schemas.openxmlformats.org/spreadsheetml/2006/main" count="226" uniqueCount="142">
  <si>
    <t>Scale Factor</t>
  </si>
  <si>
    <t>PS_CLK</t>
  </si>
  <si>
    <t>ARM_PLL</t>
  </si>
  <si>
    <t>DDR_PLL</t>
  </si>
  <si>
    <t>IO_PLL</t>
  </si>
  <si>
    <t>DDR_3x</t>
  </si>
  <si>
    <t>DDR_2x</t>
  </si>
  <si>
    <t>FCLK0</t>
  </si>
  <si>
    <t>FCLK1</t>
  </si>
  <si>
    <t>FCLK2</t>
  </si>
  <si>
    <t>FCLK3</t>
  </si>
  <si>
    <t>PLL</t>
  </si>
  <si>
    <t>Clock</t>
  </si>
  <si>
    <t>Source</t>
  </si>
  <si>
    <t>Divisor 0</t>
  </si>
  <si>
    <t>Divisor 1</t>
  </si>
  <si>
    <t>CPU_6x4x</t>
  </si>
  <si>
    <t>~</t>
  </si>
  <si>
    <t>CLK_621_TRUE</t>
  </si>
  <si>
    <t>Width</t>
  </si>
  <si>
    <t>Data Path</t>
  </si>
  <si>
    <t>Unit</t>
  </si>
  <si>
    <t>ARM A9 Core</t>
  </si>
  <si>
    <t>LSU</t>
  </si>
  <si>
    <t>MCU (MicroBlaze)</t>
  </si>
  <si>
    <t>Trace Stream</t>
  </si>
  <si>
    <t>Freq MHz</t>
  </si>
  <si>
    <t>Period ns</t>
  </si>
  <si>
    <t>SYS_CLK</t>
  </si>
  <si>
    <t>Band MB/s</t>
  </si>
  <si>
    <t>OCM Inter.</t>
  </si>
  <si>
    <t>Memory</t>
  </si>
  <si>
    <t>On Chip Mem (OCM)</t>
  </si>
  <si>
    <t>Access ns</t>
  </si>
  <si>
    <t>Master Inter.</t>
  </si>
  <si>
    <t>DDR3 PS (fixed)</t>
  </si>
  <si>
    <t>Trace Mmap</t>
  </si>
  <si>
    <t>DDR3 PL (SODIMM)</t>
  </si>
  <si>
    <t>Dbeat ns</t>
  </si>
  <si>
    <t>Delay cyc</t>
  </si>
  <si>
    <t>SRAM</t>
  </si>
  <si>
    <t>Snoop Cont. Unit</t>
  </si>
  <si>
    <t>L2 Cache Cont.</t>
  </si>
  <si>
    <t>ARM</t>
  </si>
  <si>
    <t>DRE</t>
  </si>
  <si>
    <t>UI_CLK</t>
  </si>
  <si>
    <t>Perf. Monitor</t>
  </si>
  <si>
    <t>H9/G9(CC_P/N) Bank: 34</t>
  </si>
  <si>
    <t>MIG_PLL</t>
  </si>
  <si>
    <t>MIG_PHY</t>
  </si>
  <si>
    <t>A22 Bank: 500</t>
  </si>
  <si>
    <t>Access time can be tuned with AXI delay cycles.</t>
  </si>
  <si>
    <t>Intel Xeon X5550, 2.66 GHz, 4 cores, 8 GB/s per core, Launch Q1'09</t>
  </si>
  <si>
    <t>Intel Xeon E7-4890 v2, 2.8 GHz, 15 cores, 5.7 GB/s per core, Launch Q1'14</t>
  </si>
  <si>
    <t>Intel Xeon E7-4870 v2, 2.3 GHz, 15 cores, 5.7 GB/s per core, Launch Q1'14</t>
  </si>
  <si>
    <t>Intel Core i7-4785T, 2.2 GHz base frequency, 4 cores, 6.4 GB/s max memory bandwidth per core, Launch Q2'14</t>
  </si>
  <si>
    <t>HMC</t>
  </si>
  <si>
    <t>[1] http://www.micron.com/about/blogs/2013/november/hmc-arrives-just-in-time-to-be-your-new-standard-for-memory-performance-part-2</t>
  </si>
  <si>
    <t xml:space="preserve">10 GB/s per vault [1] </t>
  </si>
  <si>
    <t>[2] HMC Rev 1.1 Specification</t>
  </si>
  <si>
    <t>16 vaults on 4 link parts [2]</t>
  </si>
  <si>
    <t>8 banks per vault on 2 GB parts, 16 banks per vault on 4 GB parts [2]</t>
  </si>
  <si>
    <t>16 MB DRAM per bank [2]</t>
  </si>
  <si>
    <t>128 MB per vault on 2 GB part, 256 MB per vault on 4 GB [2]</t>
  </si>
  <si>
    <t>20 GB/s per link unidirectional @ 10Gb/s per lane with 16 lanes [2]</t>
  </si>
  <si>
    <t>160 GB/s  aggregate bidirectional bandwidth both on and off chip</t>
  </si>
  <si>
    <t>PL Mem Inter.</t>
  </si>
  <si>
    <t>PL Mem Port</t>
  </si>
  <si>
    <t>Processors</t>
  </si>
  <si>
    <t>Loopback</t>
  </si>
  <si>
    <t>DRAM</t>
  </si>
  <si>
    <t>SODIMM DDR3-1600, 1 GB, 64-bit data path, Module: Micron MT8JTF12864HZ-1G6G1, PC3-12800S-11-11-B1</t>
  </si>
  <si>
    <t>on-board DDR3-1333, 1 GB, 32-bit data path, Chip: Micron MT41J256M8HX-15E, D9LGK</t>
  </si>
  <si>
    <t>(tCK): 1.876 (533 MHz), Table 51, Page 71</t>
  </si>
  <si>
    <t>ACTIVATE-to-ACTIVATE (tRC): 50.6 ns, Table 51, Page 71 of data sheet (see Figure 2: Simplified State Diagram, Page 11)</t>
  </si>
  <si>
    <t>Read burst (BL8) occurs in 4 cycles = 4*1.876 = 7.5 ns overlapped with precharge (see Figure 72: READ to PRECHARGE (BL8), Page 160)</t>
  </si>
  <si>
    <t>Delay</t>
  </si>
  <si>
    <t>Slot 0</t>
  </si>
  <si>
    <t>Slot 1</t>
  </si>
  <si>
    <t>Total ns</t>
  </si>
  <si>
    <t>2,4,&gt;4</t>
  </si>
  <si>
    <t>0.8 ns per flit (16 bytes) with 16 data lanes and 10 Gb/s link (HMC-10G-USR)</t>
  </si>
  <si>
    <t>190 ns read 215 ns write (32-bytes) on Zynq AXI_HP0 port (32-bit)</t>
  </si>
  <si>
    <t>155 ns read 100 ns write (8-bytes) on Zynq AXI_HP2 port (64-bit)</t>
  </si>
  <si>
    <t>12 ns on chip</t>
  </si>
  <si>
    <t>36 ns through serdes</t>
  </si>
  <si>
    <t>Access through link (off-chip) Read:73.6 ns Write:70.4 ns [3]</t>
  </si>
  <si>
    <t>[3] 16 &amp; 32-byte access to local vault on Arira board, light workload</t>
  </si>
  <si>
    <t>Memory bandwidth (sum of emulated Channels) is tuned with scale factor.</t>
  </si>
  <si>
    <t>Data Path bandwidth is tuned with AXI interconnect clock frequency.</t>
  </si>
  <si>
    <t>Emulation Control</t>
  </si>
  <si>
    <t>Zynq Clock Frequency and Emulated System Performance</t>
  </si>
  <si>
    <t xml:space="preserve">T_W </t>
  </si>
  <si>
    <t>T_R</t>
  </si>
  <si>
    <t>T_TRANS</t>
  </si>
  <si>
    <t>Time ns</t>
  </si>
  <si>
    <t>Average DRAM Read, off chip</t>
  </si>
  <si>
    <t>Average DRAM Write, off chip</t>
  </si>
  <si>
    <t>Transport latency, round trip, on to off chip and back</t>
  </si>
  <si>
    <t>Memory Parameters</t>
  </si>
  <si>
    <t>T_SRAM_W</t>
  </si>
  <si>
    <t>T_SRAM_R</t>
  </si>
  <si>
    <t>T_DRAM_W</t>
  </si>
  <si>
    <t>T_DRAM_R</t>
  </si>
  <si>
    <t>T_QUEUE_W</t>
  </si>
  <si>
    <t>T_QUEUE_R</t>
  </si>
  <si>
    <t>SRAM Write latency</t>
  </si>
  <si>
    <t>SRAM Read latency</t>
  </si>
  <si>
    <t>DRAM Write latency</t>
  </si>
  <si>
    <t>DRAM Read latency</t>
  </si>
  <si>
    <t>Write Queue delay</t>
  </si>
  <si>
    <t>Read Queue delay</t>
  </si>
  <si>
    <t>Calib cyc</t>
  </si>
  <si>
    <t>Input cell</t>
  </si>
  <si>
    <t>Scaled value</t>
  </si>
  <si>
    <t>Calib ns</t>
  </si>
  <si>
    <t>Delay ns</t>
  </si>
  <si>
    <t>Slot 0 SRAM W</t>
  </si>
  <si>
    <t>Slot 0 SRAM R</t>
  </si>
  <si>
    <t>Slot 0 DRAM W</t>
  </si>
  <si>
    <t>Slot 0 DRAM R</t>
  </si>
  <si>
    <t>Slot 1 SRAM W</t>
  </si>
  <si>
    <t>Slot 1 SRAM R</t>
  </si>
  <si>
    <t>Slot 1 DRAM W</t>
  </si>
  <si>
    <t>Slot 1 DRAM R</t>
  </si>
  <si>
    <t>delay0[2]</t>
  </si>
  <si>
    <t>delay0[4]</t>
  </si>
  <si>
    <t>delay1[2]</t>
  </si>
  <si>
    <t>delay1[4]</t>
  </si>
  <si>
    <t>delay2[2]</t>
  </si>
  <si>
    <t>delay2[4]</t>
  </si>
  <si>
    <t>delay3[2]</t>
  </si>
  <si>
    <t>delay3[4]</t>
  </si>
  <si>
    <t>Not used</t>
  </si>
  <si>
    <t>Multiplier</t>
  </si>
  <si>
    <t>CPU_6x4xe</t>
  </si>
  <si>
    <t>FCLK0e</t>
  </si>
  <si>
    <t>CPU_3x2xe</t>
  </si>
  <si>
    <t>CPU_2xe</t>
  </si>
  <si>
    <t>CPU_1xe</t>
  </si>
  <si>
    <t>DDR Mem Controller</t>
  </si>
  <si>
    <t>PL HP Mem Inter.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</si>
</sst>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43" fontId="1" fillId="0" borderId="0" applyFont="0" applyFill="0" applyBorder="0" applyAlignment="0" applyProtection="0"/>
    <xf numFmtId="0" fontId="1" fillId="4" borderId="0" applyNumberFormat="0" applyBorder="0" applyAlignment="0" applyProtection="0"/>
  </cellStyleXfs>
  <cellXfs count="16">
    <xf numFmtId="0" fontId="0" fillId="0" borderId="0" xfId="0"/>
    <xf numFmtId="0" fontId="1" fillId="3" borderId="0" xfId="2"/>
    <xf numFmtId="0" fontId="0" fillId="0" borderId="0" xfId="0" applyAlignment="1">
      <alignment horizontal="right"/>
    </xf>
    <xf numFmtId="0" fontId="2" fillId="2" borderId="1" xfId="1"/>
    <xf numFmtId="2" fontId="0" fillId="0" borderId="0" xfId="0" applyNumberFormat="1"/>
    <xf numFmtId="0" fontId="0" fillId="3" borderId="0" xfId="2" applyFont="1"/>
    <xf numFmtId="0" fontId="1" fillId="4" borderId="0" xfId="4"/>
    <xf numFmtId="4" fontId="0" fillId="0" borderId="0" xfId="3" applyNumberFormat="1" applyFont="1"/>
    <xf numFmtId="4" fontId="2" fillId="2" borderId="1" xfId="1" applyNumberFormat="1"/>
    <xf numFmtId="4" fontId="0" fillId="0" borderId="0" xfId="0" applyNumberFormat="1"/>
    <xf numFmtId="0" fontId="0" fillId="4" borderId="0" xfId="4" applyFont="1"/>
    <xf numFmtId="0" fontId="0" fillId="0" borderId="0" xfId="0" applyFill="1"/>
    <xf numFmtId="4" fontId="0" fillId="0" borderId="0" xfId="0" applyNumberFormat="1" applyFill="1"/>
    <xf numFmtId="2" fontId="0" fillId="0" borderId="0" xfId="0" applyNumberFormat="1" applyFill="1"/>
    <xf numFmtId="4" fontId="0" fillId="5" borderId="0" xfId="0" applyNumberFormat="1" applyFill="1"/>
    <xf numFmtId="0" fontId="3" fillId="0" borderId="0" xfId="0" applyFont="1"/>
  </cellXfs>
  <cellStyles count="5">
    <cellStyle name="20% - Accent1" xfId="2" builtinId="30"/>
    <cellStyle name="20% - Accent3" xfId="4" builtinId="38"/>
    <cellStyle name="Comma" xfId="3" builtinId="3"/>
    <cellStyle name="Input" xfId="1" builtinId="20"/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13"/>
  <sheetViews>
    <sheetView tabSelected="1" workbookViewId="0"/>
  </sheetViews>
  <sheetFormatPr defaultRowHeight="15" x14ac:dyDescent="0.25"/>
  <cols>
    <col min="1" max="1" width="19.7109375" customWidth="1"/>
    <col min="2" max="2" width="10.85546875" customWidth="1"/>
    <col min="3" max="3" width="10.5703125" customWidth="1"/>
    <col min="4" max="4" width="10.42578125" customWidth="1"/>
    <col min="5" max="5" width="11" customWidth="1"/>
    <col min="6" max="6" width="10.140625" customWidth="1"/>
    <col min="7" max="7" width="10.85546875" customWidth="1"/>
    <col min="8" max="8" width="10.28515625" customWidth="1"/>
  </cols>
  <sheetData>
    <row r="1" spans="1:8" x14ac:dyDescent="0.25">
      <c r="A1" t="s">
        <v>91</v>
      </c>
    </row>
    <row r="3" spans="1:8" x14ac:dyDescent="0.25">
      <c r="A3" s="6" t="s">
        <v>0</v>
      </c>
      <c r="B3" s="3">
        <v>20</v>
      </c>
      <c r="F3" s="3"/>
      <c r="G3" t="s">
        <v>113</v>
      </c>
    </row>
    <row r="4" spans="1:8" x14ac:dyDescent="0.25">
      <c r="A4" t="s">
        <v>18</v>
      </c>
      <c r="B4" s="3">
        <v>0</v>
      </c>
      <c r="F4" s="6"/>
      <c r="G4" t="s">
        <v>114</v>
      </c>
    </row>
    <row r="6" spans="1:8" x14ac:dyDescent="0.25">
      <c r="A6" s="5" t="s">
        <v>12</v>
      </c>
      <c r="B6" s="5" t="s">
        <v>13</v>
      </c>
      <c r="C6" s="5"/>
      <c r="D6" s="1"/>
      <c r="E6" s="1" t="s">
        <v>26</v>
      </c>
      <c r="F6" s="1" t="s">
        <v>27</v>
      </c>
      <c r="G6" s="6" t="s">
        <v>26</v>
      </c>
      <c r="H6" s="6" t="s">
        <v>27</v>
      </c>
    </row>
    <row r="7" spans="1:8" x14ac:dyDescent="0.25">
      <c r="A7" t="s">
        <v>1</v>
      </c>
      <c r="B7" t="s">
        <v>50</v>
      </c>
      <c r="E7" s="8">
        <v>33.333333000000003</v>
      </c>
      <c r="F7" s="4">
        <f>1/$E7*1000</f>
        <v>30.0000003</v>
      </c>
      <c r="G7" s="9">
        <f>$E7*$B$3</f>
        <v>666.66666000000009</v>
      </c>
      <c r="H7" s="9">
        <f>$F7/$B$3</f>
        <v>1.5000000149999999</v>
      </c>
    </row>
    <row r="8" spans="1:8" x14ac:dyDescent="0.25">
      <c r="A8" t="s">
        <v>28</v>
      </c>
      <c r="B8" t="s">
        <v>47</v>
      </c>
      <c r="E8" s="8">
        <v>200</v>
      </c>
      <c r="F8" s="4">
        <f>1/$E8*1000</f>
        <v>5</v>
      </c>
      <c r="G8" s="9">
        <f>$E8*$B$3</f>
        <v>4000</v>
      </c>
      <c r="H8" s="9">
        <f>$F8/$B$3</f>
        <v>0.25</v>
      </c>
    </row>
    <row r="10" spans="1:8" x14ac:dyDescent="0.25">
      <c r="A10" s="1" t="s">
        <v>11</v>
      </c>
      <c r="B10" s="5" t="s">
        <v>13</v>
      </c>
      <c r="C10" s="5" t="s">
        <v>134</v>
      </c>
      <c r="D10" s="1"/>
      <c r="E10" s="1" t="s">
        <v>26</v>
      </c>
      <c r="F10" s="1" t="s">
        <v>27</v>
      </c>
      <c r="G10" s="6" t="s">
        <v>26</v>
      </c>
      <c r="H10" s="6" t="s">
        <v>27</v>
      </c>
    </row>
    <row r="11" spans="1:8" x14ac:dyDescent="0.25">
      <c r="A11" t="s">
        <v>2</v>
      </c>
      <c r="B11" t="s">
        <v>1</v>
      </c>
      <c r="C11" s="3">
        <v>54</v>
      </c>
      <c r="E11" s="7">
        <f>VLOOKUP($B11,$A$7:$F$8,5,FALSE)*$C11</f>
        <v>1799.9999820000003</v>
      </c>
      <c r="F11" s="4">
        <f>1/$E11*1000</f>
        <v>0.55555556111111115</v>
      </c>
      <c r="G11" s="9">
        <f>$E11*$B$3</f>
        <v>35999.999640000009</v>
      </c>
      <c r="H11" s="9">
        <f>$F11/$B$3</f>
        <v>2.7777778055555556E-2</v>
      </c>
    </row>
    <row r="12" spans="1:8" x14ac:dyDescent="0.25">
      <c r="A12" t="s">
        <v>3</v>
      </c>
      <c r="B12" t="s">
        <v>1</v>
      </c>
      <c r="C12" s="3">
        <v>32</v>
      </c>
      <c r="E12" s="7">
        <f t="shared" ref="E12" si="0">VLOOKUP($B12,$A$7:$F$8,5,FALSE)*$C12</f>
        <v>1066.6666560000001</v>
      </c>
      <c r="F12" s="4">
        <f>1/$E12*1000</f>
        <v>0.937500009375</v>
      </c>
      <c r="G12" s="9">
        <f t="shared" ref="G12:G14" si="1">$E12*$B$3</f>
        <v>21333.333120000003</v>
      </c>
      <c r="H12" s="9">
        <f t="shared" ref="H12:H14" si="2">$F12/$B$3</f>
        <v>4.6875000468749997E-2</v>
      </c>
    </row>
    <row r="13" spans="1:8" x14ac:dyDescent="0.25">
      <c r="A13" t="s">
        <v>4</v>
      </c>
      <c r="B13" t="s">
        <v>1</v>
      </c>
      <c r="C13" s="3">
        <v>30</v>
      </c>
      <c r="E13" s="7">
        <f>VLOOKUP($B13,$A$7:$F$8,5,FALSE)*$C13</f>
        <v>999.99999000000014</v>
      </c>
      <c r="F13" s="4">
        <f>1/$E13*1000</f>
        <v>1.0000000099999999</v>
      </c>
      <c r="G13" s="9">
        <f t="shared" si="1"/>
        <v>19999.999800000001</v>
      </c>
      <c r="H13" s="9">
        <f t="shared" si="2"/>
        <v>5.0000000499999996E-2</v>
      </c>
    </row>
    <row r="14" spans="1:8" x14ac:dyDescent="0.25">
      <c r="A14" t="s">
        <v>48</v>
      </c>
      <c r="B14" t="s">
        <v>28</v>
      </c>
      <c r="C14" s="3">
        <v>4</v>
      </c>
      <c r="E14" s="7">
        <f>VLOOKUP($B14,$A$7:$F$8,5,FALSE)*$C14</f>
        <v>800</v>
      </c>
      <c r="F14" s="4">
        <f>1/$E14*1000</f>
        <v>1.25</v>
      </c>
      <c r="G14" s="9">
        <f t="shared" si="1"/>
        <v>16000</v>
      </c>
      <c r="H14" s="9">
        <f t="shared" si="2"/>
        <v>6.25E-2</v>
      </c>
    </row>
    <row r="16" spans="1:8" x14ac:dyDescent="0.25">
      <c r="A16" s="1" t="s">
        <v>12</v>
      </c>
      <c r="B16" s="1" t="s">
        <v>13</v>
      </c>
      <c r="C16" s="1" t="s">
        <v>14</v>
      </c>
      <c r="D16" s="1" t="s">
        <v>15</v>
      </c>
      <c r="E16" s="5" t="s">
        <v>26</v>
      </c>
      <c r="F16" s="5" t="s">
        <v>27</v>
      </c>
      <c r="G16" s="6" t="s">
        <v>26</v>
      </c>
      <c r="H16" s="6" t="s">
        <v>27</v>
      </c>
    </row>
    <row r="17" spans="1:10" x14ac:dyDescent="0.25">
      <c r="A17" t="s">
        <v>16</v>
      </c>
      <c r="B17" t="s">
        <v>2</v>
      </c>
      <c r="C17" s="3">
        <v>3</v>
      </c>
      <c r="D17" s="2" t="s">
        <v>17</v>
      </c>
      <c r="E17" s="7">
        <f>VLOOKUP($B17,$A$11:$F$14,5,FALSE)/$C17</f>
        <v>599.99999400000013</v>
      </c>
      <c r="F17" s="4">
        <f t="shared" ref="F17:F30" si="3">1/$E17*1000</f>
        <v>1.666666683333333</v>
      </c>
      <c r="G17" s="9">
        <f>$E17*$B$3</f>
        <v>11999.999880000003</v>
      </c>
      <c r="H17" s="9">
        <f>$F17/$B$3</f>
        <v>8.3333334166666648E-2</v>
      </c>
      <c r="J17" t="s">
        <v>80</v>
      </c>
    </row>
    <row r="18" spans="1:10" x14ac:dyDescent="0.25">
      <c r="A18" t="s">
        <v>135</v>
      </c>
      <c r="B18" t="s">
        <v>2</v>
      </c>
      <c r="C18" s="3">
        <v>14</v>
      </c>
      <c r="D18" s="2" t="s">
        <v>17</v>
      </c>
      <c r="E18" s="7">
        <f>VLOOKUP($B18,$A$11:$F$14,5,FALSE)/$C18</f>
        <v>128.57142728571429</v>
      </c>
      <c r="F18" s="4">
        <f t="shared" si="3"/>
        <v>7.7777778555555557</v>
      </c>
      <c r="G18" s="9">
        <f>$E18*$B$3</f>
        <v>2571.428545714286</v>
      </c>
      <c r="H18" s="9">
        <f>$F18/$B$3</f>
        <v>0.38888889277777777</v>
      </c>
    </row>
    <row r="19" spans="1:10" x14ac:dyDescent="0.25">
      <c r="A19" t="s">
        <v>137</v>
      </c>
      <c r="B19" t="s">
        <v>2</v>
      </c>
      <c r="C19">
        <f>$C$18*2</f>
        <v>28</v>
      </c>
      <c r="D19" s="2" t="s">
        <v>17</v>
      </c>
      <c r="E19" s="7">
        <f t="shared" ref="E19:E23" si="4">VLOOKUP($B19,$A$11:$F$14,5,FALSE)/$C19</f>
        <v>64.285713642857147</v>
      </c>
      <c r="F19" s="4">
        <f t="shared" si="3"/>
        <v>15.555555711111111</v>
      </c>
      <c r="G19" s="9">
        <f t="shared" ref="G19:G30" si="5">$E19*$B$3</f>
        <v>1285.714272857143</v>
      </c>
      <c r="H19" s="9">
        <f t="shared" ref="H19:H30" si="6">$F19/$B$3</f>
        <v>0.77777778555555555</v>
      </c>
    </row>
    <row r="20" spans="1:10" x14ac:dyDescent="0.25">
      <c r="A20" t="s">
        <v>138</v>
      </c>
      <c r="B20" t="s">
        <v>2</v>
      </c>
      <c r="C20">
        <f>$C$18*IF($B$4,3,2)</f>
        <v>28</v>
      </c>
      <c r="D20" s="2" t="s">
        <v>17</v>
      </c>
      <c r="E20" s="7">
        <f t="shared" si="4"/>
        <v>64.285713642857147</v>
      </c>
      <c r="F20" s="4">
        <f t="shared" si="3"/>
        <v>15.555555711111111</v>
      </c>
      <c r="G20" s="9">
        <f t="shared" si="5"/>
        <v>1285.714272857143</v>
      </c>
      <c r="H20" s="9">
        <f t="shared" si="6"/>
        <v>0.77777778555555555</v>
      </c>
    </row>
    <row r="21" spans="1:10" x14ac:dyDescent="0.25">
      <c r="A21" t="s">
        <v>139</v>
      </c>
      <c r="B21" t="s">
        <v>2</v>
      </c>
      <c r="C21">
        <f>$C$18*IF($B$4,6,4)</f>
        <v>56</v>
      </c>
      <c r="D21" s="2" t="s">
        <v>17</v>
      </c>
      <c r="E21" s="7">
        <f t="shared" si="4"/>
        <v>32.142856821428573</v>
      </c>
      <c r="F21" s="4">
        <f t="shared" si="3"/>
        <v>31.111111422222223</v>
      </c>
      <c r="G21" s="9">
        <f t="shared" si="5"/>
        <v>642.85713642857149</v>
      </c>
      <c r="H21" s="9">
        <f t="shared" si="6"/>
        <v>1.5555555711111111</v>
      </c>
    </row>
    <row r="22" spans="1:10" x14ac:dyDescent="0.25">
      <c r="A22" t="s">
        <v>5</v>
      </c>
      <c r="B22" t="s">
        <v>3</v>
      </c>
      <c r="C22">
        <v>2</v>
      </c>
      <c r="D22" s="2" t="s">
        <v>17</v>
      </c>
      <c r="E22" s="7">
        <f t="shared" si="4"/>
        <v>533.33332800000005</v>
      </c>
      <c r="F22" s="4">
        <f t="shared" si="3"/>
        <v>1.87500001875</v>
      </c>
      <c r="G22" s="9">
        <f t="shared" si="5"/>
        <v>10666.666560000001</v>
      </c>
      <c r="H22" s="9">
        <f t="shared" si="6"/>
        <v>9.3750000937499994E-2</v>
      </c>
    </row>
    <row r="23" spans="1:10" x14ac:dyDescent="0.25">
      <c r="A23" t="s">
        <v>6</v>
      </c>
      <c r="B23" t="s">
        <v>3</v>
      </c>
      <c r="C23">
        <v>3</v>
      </c>
      <c r="D23" s="2" t="s">
        <v>17</v>
      </c>
      <c r="E23" s="7">
        <f t="shared" si="4"/>
        <v>355.55555200000003</v>
      </c>
      <c r="F23" s="4">
        <f t="shared" si="3"/>
        <v>2.8125000281250001</v>
      </c>
      <c r="G23" s="9">
        <f t="shared" si="5"/>
        <v>7111.1110400000007</v>
      </c>
      <c r="H23" s="9">
        <f t="shared" si="6"/>
        <v>0.14062500140625001</v>
      </c>
    </row>
    <row r="24" spans="1:10" x14ac:dyDescent="0.25">
      <c r="A24" t="s">
        <v>7</v>
      </c>
      <c r="B24" t="s">
        <v>4</v>
      </c>
      <c r="C24" s="3">
        <v>6</v>
      </c>
      <c r="D24" s="3">
        <v>1</v>
      </c>
      <c r="E24" s="7">
        <f>VLOOKUP($B24,$A$11:$F$14,5,FALSE)/$C24/$D24</f>
        <v>166.66666500000002</v>
      </c>
      <c r="F24" s="4">
        <f t="shared" si="3"/>
        <v>6.0000000599999996</v>
      </c>
      <c r="G24" s="9">
        <f t="shared" si="5"/>
        <v>3333.3333000000002</v>
      </c>
      <c r="H24" s="9">
        <f t="shared" si="6"/>
        <v>0.30000000299999996</v>
      </c>
    </row>
    <row r="25" spans="1:10" x14ac:dyDescent="0.25">
      <c r="A25" t="s">
        <v>136</v>
      </c>
      <c r="B25" t="s">
        <v>4</v>
      </c>
      <c r="C25" s="3">
        <v>16</v>
      </c>
      <c r="D25" s="3">
        <v>1</v>
      </c>
      <c r="E25" s="7">
        <f>VLOOKUP($B25,$A$11:$F$14,5,FALSE)/$C25/$D25</f>
        <v>62.499999375000009</v>
      </c>
      <c r="F25" s="4">
        <f t="shared" si="3"/>
        <v>16.000000159999999</v>
      </c>
      <c r="G25" s="9">
        <f t="shared" si="5"/>
        <v>1249.9999875000001</v>
      </c>
      <c r="H25" s="9">
        <f t="shared" si="6"/>
        <v>0.80000000799999993</v>
      </c>
    </row>
    <row r="26" spans="1:10" x14ac:dyDescent="0.25">
      <c r="A26" t="s">
        <v>8</v>
      </c>
      <c r="B26" t="s">
        <v>4</v>
      </c>
      <c r="C26" s="3">
        <v>5</v>
      </c>
      <c r="D26" s="3">
        <v>1</v>
      </c>
      <c r="E26" s="7">
        <f t="shared" ref="E26:E28" si="7">VLOOKUP($B26,$A$11:$F$14,5,FALSE)/$C26/$D26</f>
        <v>199.99999800000003</v>
      </c>
      <c r="F26" s="4">
        <f t="shared" si="3"/>
        <v>5.0000000499999997</v>
      </c>
      <c r="G26" s="9">
        <f t="shared" si="5"/>
        <v>3999.9999600000006</v>
      </c>
      <c r="H26" s="9">
        <f t="shared" si="6"/>
        <v>0.25000000249999998</v>
      </c>
    </row>
    <row r="27" spans="1:10" x14ac:dyDescent="0.25">
      <c r="A27" t="s">
        <v>9</v>
      </c>
      <c r="B27" t="s">
        <v>4</v>
      </c>
      <c r="C27" s="3">
        <v>10</v>
      </c>
      <c r="D27" s="3">
        <v>1</v>
      </c>
      <c r="E27" s="7">
        <f t="shared" si="7"/>
        <v>99.999999000000017</v>
      </c>
      <c r="F27" s="4">
        <f t="shared" si="3"/>
        <v>10.000000099999999</v>
      </c>
      <c r="G27" s="9">
        <f t="shared" si="5"/>
        <v>1999.9999800000003</v>
      </c>
      <c r="H27" s="9">
        <f t="shared" si="6"/>
        <v>0.50000000499999997</v>
      </c>
      <c r="J27" t="s">
        <v>133</v>
      </c>
    </row>
    <row r="28" spans="1:10" x14ac:dyDescent="0.25">
      <c r="A28" t="s">
        <v>10</v>
      </c>
      <c r="B28" t="s">
        <v>4</v>
      </c>
      <c r="C28" s="3">
        <v>10</v>
      </c>
      <c r="D28" s="3">
        <v>1</v>
      </c>
      <c r="E28" s="7">
        <f t="shared" si="7"/>
        <v>99.999999000000017</v>
      </c>
      <c r="F28" s="4">
        <f t="shared" si="3"/>
        <v>10.000000099999999</v>
      </c>
      <c r="G28" s="9">
        <f t="shared" si="5"/>
        <v>1999.9999800000003</v>
      </c>
      <c r="H28" s="9">
        <f t="shared" si="6"/>
        <v>0.50000000499999997</v>
      </c>
      <c r="J28" t="s">
        <v>133</v>
      </c>
    </row>
    <row r="29" spans="1:10" x14ac:dyDescent="0.25">
      <c r="A29" t="s">
        <v>49</v>
      </c>
      <c r="B29" t="s">
        <v>48</v>
      </c>
      <c r="C29" s="3">
        <v>1</v>
      </c>
      <c r="D29" s="2" t="s">
        <v>17</v>
      </c>
      <c r="E29" s="7">
        <f>VLOOKUP($B29,$A$11:$F$14,5,FALSE)/$C29</f>
        <v>800</v>
      </c>
      <c r="F29" s="4">
        <f t="shared" si="3"/>
        <v>1.25</v>
      </c>
      <c r="G29" s="9">
        <f t="shared" si="5"/>
        <v>16000</v>
      </c>
      <c r="H29" s="9">
        <f t="shared" si="6"/>
        <v>6.25E-2</v>
      </c>
    </row>
    <row r="30" spans="1:10" x14ac:dyDescent="0.25">
      <c r="A30" t="s">
        <v>45</v>
      </c>
      <c r="B30" t="s">
        <v>48</v>
      </c>
      <c r="C30" s="3">
        <v>4</v>
      </c>
      <c r="D30" s="2" t="s">
        <v>17</v>
      </c>
      <c r="E30" s="7">
        <f>VLOOKUP($B30,$A$11:$F$14,5,FALSE)/$C30</f>
        <v>200</v>
      </c>
      <c r="F30" s="4">
        <f t="shared" si="3"/>
        <v>5</v>
      </c>
      <c r="G30" s="9">
        <f t="shared" si="5"/>
        <v>4000</v>
      </c>
      <c r="H30" s="9">
        <f t="shared" si="6"/>
        <v>0.25</v>
      </c>
    </row>
    <row r="32" spans="1:10" x14ac:dyDescent="0.25">
      <c r="A32" s="1" t="s">
        <v>21</v>
      </c>
      <c r="B32" s="1" t="s">
        <v>13</v>
      </c>
      <c r="C32" s="1"/>
      <c r="D32" s="1"/>
      <c r="E32" s="1" t="s">
        <v>26</v>
      </c>
      <c r="F32" s="1" t="s">
        <v>27</v>
      </c>
      <c r="G32" s="6" t="s">
        <v>26</v>
      </c>
      <c r="H32" s="6" t="s">
        <v>27</v>
      </c>
    </row>
    <row r="33" spans="1:8" x14ac:dyDescent="0.25">
      <c r="A33" s="11" t="s">
        <v>22</v>
      </c>
      <c r="B33" s="11" t="s">
        <v>135</v>
      </c>
      <c r="C33" s="11"/>
      <c r="D33" s="11"/>
      <c r="E33" s="12">
        <f>VLOOKUP($B33,$A$17:$F$30,5,FALSE)</f>
        <v>128.57142728571429</v>
      </c>
      <c r="F33" s="13">
        <f>1/$E33*1000</f>
        <v>7.7777778555555557</v>
      </c>
      <c r="G33" s="14">
        <f>$E33*$B$3</f>
        <v>2571.428545714286</v>
      </c>
      <c r="H33" s="12">
        <f>$F33/$B$3</f>
        <v>0.38888889277777777</v>
      </c>
    </row>
    <row r="34" spans="1:8" x14ac:dyDescent="0.25">
      <c r="A34" s="11" t="s">
        <v>23</v>
      </c>
      <c r="B34" s="11" t="s">
        <v>136</v>
      </c>
      <c r="C34" s="11"/>
      <c r="D34" s="11"/>
      <c r="E34" s="12">
        <f>VLOOKUP($B34,$A$17:$F$30,5,FALSE)</f>
        <v>62.499999375000009</v>
      </c>
      <c r="F34" s="13">
        <f>1/$E34*1000</f>
        <v>16.000000159999999</v>
      </c>
      <c r="G34" s="14">
        <f>$E34*$B$3</f>
        <v>1249.9999875000001</v>
      </c>
      <c r="H34" s="12">
        <f t="shared" ref="H34:H36" si="8">$F34/$B$3</f>
        <v>0.80000000799999993</v>
      </c>
    </row>
    <row r="35" spans="1:8" x14ac:dyDescent="0.25">
      <c r="A35" s="11" t="s">
        <v>24</v>
      </c>
      <c r="B35" s="11" t="s">
        <v>136</v>
      </c>
      <c r="C35" s="11"/>
      <c r="D35" s="11"/>
      <c r="E35" s="12">
        <f>VLOOKUP($B35,$A$17:$F$30,5,FALSE)</f>
        <v>62.499999375000009</v>
      </c>
      <c r="F35" s="13">
        <f>1/$E35*1000</f>
        <v>16.000000159999999</v>
      </c>
      <c r="G35" s="14">
        <f>$E35*$B$3</f>
        <v>1249.9999875000001</v>
      </c>
      <c r="H35" s="12">
        <f t="shared" si="8"/>
        <v>0.80000000799999993</v>
      </c>
    </row>
    <row r="36" spans="1:8" x14ac:dyDescent="0.25">
      <c r="A36" t="s">
        <v>46</v>
      </c>
      <c r="B36" t="s">
        <v>8</v>
      </c>
      <c r="E36" s="12">
        <f>VLOOKUP($B36,$A$17:$F$30,5,FALSE)</f>
        <v>199.99999800000003</v>
      </c>
      <c r="F36" s="4">
        <f>1/$E36*1000</f>
        <v>5.0000000499999997</v>
      </c>
      <c r="G36" s="9">
        <f>$E36*$B$3</f>
        <v>3999.9999600000006</v>
      </c>
      <c r="H36" s="9">
        <f t="shared" si="8"/>
        <v>0.25000000249999998</v>
      </c>
    </row>
    <row r="38" spans="1:8" x14ac:dyDescent="0.25">
      <c r="A38" s="1" t="s">
        <v>31</v>
      </c>
      <c r="B38" s="1" t="s">
        <v>13</v>
      </c>
      <c r="C38" s="1" t="s">
        <v>19</v>
      </c>
      <c r="D38" s="5" t="s">
        <v>33</v>
      </c>
      <c r="E38" s="1" t="s">
        <v>29</v>
      </c>
      <c r="F38" s="5" t="s">
        <v>38</v>
      </c>
      <c r="G38" s="6" t="s">
        <v>29</v>
      </c>
      <c r="H38" s="10" t="s">
        <v>38</v>
      </c>
    </row>
    <row r="39" spans="1:8" x14ac:dyDescent="0.25">
      <c r="A39" t="s">
        <v>32</v>
      </c>
      <c r="B39" t="s">
        <v>135</v>
      </c>
      <c r="C39">
        <v>8</v>
      </c>
      <c r="D39">
        <f>10+10</f>
        <v>20</v>
      </c>
      <c r="E39" s="9">
        <f>VLOOKUP($B39,$A$17:$F$30,5,FALSE)*$C39</f>
        <v>1028.5714182857143</v>
      </c>
      <c r="F39" s="4">
        <f>VLOOKUP($B39,$A$17:$F$30,6,FALSE)</f>
        <v>7.7777778555555557</v>
      </c>
      <c r="G39" s="9">
        <f>$E39*$B$3</f>
        <v>20571.428365714288</v>
      </c>
      <c r="H39" s="9">
        <f>$F39/$B$3</f>
        <v>0.38888889277777777</v>
      </c>
    </row>
    <row r="40" spans="1:8" x14ac:dyDescent="0.25">
      <c r="A40" t="s">
        <v>35</v>
      </c>
      <c r="B40" t="s">
        <v>5</v>
      </c>
      <c r="C40">
        <v>4</v>
      </c>
      <c r="D40">
        <f>60+10</f>
        <v>70</v>
      </c>
      <c r="E40" s="9">
        <f>VLOOKUP($B40,$A$17:$F$30,5,FALSE)*2*$C40</f>
        <v>4266.6666240000004</v>
      </c>
      <c r="F40" s="4">
        <f>VLOOKUP($B40,$A$17:$F$30,6,FALSE)</f>
        <v>1.87500001875</v>
      </c>
      <c r="G40" s="9">
        <f>$E40*$B$3</f>
        <v>85333.332480000012</v>
      </c>
      <c r="H40" s="9">
        <f>$F40/$B$3</f>
        <v>9.3750000937499994E-2</v>
      </c>
    </row>
    <row r="41" spans="1:8" x14ac:dyDescent="0.25">
      <c r="A41" t="s">
        <v>37</v>
      </c>
      <c r="B41" t="s">
        <v>49</v>
      </c>
      <c r="C41">
        <v>8</v>
      </c>
      <c r="D41">
        <f>60+10</f>
        <v>70</v>
      </c>
      <c r="E41" s="9">
        <f>VLOOKUP($B41,$A$17:$F$30,5,FALSE)*2*$C41</f>
        <v>12800</v>
      </c>
      <c r="F41" s="4">
        <f>VLOOKUP($B41,$A$17:$F$30,6,FALSE)</f>
        <v>1.25</v>
      </c>
      <c r="G41" s="9">
        <f>$E41*$B$3</f>
        <v>256000</v>
      </c>
      <c r="H41" s="9">
        <f>$F41/$B$3</f>
        <v>6.25E-2</v>
      </c>
    </row>
    <row r="43" spans="1:8" x14ac:dyDescent="0.25">
      <c r="A43" s="1" t="s">
        <v>20</v>
      </c>
      <c r="B43" s="1" t="s">
        <v>13</v>
      </c>
      <c r="C43" s="1" t="s">
        <v>19</v>
      </c>
      <c r="D43" s="5" t="s">
        <v>39</v>
      </c>
      <c r="E43" s="1" t="s">
        <v>29</v>
      </c>
      <c r="F43" s="5" t="s">
        <v>38</v>
      </c>
      <c r="G43" s="6" t="s">
        <v>29</v>
      </c>
      <c r="H43" s="10" t="s">
        <v>38</v>
      </c>
    </row>
    <row r="44" spans="1:8" x14ac:dyDescent="0.25">
      <c r="A44" t="s">
        <v>140</v>
      </c>
      <c r="B44" t="s">
        <v>5</v>
      </c>
      <c r="C44">
        <v>8</v>
      </c>
      <c r="D44">
        <v>4</v>
      </c>
      <c r="E44" s="9">
        <f>VLOOKUP($B44,$A$17:$F$30,5,FALSE)*$C44</f>
        <v>4266.6666240000004</v>
      </c>
      <c r="F44" s="9">
        <f>VLOOKUP($B44,$A$17:$F$30,6,FALSE)</f>
        <v>1.87500001875</v>
      </c>
      <c r="G44" s="9">
        <f t="shared" ref="G44:G54" si="9">$E44*$B$3</f>
        <v>85333.332480000012</v>
      </c>
      <c r="H44" s="9">
        <f t="shared" ref="H44:H54" si="10">$F44/$B$3</f>
        <v>9.3750000937499994E-2</v>
      </c>
    </row>
    <row r="45" spans="1:8" x14ac:dyDescent="0.25">
      <c r="A45" t="s">
        <v>141</v>
      </c>
      <c r="B45" t="s">
        <v>6</v>
      </c>
      <c r="C45">
        <v>8</v>
      </c>
      <c r="D45">
        <v>4</v>
      </c>
      <c r="E45" s="9">
        <f>VLOOKUP($B45,$A$17:$F$30,5,FALSE)*$C45</f>
        <v>2844.4444160000003</v>
      </c>
      <c r="F45" s="9">
        <f>VLOOKUP($B45,$A$17:$F$30,6,FALSE)</f>
        <v>2.8125000281250001</v>
      </c>
      <c r="G45" s="9">
        <f t="shared" si="9"/>
        <v>56888.888320000005</v>
      </c>
      <c r="H45" s="9">
        <f t="shared" si="10"/>
        <v>0.14062500140625001</v>
      </c>
    </row>
    <row r="46" spans="1:8" x14ac:dyDescent="0.25">
      <c r="A46" t="s">
        <v>41</v>
      </c>
      <c r="B46" t="s">
        <v>135</v>
      </c>
      <c r="C46">
        <v>8</v>
      </c>
      <c r="D46">
        <v>2</v>
      </c>
      <c r="E46" s="9">
        <f>VLOOKUP($B46,$A$17:$F$30,5,FALSE)*$C46</f>
        <v>1028.5714182857143</v>
      </c>
      <c r="F46" s="9">
        <f>VLOOKUP($B46,$A$17:$F$30,6,FALSE)</f>
        <v>7.7777778555555557</v>
      </c>
      <c r="G46" s="9">
        <f t="shared" si="9"/>
        <v>20571.428365714288</v>
      </c>
      <c r="H46" s="9">
        <f t="shared" si="10"/>
        <v>0.38888889277777777</v>
      </c>
    </row>
    <row r="47" spans="1:8" x14ac:dyDescent="0.25">
      <c r="A47" t="s">
        <v>42</v>
      </c>
      <c r="B47" t="s">
        <v>135</v>
      </c>
      <c r="C47">
        <v>8</v>
      </c>
      <c r="D47">
        <v>2</v>
      </c>
      <c r="E47" s="9">
        <f>VLOOKUP($B47,$A$17:$F$30,5,FALSE)*$C47</f>
        <v>1028.5714182857143</v>
      </c>
      <c r="F47" s="9">
        <f>VLOOKUP($B47,$A$17:$F$30,6,FALSE)</f>
        <v>7.7777778555555557</v>
      </c>
      <c r="G47" s="9">
        <f t="shared" si="9"/>
        <v>20571.428365714288</v>
      </c>
      <c r="H47" s="9">
        <f t="shared" si="10"/>
        <v>0.38888889277777777</v>
      </c>
    </row>
    <row r="48" spans="1:8" x14ac:dyDescent="0.25">
      <c r="A48" t="s">
        <v>30</v>
      </c>
      <c r="B48" t="s">
        <v>138</v>
      </c>
      <c r="C48">
        <v>8</v>
      </c>
      <c r="D48">
        <v>2</v>
      </c>
      <c r="E48" s="9">
        <f>VLOOKUP($B48,$A$17:$F$30,5,FALSE)*$C48</f>
        <v>514.28570914285717</v>
      </c>
      <c r="F48" s="9">
        <f>VLOOKUP($B48,$A$17:$F$30,6,FALSE)</f>
        <v>15.555555711111111</v>
      </c>
      <c r="G48" s="9">
        <f t="shared" si="9"/>
        <v>10285.714182857144</v>
      </c>
      <c r="H48" s="9">
        <f t="shared" si="10"/>
        <v>0.77777778555555555</v>
      </c>
    </row>
    <row r="49" spans="1:10" x14ac:dyDescent="0.25">
      <c r="A49" t="s">
        <v>34</v>
      </c>
      <c r="B49" t="s">
        <v>138</v>
      </c>
      <c r="C49">
        <v>4</v>
      </c>
      <c r="D49">
        <v>2</v>
      </c>
      <c r="E49" s="9">
        <f>VLOOKUP($B49,$A$17:$F$30,5,FALSE)*$C49</f>
        <v>257.14285457142859</v>
      </c>
      <c r="F49" s="9">
        <f>VLOOKUP($B49,$A$17:$F$30,6,FALSE)</f>
        <v>15.555555711111111</v>
      </c>
      <c r="G49" s="14">
        <f t="shared" si="9"/>
        <v>5142.8570914285719</v>
      </c>
      <c r="H49" s="9">
        <f t="shared" si="10"/>
        <v>0.77777778555555555</v>
      </c>
      <c r="J49" t="s">
        <v>43</v>
      </c>
    </row>
    <row r="50" spans="1:10" x14ac:dyDescent="0.25">
      <c r="A50" s="11" t="s">
        <v>67</v>
      </c>
      <c r="B50" s="11" t="s">
        <v>136</v>
      </c>
      <c r="C50" s="11">
        <v>8</v>
      </c>
      <c r="D50">
        <v>2</v>
      </c>
      <c r="E50" s="9">
        <f>VLOOKUP($B50,$A$17:$F$30,5,FALSE)*$C50</f>
        <v>499.99999500000007</v>
      </c>
      <c r="F50" s="9">
        <f>VLOOKUP($B50,$A$17:$F$30,6,FALSE)</f>
        <v>16.000000159999999</v>
      </c>
      <c r="G50" s="14">
        <f t="shared" si="9"/>
        <v>9999.9999000000007</v>
      </c>
      <c r="H50" s="12">
        <f t="shared" si="10"/>
        <v>0.80000000799999993</v>
      </c>
      <c r="J50" t="s">
        <v>44</v>
      </c>
    </row>
    <row r="51" spans="1:10" x14ac:dyDescent="0.25">
      <c r="A51" s="11" t="s">
        <v>69</v>
      </c>
      <c r="B51" s="11" t="s">
        <v>8</v>
      </c>
      <c r="C51" s="11">
        <v>4</v>
      </c>
      <c r="D51">
        <v>2</v>
      </c>
      <c r="E51" s="9">
        <f>VLOOKUP($B51,$A$17:$F$30,5,FALSE)*$C51</f>
        <v>799.99999200000013</v>
      </c>
      <c r="F51" s="9">
        <f>VLOOKUP($B51,$A$17:$F$30,6,FALSE)</f>
        <v>5.0000000499999997</v>
      </c>
      <c r="G51" s="12">
        <f t="shared" si="9"/>
        <v>15999.999840000002</v>
      </c>
      <c r="H51" s="12">
        <f t="shared" si="10"/>
        <v>0.25000000249999998</v>
      </c>
      <c r="J51" t="s">
        <v>77</v>
      </c>
    </row>
    <row r="52" spans="1:10" x14ac:dyDescent="0.25">
      <c r="A52" t="s">
        <v>66</v>
      </c>
      <c r="B52" t="s">
        <v>8</v>
      </c>
      <c r="C52">
        <v>8</v>
      </c>
      <c r="D52">
        <v>4</v>
      </c>
      <c r="E52" s="9">
        <f>VLOOKUP($B52,$A$17:$F$30,5,FALSE)*$C52</f>
        <v>1599.9999840000003</v>
      </c>
      <c r="F52" s="9">
        <f>VLOOKUP($B52,$A$17:$F$30,6,FALSE)</f>
        <v>5.0000000499999997</v>
      </c>
      <c r="G52" s="9">
        <f t="shared" si="9"/>
        <v>31999.999680000004</v>
      </c>
      <c r="H52" s="9">
        <f t="shared" si="10"/>
        <v>0.25000000249999998</v>
      </c>
      <c r="J52" t="s">
        <v>78</v>
      </c>
    </row>
    <row r="53" spans="1:10" x14ac:dyDescent="0.25">
      <c r="A53" t="s">
        <v>25</v>
      </c>
      <c r="B53" t="s">
        <v>8</v>
      </c>
      <c r="C53">
        <v>32</v>
      </c>
      <c r="D53">
        <v>0</v>
      </c>
      <c r="E53" s="9">
        <f>VLOOKUP($B53,$A$17:$F$30,5,FALSE)*$C53</f>
        <v>6399.9999360000011</v>
      </c>
      <c r="F53" s="9">
        <f>VLOOKUP($B53,$A$17:$F$30,6,FALSE)</f>
        <v>5.0000000499999997</v>
      </c>
      <c r="G53" s="9">
        <f t="shared" si="9"/>
        <v>127999.99872000002</v>
      </c>
      <c r="H53" s="9">
        <f t="shared" si="10"/>
        <v>0.25000000249999998</v>
      </c>
    </row>
    <row r="54" spans="1:10" x14ac:dyDescent="0.25">
      <c r="A54" t="s">
        <v>36</v>
      </c>
      <c r="B54" t="s">
        <v>45</v>
      </c>
      <c r="C54">
        <v>32</v>
      </c>
      <c r="D54">
        <v>0</v>
      </c>
      <c r="E54" s="9">
        <f>VLOOKUP($B54,$A$17:$F$30,5,FALSE)*$C54</f>
        <v>6400</v>
      </c>
      <c r="F54" s="9">
        <f>VLOOKUP($B54,$A$17:$F$30,6,FALSE)</f>
        <v>5</v>
      </c>
      <c r="G54" s="9">
        <f t="shared" si="9"/>
        <v>128000</v>
      </c>
      <c r="H54" s="9">
        <f t="shared" si="10"/>
        <v>0.25</v>
      </c>
    </row>
    <row r="55" spans="1:10" x14ac:dyDescent="0.25">
      <c r="E55" s="9"/>
      <c r="F55" s="9"/>
      <c r="G55" s="9"/>
      <c r="H55" s="9"/>
    </row>
    <row r="56" spans="1:10" x14ac:dyDescent="0.25">
      <c r="A56" s="1" t="s">
        <v>99</v>
      </c>
      <c r="B56" s="1" t="s">
        <v>95</v>
      </c>
      <c r="E56" s="9"/>
      <c r="F56" s="9"/>
      <c r="G56" s="9"/>
      <c r="H56" s="9"/>
    </row>
    <row r="57" spans="1:10" x14ac:dyDescent="0.25">
      <c r="A57" t="s">
        <v>92</v>
      </c>
      <c r="B57" s="3">
        <v>106</v>
      </c>
      <c r="D57" t="s">
        <v>97</v>
      </c>
      <c r="E57" s="9"/>
      <c r="F57" s="9"/>
      <c r="G57" s="9"/>
      <c r="H57" s="9"/>
    </row>
    <row r="58" spans="1:10" x14ac:dyDescent="0.25">
      <c r="A58" t="s">
        <v>93</v>
      </c>
      <c r="B58" s="3">
        <v>85</v>
      </c>
      <c r="D58" t="s">
        <v>96</v>
      </c>
      <c r="E58" s="9"/>
      <c r="F58" s="9"/>
      <c r="G58" s="9"/>
      <c r="H58" s="9"/>
    </row>
    <row r="59" spans="1:10" x14ac:dyDescent="0.25">
      <c r="A59" t="s">
        <v>94</v>
      </c>
      <c r="B59" s="3">
        <v>24</v>
      </c>
      <c r="D59" t="s">
        <v>98</v>
      </c>
      <c r="E59" s="9"/>
      <c r="F59" s="9"/>
      <c r="G59" s="9"/>
      <c r="H59" s="9"/>
    </row>
    <row r="60" spans="1:10" x14ac:dyDescent="0.25">
      <c r="A60" t="s">
        <v>100</v>
      </c>
      <c r="B60" s="3">
        <v>12</v>
      </c>
      <c r="D60" t="s">
        <v>106</v>
      </c>
      <c r="E60" s="9"/>
      <c r="F60" s="9"/>
      <c r="G60" s="9"/>
      <c r="H60" s="9"/>
    </row>
    <row r="61" spans="1:10" x14ac:dyDescent="0.25">
      <c r="A61" t="s">
        <v>101</v>
      </c>
      <c r="B61" s="3">
        <v>12</v>
      </c>
      <c r="D61" t="s">
        <v>107</v>
      </c>
      <c r="E61" s="9"/>
      <c r="F61" s="9"/>
      <c r="G61" s="9"/>
      <c r="H61" s="9"/>
    </row>
    <row r="62" spans="1:10" x14ac:dyDescent="0.25">
      <c r="A62" t="s">
        <v>102</v>
      </c>
      <c r="B62" s="3">
        <v>45</v>
      </c>
      <c r="D62" t="s">
        <v>108</v>
      </c>
      <c r="E62" s="9"/>
      <c r="F62" s="9"/>
      <c r="G62" s="9"/>
      <c r="H62" s="9"/>
    </row>
    <row r="63" spans="1:10" x14ac:dyDescent="0.25">
      <c r="A63" t="s">
        <v>103</v>
      </c>
      <c r="B63" s="3">
        <v>45</v>
      </c>
      <c r="D63" t="s">
        <v>109</v>
      </c>
      <c r="E63" s="9"/>
      <c r="F63" s="9"/>
      <c r="G63" s="9"/>
      <c r="H63" s="9"/>
    </row>
    <row r="64" spans="1:10" x14ac:dyDescent="0.25">
      <c r="A64" t="s">
        <v>104</v>
      </c>
      <c r="B64" s="3">
        <f>$B57-$B62-$B$59</f>
        <v>37</v>
      </c>
      <c r="D64" t="s">
        <v>110</v>
      </c>
      <c r="E64" s="9"/>
      <c r="F64" s="9"/>
      <c r="G64" s="9"/>
      <c r="H64" s="9"/>
    </row>
    <row r="65" spans="1:11" x14ac:dyDescent="0.25">
      <c r="A65" t="s">
        <v>105</v>
      </c>
      <c r="B65" s="3">
        <f>$B58-$B63-$B$59</f>
        <v>16</v>
      </c>
      <c r="D65" t="s">
        <v>111</v>
      </c>
      <c r="E65" s="9"/>
      <c r="F65" s="9"/>
      <c r="G65" s="9"/>
      <c r="H65" s="9"/>
    </row>
    <row r="67" spans="1:11" x14ac:dyDescent="0.25">
      <c r="A67" s="1" t="s">
        <v>76</v>
      </c>
      <c r="B67" s="1" t="s">
        <v>13</v>
      </c>
      <c r="C67" s="1" t="s">
        <v>112</v>
      </c>
      <c r="D67" s="1" t="s">
        <v>39</v>
      </c>
      <c r="E67" s="1" t="s">
        <v>115</v>
      </c>
      <c r="F67" s="1" t="s">
        <v>116</v>
      </c>
      <c r="G67" s="6" t="s">
        <v>115</v>
      </c>
      <c r="H67" s="6" t="s">
        <v>116</v>
      </c>
      <c r="I67" s="6" t="s">
        <v>79</v>
      </c>
    </row>
    <row r="68" spans="1:11" x14ac:dyDescent="0.25">
      <c r="A68" t="s">
        <v>117</v>
      </c>
      <c r="B68" s="11" t="s">
        <v>8</v>
      </c>
      <c r="C68" s="3">
        <v>44</v>
      </c>
      <c r="D68">
        <f>($B$60+$B$59)*ROUND($B$3/VLOOKUP($B68,$A$18:$F$30,6,FALSE),0)-$C68</f>
        <v>100</v>
      </c>
      <c r="E68" s="12">
        <f>$C68*VLOOKUP($B68,$A$18:$F$30,6,FALSE)</f>
        <v>220.00000219999998</v>
      </c>
      <c r="F68" s="12">
        <f>$D68*VLOOKUP($B68,$A$18:$F$30,6,FALSE)</f>
        <v>500.00000499999999</v>
      </c>
      <c r="G68" s="4">
        <f>$E68/$B$3</f>
        <v>11.000000109999998</v>
      </c>
      <c r="H68" s="4">
        <f>$F68/$B$3</f>
        <v>25.000000249999999</v>
      </c>
      <c r="I68" s="4">
        <f>$G68+$H68</f>
        <v>36.000000360000001</v>
      </c>
      <c r="K68" t="s">
        <v>125</v>
      </c>
    </row>
    <row r="69" spans="1:11" x14ac:dyDescent="0.25">
      <c r="A69" t="s">
        <v>118</v>
      </c>
      <c r="B69" s="11" t="s">
        <v>8</v>
      </c>
      <c r="C69" s="3">
        <v>39</v>
      </c>
      <c r="D69">
        <f>($B$61+$B$59)*ROUND($B$3/VLOOKUP($B69,$A$18:$F$30,6,FALSE),0)-$C69</f>
        <v>105</v>
      </c>
      <c r="E69" s="12">
        <f>$C69*VLOOKUP($B69,$A$18:$F$30,6,FALSE)</f>
        <v>195.00000194999998</v>
      </c>
      <c r="F69" s="12">
        <f>$D69*VLOOKUP($B69,$A$18:$F$30,6,FALSE)</f>
        <v>525.00000524999996</v>
      </c>
      <c r="G69" s="4">
        <f t="shared" ref="G69:G75" si="11">$E69/$B$3</f>
        <v>9.7500000974999992</v>
      </c>
      <c r="H69" s="4">
        <f t="shared" ref="H69:H75" si="12">$F69/$B$3</f>
        <v>26.250000262499999</v>
      </c>
      <c r="I69" s="4">
        <f t="shared" ref="I69:I75" si="13">$G69+$H69</f>
        <v>36.000000360000001</v>
      </c>
      <c r="K69" t="s">
        <v>126</v>
      </c>
    </row>
    <row r="70" spans="1:11" x14ac:dyDescent="0.25">
      <c r="A70" t="s">
        <v>119</v>
      </c>
      <c r="B70" s="11" t="s">
        <v>8</v>
      </c>
      <c r="C70" s="3">
        <v>45</v>
      </c>
      <c r="D70">
        <f>($B$62+$B$64+$B$59)*ROUND($B$3/VLOOKUP($B70,$A$18:$F$30,6,FALSE),0)-$C70</f>
        <v>379</v>
      </c>
      <c r="E70" s="12">
        <f>$C70*VLOOKUP($B70,$A$18:$F$30,6,FALSE)</f>
        <v>225.00000224999999</v>
      </c>
      <c r="F70" s="12">
        <f>$D70*VLOOKUP($B70,$A$18:$F$30,6,FALSE)</f>
        <v>1895.0000189499999</v>
      </c>
      <c r="G70" s="4">
        <f t="shared" si="11"/>
        <v>11.2500001125</v>
      </c>
      <c r="H70" s="4">
        <f t="shared" si="12"/>
        <v>94.750000947499998</v>
      </c>
      <c r="I70" s="4">
        <f t="shared" si="13"/>
        <v>106.00000106</v>
      </c>
      <c r="K70" t="s">
        <v>127</v>
      </c>
    </row>
    <row r="71" spans="1:11" x14ac:dyDescent="0.25">
      <c r="A71" t="s">
        <v>120</v>
      </c>
      <c r="B71" s="11" t="s">
        <v>8</v>
      </c>
      <c r="C71" s="3">
        <v>44</v>
      </c>
      <c r="D71">
        <f>($B$63+$B$65+$B$59)*ROUND($B$3/VLOOKUP($B71,$A$18:$F$30,6,FALSE),0)-$C71</f>
        <v>296</v>
      </c>
      <c r="E71" s="12">
        <f>$C71*VLOOKUP($B71,$A$18:$F$30,6,FALSE)</f>
        <v>220.00000219999998</v>
      </c>
      <c r="F71" s="12">
        <f>$D71*VLOOKUP($B71,$A$18:$F$30,6,FALSE)</f>
        <v>1480.0000147999999</v>
      </c>
      <c r="G71" s="4">
        <f t="shared" si="11"/>
        <v>11.000000109999998</v>
      </c>
      <c r="H71" s="4">
        <f t="shared" si="12"/>
        <v>74.00000073999999</v>
      </c>
      <c r="I71" s="4">
        <f t="shared" si="13"/>
        <v>85.000000849999992</v>
      </c>
      <c r="K71" t="s">
        <v>128</v>
      </c>
    </row>
    <row r="72" spans="1:11" x14ac:dyDescent="0.25">
      <c r="A72" t="s">
        <v>121</v>
      </c>
      <c r="B72" s="11" t="s">
        <v>8</v>
      </c>
      <c r="C72" s="3">
        <v>21</v>
      </c>
      <c r="D72">
        <f>($B$60)*ROUND($B$3/VLOOKUP($B72,$A$18:$F$30,6,FALSE),0)-$C72</f>
        <v>27</v>
      </c>
      <c r="E72" s="12">
        <f>$C72*VLOOKUP($B72,$A$18:$F$30,6,FALSE)</f>
        <v>105.00000104999999</v>
      </c>
      <c r="F72" s="12">
        <f>$D72*VLOOKUP($B72,$A$18:$F$30,6,FALSE)</f>
        <v>135.00000134999999</v>
      </c>
      <c r="G72" s="4">
        <f t="shared" si="11"/>
        <v>5.2500000524999999</v>
      </c>
      <c r="H72" s="4">
        <f t="shared" si="12"/>
        <v>6.7500000674999994</v>
      </c>
      <c r="I72" s="4">
        <f t="shared" si="13"/>
        <v>12.000000119999999</v>
      </c>
      <c r="K72" t="s">
        <v>129</v>
      </c>
    </row>
    <row r="73" spans="1:11" x14ac:dyDescent="0.25">
      <c r="A73" t="s">
        <v>122</v>
      </c>
      <c r="B73" s="11" t="s">
        <v>8</v>
      </c>
      <c r="C73" s="3">
        <v>36</v>
      </c>
      <c r="D73">
        <f>($B$61)*ROUND($B$3/VLOOKUP($B73,$A$18:$F$30,6,FALSE),0)-$C73</f>
        <v>12</v>
      </c>
      <c r="E73" s="12">
        <f>$C73*VLOOKUP($B73,$A$18:$F$30,6,FALSE)</f>
        <v>180.00000179999998</v>
      </c>
      <c r="F73" s="12">
        <f>$D73*VLOOKUP($B73,$A$18:$F$30,6,FALSE)</f>
        <v>60.000000599999993</v>
      </c>
      <c r="G73" s="4">
        <f t="shared" si="11"/>
        <v>9.0000000899999986</v>
      </c>
      <c r="H73" s="4">
        <f t="shared" si="12"/>
        <v>3.0000000299999998</v>
      </c>
      <c r="I73" s="4">
        <f t="shared" si="13"/>
        <v>12.000000119999999</v>
      </c>
      <c r="K73" t="s">
        <v>130</v>
      </c>
    </row>
    <row r="74" spans="1:11" x14ac:dyDescent="0.25">
      <c r="A74" t="s">
        <v>123</v>
      </c>
      <c r="B74" s="11" t="s">
        <v>8</v>
      </c>
      <c r="C74" s="3">
        <v>21</v>
      </c>
      <c r="D74">
        <f>($B$62+$B$64)*ROUND($B$3/VLOOKUP($B74,$A$18:$F$30,6,FALSE),0)-$C74</f>
        <v>307</v>
      </c>
      <c r="E74" s="12">
        <f>$C74*VLOOKUP($B74,$A$18:$F$30,6,FALSE)</f>
        <v>105.00000104999999</v>
      </c>
      <c r="F74" s="12">
        <f>$D74*VLOOKUP($B74,$A$18:$F$30,6,FALSE)</f>
        <v>1535.00001535</v>
      </c>
      <c r="G74" s="4">
        <f t="shared" si="11"/>
        <v>5.2500000524999999</v>
      </c>
      <c r="H74" s="4">
        <f t="shared" si="12"/>
        <v>76.750000767499998</v>
      </c>
      <c r="I74" s="4">
        <f t="shared" si="13"/>
        <v>82.000000819999997</v>
      </c>
      <c r="K74" t="s">
        <v>131</v>
      </c>
    </row>
    <row r="75" spans="1:11" x14ac:dyDescent="0.25">
      <c r="A75" t="s">
        <v>124</v>
      </c>
      <c r="B75" s="11" t="s">
        <v>8</v>
      </c>
      <c r="C75" s="3">
        <v>37</v>
      </c>
      <c r="D75">
        <f>($B$63+$B$65)*ROUND($B$3/VLOOKUP($B75,$A$18:$F$30,6,FALSE),0)-$C75</f>
        <v>207</v>
      </c>
      <c r="E75" s="12">
        <f>$C75*VLOOKUP($B75,$A$18:$F$30,6,FALSE)</f>
        <v>185.00000184999999</v>
      </c>
      <c r="F75" s="12">
        <f>$D75*VLOOKUP($B75,$A$18:$F$30,6,FALSE)</f>
        <v>1035.0000103499999</v>
      </c>
      <c r="G75" s="4">
        <f t="shared" si="11"/>
        <v>9.2500000924999988</v>
      </c>
      <c r="H75" s="4">
        <f t="shared" si="12"/>
        <v>51.750000517499998</v>
      </c>
      <c r="I75" s="4">
        <f t="shared" si="13"/>
        <v>61.000000610000001</v>
      </c>
      <c r="K75" t="s">
        <v>132</v>
      </c>
    </row>
    <row r="77" spans="1:11" s="15" customFormat="1" x14ac:dyDescent="0.25">
      <c r="A77" s="15" t="s">
        <v>90</v>
      </c>
    </row>
    <row r="78" spans="1:11" x14ac:dyDescent="0.25">
      <c r="A78" t="s">
        <v>88</v>
      </c>
    </row>
    <row r="79" spans="1:11" x14ac:dyDescent="0.25">
      <c r="A79" t="s">
        <v>89</v>
      </c>
    </row>
    <row r="80" spans="1:11" x14ac:dyDescent="0.25">
      <c r="A80" t="s">
        <v>51</v>
      </c>
    </row>
    <row r="82" spans="1:1" s="15" customFormat="1" x14ac:dyDescent="0.25">
      <c r="A82" s="15" t="s">
        <v>68</v>
      </c>
    </row>
    <row r="83" spans="1:1" x14ac:dyDescent="0.25">
      <c r="A83" t="s">
        <v>55</v>
      </c>
    </row>
    <row r="84" spans="1:1" x14ac:dyDescent="0.25">
      <c r="A84" t="s">
        <v>54</v>
      </c>
    </row>
    <row r="85" spans="1:1" x14ac:dyDescent="0.25">
      <c r="A85" t="s">
        <v>53</v>
      </c>
    </row>
    <row r="86" spans="1:1" x14ac:dyDescent="0.25">
      <c r="A86" t="s">
        <v>52</v>
      </c>
    </row>
    <row r="88" spans="1:1" s="15" customFormat="1" x14ac:dyDescent="0.25">
      <c r="A88" s="15" t="s">
        <v>56</v>
      </c>
    </row>
    <row r="89" spans="1:1" x14ac:dyDescent="0.25">
      <c r="A89" t="s">
        <v>62</v>
      </c>
    </row>
    <row r="90" spans="1:1" x14ac:dyDescent="0.25">
      <c r="A90" t="s">
        <v>61</v>
      </c>
    </row>
    <row r="91" spans="1:1" x14ac:dyDescent="0.25">
      <c r="A91" t="s">
        <v>63</v>
      </c>
    </row>
    <row r="92" spans="1:1" x14ac:dyDescent="0.25">
      <c r="A92" t="s">
        <v>60</v>
      </c>
    </row>
    <row r="93" spans="1:1" x14ac:dyDescent="0.25">
      <c r="A93" t="s">
        <v>58</v>
      </c>
    </row>
    <row r="94" spans="1:1" x14ac:dyDescent="0.25">
      <c r="A94" t="s">
        <v>64</v>
      </c>
    </row>
    <row r="95" spans="1:1" x14ac:dyDescent="0.25">
      <c r="A95" t="s">
        <v>65</v>
      </c>
    </row>
    <row r="96" spans="1:1" x14ac:dyDescent="0.25">
      <c r="A96" t="s">
        <v>81</v>
      </c>
    </row>
    <row r="97" spans="1:1" x14ac:dyDescent="0.25">
      <c r="A97" t="s">
        <v>86</v>
      </c>
    </row>
    <row r="98" spans="1:1" x14ac:dyDescent="0.25">
      <c r="A98" t="s">
        <v>57</v>
      </c>
    </row>
    <row r="99" spans="1:1" x14ac:dyDescent="0.25">
      <c r="A99" t="s">
        <v>59</v>
      </c>
    </row>
    <row r="100" spans="1:1" x14ac:dyDescent="0.25">
      <c r="A100" t="s">
        <v>87</v>
      </c>
    </row>
    <row r="102" spans="1:1" s="15" customFormat="1" x14ac:dyDescent="0.25">
      <c r="A102" s="15" t="s">
        <v>40</v>
      </c>
    </row>
    <row r="103" spans="1:1" x14ac:dyDescent="0.25">
      <c r="A103" t="s">
        <v>84</v>
      </c>
    </row>
    <row r="104" spans="1:1" x14ac:dyDescent="0.25">
      <c r="A104" t="s">
        <v>85</v>
      </c>
    </row>
    <row r="106" spans="1:1" s="15" customFormat="1" x14ac:dyDescent="0.25">
      <c r="A106" s="15" t="s">
        <v>70</v>
      </c>
    </row>
    <row r="107" spans="1:1" x14ac:dyDescent="0.25">
      <c r="A107" t="s">
        <v>72</v>
      </c>
    </row>
    <row r="108" spans="1:1" x14ac:dyDescent="0.25">
      <c r="A108" t="s">
        <v>74</v>
      </c>
    </row>
    <row r="109" spans="1:1" x14ac:dyDescent="0.25">
      <c r="A109" t="s">
        <v>73</v>
      </c>
    </row>
    <row r="110" spans="1:1" x14ac:dyDescent="0.25">
      <c r="A110" t="s">
        <v>75</v>
      </c>
    </row>
    <row r="111" spans="1:1" x14ac:dyDescent="0.25">
      <c r="A111" t="s">
        <v>71</v>
      </c>
    </row>
    <row r="112" spans="1:1" x14ac:dyDescent="0.25">
      <c r="A112" t="s">
        <v>83</v>
      </c>
    </row>
    <row r="113" spans="1:1" x14ac:dyDescent="0.25">
      <c r="A113" t="s">
        <v>82</v>
      </c>
    </row>
  </sheetData>
  <pageMargins left="0.25" right="0.25" top="0.25" bottom="0.5" header="0.3" footer="0.3"/>
  <pageSetup scale="9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LLNL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 Scott Lloyd</dc:creator>
  <cp:lastModifiedBy>G. Scott Lloyd</cp:lastModifiedBy>
  <cp:lastPrinted>2014-11-01T01:00:25Z</cp:lastPrinted>
  <dcterms:created xsi:type="dcterms:W3CDTF">2014-10-30T21:09:47Z</dcterms:created>
  <dcterms:modified xsi:type="dcterms:W3CDTF">2020-01-29T23:00:41Z</dcterms:modified>
</cp:coreProperties>
</file>